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285EA0D0-3F51-415C-A656-C3E54D9202CF}" xr6:coauthVersionLast="47" xr6:coauthVersionMax="47" xr10:uidLastSave="{00000000-0000-0000-0000-000000000000}"/>
  <bookViews>
    <workbookView xWindow="0" yWindow="0" windowWidth="19200" windowHeight="21000" tabRatio="899" firstSheet="12"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3"/>
  <c r="E2" i="92"/>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AD26" i="90" s="1"/>
  <c r="G14" i="82"/>
  <c r="G38" i="82" s="1"/>
  <c r="O37" i="82"/>
  <c r="AC48" i="90"/>
  <c r="AD48" i="90" s="1"/>
  <c r="AC37" i="90"/>
  <c r="AD37" i="90" s="1"/>
  <c r="AC20" i="90"/>
  <c r="AD20"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s="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3" i="76"/>
  <c r="B7" i="76"/>
  <c r="M22" i="67"/>
  <c r="D35" i="9"/>
  <c r="D6" i="73"/>
  <c r="B12" i="76"/>
  <c r="D34" i="9"/>
  <c r="AO13" i="1"/>
  <c r="C36" i="95"/>
  <c r="D9" i="95"/>
  <c r="B8" i="76"/>
  <c r="E11" i="76"/>
  <c r="D19" i="9"/>
  <c r="E2" i="68"/>
  <c r="F5" i="73"/>
  <c r="B10" i="76"/>
  <c r="F38" i="67"/>
  <c r="F3" i="73"/>
  <c r="B9" i="76"/>
  <c r="B13" i="76"/>
  <c r="F6" i="73"/>
  <c r="C19" i="9"/>
  <c r="F27" i="95"/>
  <c r="E8" i="76"/>
  <c r="C20" i="9"/>
  <c r="D20" i="9"/>
  <c r="E9" i="76"/>
  <c r="E12" i="76"/>
  <c r="F7" i="73"/>
  <c r="E2" i="69"/>
  <c r="F20" i="31"/>
  <c r="F4" i="73"/>
  <c r="E10" i="76"/>
  <c r="B11"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D3" i="73"/>
  <c r="F40" i="67"/>
  <c r="M29" i="67"/>
  <c r="F9" i="67"/>
  <c r="M26" i="67"/>
  <c r="F37" i="15"/>
  <c r="D5" i="73"/>
  <c r="F13" i="67"/>
  <c r="F26" i="67"/>
  <c r="M24" i="67"/>
  <c r="F7" i="15"/>
  <c r="M6" i="15"/>
  <c r="C36" i="91"/>
  <c r="M9" i="67"/>
  <c r="D4" i="73"/>
  <c r="F36" i="67"/>
  <c r="F43" i="67"/>
  <c r="L48" i="67"/>
  <c r="D7" i="73"/>
  <c r="M8" i="67"/>
  <c r="J15" i="67"/>
  <c r="F16" i="67"/>
  <c r="F42" i="67"/>
  <c r="C36" i="69"/>
  <c r="F27" i="91"/>
  <c r="M28" i="67"/>
  <c r="F37" i="67"/>
  <c r="M6" i="67"/>
  <c r="C76" i="67"/>
  <c r="F8" i="67"/>
  <c r="M23" i="67"/>
  <c r="F7" i="67"/>
  <c r="D9" i="91"/>
  <c r="F6" i="67"/>
  <c r="L47" i="67"/>
  <c r="E5" i="6" l="1"/>
  <c r="D9" i="11" s="1"/>
  <c r="C9" i="11" s="1"/>
  <c r="M6" i="1"/>
  <c r="O6" i="1" s="1"/>
  <c r="F71" i="67"/>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M29" i="15"/>
  <c r="F13" i="15"/>
  <c r="F16" i="15"/>
  <c r="C16" i="67"/>
  <c r="M23" i="15"/>
  <c r="M9" i="15"/>
  <c r="F9" i="15"/>
  <c r="L48" i="15"/>
  <c r="F27" i="69"/>
  <c r="F41" i="67"/>
  <c r="M28" i="15"/>
  <c r="C36" i="92"/>
  <c r="C76" i="15"/>
  <c r="F26" i="15"/>
  <c r="M26" i="15"/>
  <c r="M22" i="15"/>
  <c r="L47" i="15"/>
  <c r="J15" i="15"/>
  <c r="F43" i="15"/>
  <c r="F38" i="15"/>
  <c r="F40" i="15"/>
  <c r="D9" i="93"/>
  <c r="F27" i="92"/>
  <c r="F42" i="15"/>
  <c r="M8" i="15"/>
  <c r="F27" i="93"/>
  <c r="M24" i="15"/>
  <c r="D9" i="69"/>
  <c r="F36" i="15"/>
  <c r="C36" i="93"/>
  <c r="G1" i="73"/>
  <c r="D9" i="92"/>
  <c r="F6" i="15"/>
  <c r="F8" i="15"/>
  <c r="E59" i="40" l="1"/>
  <c r="G30" i="6"/>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F41" i="15"/>
  <c r="C34" i="93"/>
  <c r="D10" i="92"/>
  <c r="C34" i="95"/>
  <c r="C16" i="15"/>
  <c r="M27" i="15"/>
  <c r="C34" i="92"/>
  <c r="D10" i="95"/>
  <c r="D10" i="93"/>
  <c r="C34" i="91"/>
  <c r="D10" i="91"/>
  <c r="M27" i="67"/>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15"/>
  <c r="C17" i="67"/>
  <c r="D10" i="69"/>
  <c r="C34" i="69"/>
  <c r="D13" i="6" l="1"/>
  <c r="D20" i="6"/>
  <c r="D23" i="6"/>
  <c r="D15" i="6"/>
  <c r="C23" i="95"/>
  <c r="C25" i="95"/>
  <c r="C33" i="95"/>
  <c r="C33" i="93"/>
  <c r="C39" i="93" s="1"/>
  <c r="C46" i="93" s="1"/>
  <c r="C45" i="93" s="1"/>
  <c r="C33" i="92"/>
  <c r="C39" i="92" s="1"/>
  <c r="C46" i="92" s="1"/>
  <c r="C45" i="92" s="1"/>
  <c r="H26" i="6"/>
  <c r="R26" i="6" s="1"/>
  <c r="D11" i="6"/>
  <c r="C18" i="4"/>
  <c r="C4" i="52" s="1"/>
  <c r="B45" i="72" s="1"/>
  <c r="D10" i="6"/>
  <c r="D8" i="6"/>
  <c r="D24" i="6"/>
  <c r="D25" i="6"/>
  <c r="E61" i="40"/>
  <c r="D12" i="6"/>
  <c r="D19" i="6"/>
  <c r="D9" i="6"/>
  <c r="D26" i="6"/>
  <c r="D21" i="6"/>
  <c r="F50" i="91"/>
  <c r="F50" i="93"/>
  <c r="F50" i="92"/>
  <c r="D28" i="6"/>
  <c r="D5" i="6"/>
  <c r="D29" i="6"/>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0" i="6" l="1"/>
  <c r="R23" i="6"/>
  <c r="R10" i="1" s="1"/>
  <c r="R21" i="6"/>
  <c r="R8" i="1" s="1"/>
  <c r="A10" i="51"/>
  <c r="B9" i="72" s="1"/>
  <c r="C22" i="95"/>
  <c r="C31" i="95" s="1"/>
  <c r="D27" i="6"/>
  <c r="D31" i="6" s="1"/>
  <c r="I6" i="6" s="1"/>
  <c r="D16" i="6"/>
  <c r="R25" i="6"/>
  <c r="R12" i="1" s="1"/>
  <c r="R24" i="6"/>
  <c r="R11" i="1" s="1"/>
  <c r="C39" i="95"/>
  <c r="C43" i="95" s="1"/>
  <c r="C42" i="95"/>
  <c r="C43" i="92"/>
  <c r="C43" i="93"/>
  <c r="C42" i="93"/>
  <c r="C42" i="92"/>
  <c r="C22" i="92"/>
  <c r="C31" i="92" s="1"/>
  <c r="C22" i="93"/>
  <c r="C31" i="93" s="1"/>
  <c r="C42" i="91"/>
  <c r="C43" i="91"/>
  <c r="C25" i="91"/>
  <c r="C22" i="91" s="1"/>
  <c r="C31" i="91"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1"/>
  <c r="B3" i="93"/>
  <c r="B3" i="92"/>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67"/>
  <c r="F35" i="15"/>
  <c r="M21"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F5" i="90"/>
  <c r="AF32" i="90"/>
  <c r="AI32" i="90" s="1"/>
  <c r="AJ32" i="90" s="1"/>
  <c r="AF47" i="90"/>
  <c r="AI47" i="90" s="1"/>
  <c r="AJ47" i="90" s="1"/>
  <c r="AF29" i="90"/>
  <c r="AI29" i="90" s="1"/>
  <c r="AJ29" i="90" s="1"/>
  <c r="AF14" i="90"/>
  <c r="AI14" i="90" s="1"/>
  <c r="AJ14" i="90" s="1"/>
  <c r="AF44" i="90"/>
  <c r="AI44" i="90" s="1"/>
  <c r="AJ44" i="90" s="1"/>
  <c r="AF26" i="90"/>
  <c r="AI26" i="90" s="1"/>
  <c r="AJ26" i="90" s="1"/>
  <c r="AK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I17" i="90" l="1"/>
  <c r="AJ17" i="90" s="1"/>
  <c r="AI41" i="90"/>
  <c r="AI11" i="90"/>
  <c r="AI38" i="90"/>
  <c r="AJ38" i="90" s="1"/>
  <c r="AK38" i="90" s="1"/>
  <c r="AI5" i="90"/>
  <c r="AJ5" i="90" s="1"/>
  <c r="AK5"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R11" i="96" l="1"/>
  <c r="U11" i="96" s="1"/>
  <c r="AO5" i="90"/>
  <c r="R16" i="96"/>
  <c r="T16" i="96" s="1"/>
  <c r="AO38" i="90"/>
  <c r="R16" i="94"/>
  <c r="U16" i="94" s="1"/>
  <c r="R11" i="94"/>
  <c r="U11" i="94" s="1"/>
  <c r="AL5" i="90"/>
  <c r="AL38" i="90"/>
  <c r="AJ11" i="90"/>
  <c r="AK11" i="90" s="1"/>
  <c r="AJ41" i="90"/>
  <c r="AK41"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10" i="1"/>
  <c r="AO6" i="1"/>
  <c r="AO9" i="1"/>
  <c r="AO12"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O2" i="90" s="1"/>
  <c r="AL32" i="90"/>
  <c r="AL23" i="90"/>
  <c r="AL29" i="90"/>
  <c r="AK35" i="90"/>
  <c r="AO26" i="90"/>
  <c r="V4" i="85"/>
  <c r="W4" i="85"/>
  <c r="W6" i="85"/>
  <c r="M17" i="85"/>
  <c r="AK17" i="90"/>
  <c r="AM18" i="90" s="1"/>
  <c r="W8" i="85"/>
  <c r="V17" i="85"/>
  <c r="AK47" i="90"/>
  <c r="V6" i="85"/>
  <c r="V8" i="85"/>
  <c r="M13" i="85"/>
  <c r="M7" i="85"/>
  <c r="U7" i="96" l="1"/>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K8" i="90"/>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B31" i="72" l="1"/>
  <c r="D15" i="53"/>
  <c r="B52" i="72"/>
  <c r="G4" i="52"/>
  <c r="Q13" i="94"/>
  <c r="H13" i="94"/>
  <c r="B32" i="72"/>
  <c r="D14" i="53"/>
  <c r="Q5" i="94"/>
  <c r="H5" i="94"/>
  <c r="E81" i="9"/>
  <c r="E80" i="9"/>
  <c r="C80" i="9"/>
  <c r="Q6" i="94"/>
  <c r="H6" i="94"/>
  <c r="C73" i="9"/>
  <c r="C78" i="9"/>
  <c r="E97" i="9"/>
  <c r="E96" i="9"/>
  <c r="C96" i="9"/>
  <c r="D54" i="9"/>
  <c r="C68" i="9"/>
  <c r="Q5" i="96"/>
  <c r="H5" i="96"/>
  <c r="C85" i="9"/>
  <c r="C95" i="9"/>
  <c r="C97" i="9"/>
  <c r="D58" i="9"/>
  <c r="D56" i="9"/>
  <c r="M54" i="9"/>
  <c r="B48" i="72"/>
  <c r="E4" i="52"/>
  <c r="Q10" i="96"/>
  <c r="H10" i="96"/>
  <c r="C104" i="9"/>
  <c r="H4" i="52"/>
  <c r="Q10" i="94"/>
  <c r="H10" i="94"/>
  <c r="M48" i="9"/>
  <c r="P57" i="9"/>
  <c r="N58" i="9"/>
  <c r="Q6" i="96"/>
  <c r="H6" i="96"/>
  <c r="B22" i="72"/>
  <c r="D6" i="53"/>
  <c r="H119" i="9"/>
  <c r="H5" i="52"/>
  <c r="F4" i="52"/>
  <c r="B51" i="72"/>
  <c r="C5" i="74"/>
  <c r="D8" i="52"/>
  <c r="C86" i="9"/>
  <c r="C93" i="9"/>
  <c r="D13" i="53"/>
  <c r="B30" i="72"/>
  <c r="D4" i="52"/>
  <c r="B47" i="72"/>
  <c r="Q12" i="96"/>
  <c r="H12" i="96"/>
  <c r="D5" i="53"/>
  <c r="B20" i="72"/>
  <c r="C72" i="9"/>
  <c r="C79" i="9"/>
  <c r="C81" i="9"/>
  <c r="N60" i="9"/>
  <c r="D55" i="9"/>
  <c r="M53" i="9"/>
  <c r="N57" i="9"/>
  <c r="N59" i="9"/>
  <c r="N61" i="9"/>
  <c r="G118" i="9"/>
  <c r="F118" i="9"/>
  <c r="F119" i="9"/>
  <c r="F5" i="52"/>
  <c r="B53" i="72"/>
  <c r="D52" i="9"/>
  <c r="D53" i="9"/>
  <c r="E118" i="9"/>
  <c r="D118" i="9"/>
  <c r="D119" i="9"/>
  <c r="D5" i="52"/>
  <c r="B49" i="72"/>
  <c r="C105" i="9"/>
  <c r="I4" i="52"/>
  <c r="H108" i="9"/>
  <c r="C6" i="74"/>
  <c r="H17" i="96"/>
  <c r="Q17" i="96"/>
  <c r="D45" i="9"/>
  <c r="C64" i="9"/>
  <c r="C63" i="9"/>
  <c r="C67" i="9"/>
  <c r="D59" i="9"/>
  <c r="M55" i="9"/>
  <c r="H12" i="94"/>
  <c r="Q12" i="94"/>
  <c r="H102" i="9"/>
  <c r="D7" i="53"/>
  <c r="B21" i="72"/>
  <c r="I118" i="9"/>
  <c r="H118" i="9"/>
  <c r="H101" i="9"/>
  <c r="H107" i="9"/>
  <c r="D122" i="9"/>
  <c r="D123" i="9"/>
  <c r="D9" i="52"/>
  <c r="H2" i="96"/>
  <c r="Q2" i="96"/>
  <c r="H13" i="96"/>
  <c r="Q13" i="96"/>
  <c r="H2" i="94"/>
  <c r="Q2" i="94"/>
  <c r="H17" i="94"/>
  <c r="Q1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<sst xmlns="http://schemas.openxmlformats.org/spreadsheetml/2006/main" count="10104" uniqueCount="4005">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</sst>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181" fontId="49" fillId="32" borderId="24" xfId="0" applyNumberFormat="1" applyFont="1" applyFill="1" applyBorder="1" applyAlignment="1" applyProtection="1">
      <alignment horizontal="center" vertical="center"/>
      <protection locked="0"/>
    </xf>
    <xf numFmtId="9" fontId="49" fillId="32" borderId="5" xfId="0" applyNumberFormat="1" applyFont="1" applyFill="1" applyBorder="1" applyAlignment="1" applyProtection="1">
      <alignment horizontal="center" vertical="center"/>
      <protection locked="0"/>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0.23216516600190298</c:v>
                      </c:pt>
                      <c:pt idx="1">
                        <c:v>0.22415053473888366</c:v>
                      </c:pt>
                      <c:pt idx="2">
                        <c:v>0.23608743251886108</c:v>
                      </c:pt>
                      <c:pt idx="3">
                        <c:v>0.21323818885635479</c:v>
                      </c:pt>
                      <c:pt idx="4">
                        <c:v>0.19530542828424557</c:v>
                      </c:pt>
                      <c:pt idx="5">
                        <c:v>0.17613733502425608</c:v>
                      </c:pt>
                      <c:pt idx="6">
                        <c:v>0.17111637442292818</c:v>
                      </c:pt>
                      <c:pt idx="7">
                        <c:v>0.18778686188330973</c:v>
                      </c:pt>
                      <c:pt idx="8">
                        <c:v>0.18668931969042202</c:v>
                      </c:pt>
                      <c:pt idx="9">
                        <c:v>0.18348353490886418</c:v>
                      </c:pt>
                      <c:pt idx="10">
                        <c:v>0.17903081366457971</c:v>
                      </c:pt>
                      <c:pt idx="11">
                        <c:v>0.21502395253007256</c:v>
                      </c:pt>
                      <c:pt idx="12">
                        <c:v>0.18282572105290054</c:v>
                      </c:pt>
                      <c:pt idx="13">
                        <c:v>0.21156891854304413</c:v>
                      </c:pt>
                      <c:pt idx="14">
                        <c:v>0.21701723748669674</c:v>
                      </c:pt>
                      <c:pt idx="15">
                        <c:v>0.22751046126655139</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351.52199999999999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351.52199999999999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351.52199999999999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估价对象为房地产，为所有。根据《国有土地使用证》[]，估价对象（分摊）出让国有建设用地使用权面积为109.97平方米，建筑面积为430.07平方米。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估价对象为房地产,属开发建设的，该项目尚在开发建设中。根据《国有土地使用证》[]，估价对象（分摊）出让国有建设用地使用权面积为109.97平方米，规划建筑面积为430.07平方米。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430.07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430.07</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430.07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430.07</v>
      </c>
      <c r="H5" s="13">
        <f t="shared" ref="H5:AT5" si="0">SUM(H13:H656)</f>
        <v>430.07</v>
      </c>
      <c r="I5" s="13">
        <f t="shared" si="0"/>
        <v>194.07</v>
      </c>
      <c r="J5" s="13">
        <f t="shared" si="0"/>
        <v>0</v>
      </c>
      <c r="K5" s="13">
        <f t="shared" si="0"/>
        <v>236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430.07</v>
      </c>
      <c r="BA5" s="15">
        <f t="shared" si="1"/>
        <v>430.07</v>
      </c>
      <c r="BB5" s="15">
        <f t="shared" si="1"/>
        <v>194.07</v>
      </c>
      <c r="BC5" s="15">
        <f t="shared" si="1"/>
        <v>236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49.62</v>
      </c>
      <c r="J6" s="13">
        <f t="shared" si="2"/>
        <v>0</v>
      </c>
      <c r="K6" s="13">
        <f t="shared" si="2"/>
        <v>60.35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49.62</v>
      </c>
      <c r="BC6" s="13">
        <f t="shared" ref="BC6:BH6" si="4">ROUND($AY$6*BC5/$AZ$5,2)</f>
        <v>60.35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117</v>
      </c>
      <c r="C13" s="3197" t="s">
        <v>3472</v>
      </c>
      <c r="D13" s="1513" t="s">
        <v>3469</v>
      </c>
      <c r="E13" s="13">
        <f>IF($C$3="是",ROUND($A$3*G13/$B$3,2),ROUND($A$3*(G13-AT13)/$B$3,2))</f>
        <v>31.53</v>
      </c>
      <c r="F13" s="29"/>
      <c r="G13" s="30">
        <f>H13+AC13+AT13</f>
        <v>123.31</v>
      </c>
      <c r="H13" s="17">
        <f>SUMIF(I$12:AB$12,"总值",I13:AB13)</f>
        <v>123.31</v>
      </c>
      <c r="I13" s="1514">
        <f>房源修正表!G18</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117</v>
      </c>
      <c r="AX13" s="8" t="str">
        <f t="shared" si="6"/>
        <v>1层</v>
      </c>
      <c r="AY13" s="1260">
        <f>ROUND($AY$6*AZ13/$AZ$5,2)</f>
        <v>31.53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18.09</v>
      </c>
      <c r="F14" s="29"/>
      <c r="G14" s="30">
        <f>H14+AC14+AT14</f>
        <v>70.760000000000005</v>
      </c>
      <c r="H14" s="17">
        <f>SUMIF(I$12:AB$12,"总值",I14:AB14)</f>
        <v>70.760000000000005</v>
      </c>
      <c r="I14" s="1514">
        <f>房源修正表!G19</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18.09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60.35</v>
      </c>
      <c r="F15" s="29"/>
      <c r="G15" s="30">
        <f>H15+AC15+AT15</f>
        <v>236</v>
      </c>
      <c r="H15" s="17">
        <f>SUMIF(I$12:AB$12,"总值",I15:AB15)</f>
        <v>236</v>
      </c>
      <c r="I15" s="1514"/>
      <c r="J15" s="1514"/>
      <c r="K15" s="1514">
        <f>房源修正表!G17</f>
        <v>236</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60.35</v>
      </c>
      <c r="AZ15" s="13">
        <f>BA15+BL15</f>
        <v>236</v>
      </c>
      <c r="BA15" s="13">
        <f>SUM(BB15:BK15)</f>
        <v>236</v>
      </c>
      <c r="BB15" s="13">
        <f>IF($D15="是",I15-J15,0)</f>
        <v>0</v>
      </c>
      <c r="BC15" s="13">
        <f>IF($D15="是",K15-L15,0)</f>
        <v>236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430.07</v>
      </c>
      <c r="F3" s="2439"/>
      <c r="G3" s="42"/>
      <c r="H3" s="43" t="s">
        <v>1106</v>
      </c>
      <c r="I3" s="802">
        <f>ROUND('数据-基础表'!B3/'数据-基础表'!A3,2)</f>
        <v>3.91</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70" t="s">
        <v>1110</v>
      </c>
      <c r="C5" s="3470"/>
      <c r="D5" s="43">
        <f>ROUND($D$3*E5/$E$3,2)</f>
        <v>109.97</v>
      </c>
      <c r="E5" s="44">
        <f>SUMIF('数据-基础表'!$11:$11,"住宅",'数据-基础表'!$5:$5)</f>
        <v>430.07</v>
      </c>
      <c r="F5" s="2439"/>
      <c r="G5" s="42"/>
      <c r="H5" s="43" t="s">
        <v>1106</v>
      </c>
      <c r="I5" s="802">
        <f>ROUND(E31/D31,2)</f>
        <v>3.91</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1.76</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49.62</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49.62</v>
      </c>
      <c r="E16" s="48">
        <f>SUM(E8:E15)</f>
        <v>194.07</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49.62</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49.62</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60.35</v>
      </c>
      <c r="E21" s="51">
        <f t="shared" si="1"/>
        <v>236</v>
      </c>
      <c r="F21" s="2558"/>
      <c r="G21" s="1243">
        <f>'数据-基础表'!K15</f>
        <v>236</v>
      </c>
      <c r="H21" s="637">
        <f t="shared" si="7"/>
        <v>0</v>
      </c>
      <c r="I21" s="46">
        <f t="shared" si="2"/>
        <v>0</v>
      </c>
      <c r="J21" s="1071"/>
      <c r="K21" s="637">
        <f t="shared" si="3"/>
        <v>0</v>
      </c>
      <c r="L21" s="43">
        <f t="shared" si="4"/>
        <v>0</v>
      </c>
      <c r="M21" s="46">
        <f t="shared" si="8"/>
        <v>0</v>
      </c>
      <c r="N21" s="1550"/>
      <c r="O21" s="1551"/>
      <c r="P21" s="46">
        <f t="shared" si="9"/>
        <v>0</v>
      </c>
      <c r="R21" s="43">
        <f t="shared" si="5"/>
        <v>60.35</v>
      </c>
      <c r="S21" s="51">
        <f t="shared" si="5"/>
        <v>236</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430.07</v>
      </c>
      <c r="F27" s="1072">
        <f>IF(SUM(F19:F26)=E8,SUM(F19:F26),"地上面积有误")</f>
        <v>194.07</v>
      </c>
      <c r="G27" s="1074">
        <f>SUM(G19:G26)</f>
        <v>236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430.07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430.07</v>
      </c>
      <c r="F31" s="644">
        <f>F27+F30</f>
        <v>194.07</v>
      </c>
      <c r="G31" s="645">
        <f>G27+G30</f>
        <v>236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49.62</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236</v>
      </c>
      <c r="L8" s="692">
        <v>2900</v>
      </c>
      <c r="M8" s="64">
        <f>ROUND(K8*L8/10000,0)</f>
        <v>68</v>
      </c>
      <c r="N8" s="690">
        <v>1</v>
      </c>
      <c r="O8" s="64" t="str">
        <f t="shared" si="3"/>
        <v>——</v>
      </c>
      <c r="P8" s="65" t="str">
        <f t="shared" si="4"/>
        <v>——</v>
      </c>
      <c r="Q8" s="3735">
        <v>0.18</v>
      </c>
      <c r="R8" s="66">
        <f ca="1">SUMIF('数据-汇总表'!C$19:C$33,A8,'数据-汇总表'!R$19:R$27)</f>
        <v>60.35</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684400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430.07</v>
      </c>
      <c r="L16" s="87">
        <f>ROUND(M16*10000/SUM(K6:K14),0)</f>
        <v>2883</v>
      </c>
      <c r="M16" s="87">
        <f>SUM(M6:M14)</f>
        <v>124</v>
      </c>
      <c r="N16" s="88">
        <f>ROUND(SUMPRODUCT(M6:M14,N6:N14)/M16,3)</f>
        <v>1</v>
      </c>
      <c r="O16" s="87">
        <f>SUM(O6:O14)</f>
        <v>0</v>
      </c>
      <c r="P16" s="87">
        <f>SUM(P6:P14)</f>
        <v>0</v>
      </c>
      <c r="Q16" s="89">
        <f>ROUND(SUMPRODUCT(Q6:Q13,K6:K13)/SUMPRODUCT((Q6:Q13&gt;0)*(K6:K13)),2)</f>
        <v>0.23</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4">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430.07</v>
      </c>
      <c r="M18" s="294">
        <f>IF(C1="",'数据-汇总表'!E3,SUMIF(项目类型,C1,'数据-汇总表'!E17:E26))</f>
        <v>430.07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430.07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38944</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905527</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430.07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12</v>
      </c>
      <c r="D19" s="204">
        <f ca="1">D9+D10</f>
        <v>430.07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837</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6450</v>
      </c>
      <c r="D27" s="227">
        <f ca="1">C29</f>
        <v>6.4000000000000003E-3</v>
      </c>
      <c r="E27" s="228" t="s">
        <v>1512</v>
      </c>
      <c r="F27" s="238">
        <f ca="1">IF(B1="",'数据-取费表'!Q16,INDIRECT("'数据-取费表'!q"&amp;$G$1))</f>
        <v>0.23</v>
      </c>
      <c r="G27" s="239" t="s">
        <v>1513</v>
      </c>
    </row>
    <row r="28" spans="1:7" s="206" customFormat="1" ht="13.5" customHeight="1">
      <c r="A28" s="734" t="s">
        <v>346</v>
      </c>
      <c r="B28" s="240" t="s">
        <v>1514</v>
      </c>
      <c r="C28" s="241">
        <f ca="1">ROUND((C5+C19+C20)*F27*'数据-取费表'!B21/'数据-取费表'!B20,0)</f>
        <v>6450</v>
      </c>
      <c r="D28" s="227"/>
      <c r="E28" s="228"/>
      <c r="F28" s="238"/>
      <c r="G28" s="239"/>
    </row>
    <row r="29" spans="1:7" s="206" customFormat="1" ht="13.5" customHeight="1">
      <c r="A29" s="734" t="s">
        <v>347</v>
      </c>
      <c r="B29" s="240" t="s">
        <v>1515</v>
      </c>
      <c r="C29" s="230">
        <f ca="1">ROUND(C21*F27*'数据-取费表'!B21/'数据-取费表'!B20,4)</f>
        <v>6.4000000000000003E-3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38742</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147</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124</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430.07</v>
      </c>
      <c r="E37" s="241">
        <f>'数据-取费表'!B35</f>
        <v>200</v>
      </c>
      <c r="F37" s="251"/>
      <c r="G37" s="253" t="s">
        <v>1530</v>
      </c>
    </row>
    <row r="38" spans="1:7" ht="13.5" customHeight="1">
      <c r="A38" s="734" t="s">
        <v>354</v>
      </c>
      <c r="B38" s="207" t="s">
        <v>1531</v>
      </c>
      <c r="C38" s="212">
        <f ca="1">ROUND(C34*F38,0)</f>
        <v>2</v>
      </c>
      <c r="D38" s="212"/>
      <c r="E38" s="212"/>
      <c r="F38" s="251">
        <f>'数据-取费表'!B36</f>
        <v>0.02</v>
      </c>
      <c r="G38" s="211" t="s">
        <v>1526</v>
      </c>
    </row>
    <row r="39" spans="1:7" s="206" customFormat="1" ht="13.5" customHeight="1">
      <c r="A39" s="247" t="s">
        <v>1532</v>
      </c>
      <c r="B39" s="202" t="s">
        <v>1533</v>
      </c>
      <c r="C39" s="224">
        <f ca="1">ROUND(C33*F20,0)</f>
        <v>1</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2</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34</v>
      </c>
      <c r="D45" s="227">
        <f ca="1">C47</f>
        <v>6.4000000000000003E-3</v>
      </c>
      <c r="E45" s="228" t="s">
        <v>1537</v>
      </c>
      <c r="F45" s="238">
        <f ca="1">F27</f>
        <v>0.23</v>
      </c>
      <c r="G45" s="239" t="s">
        <v>1546</v>
      </c>
    </row>
    <row r="46" spans="1:7" s="206" customFormat="1" ht="13.5" customHeight="1">
      <c r="A46" s="734" t="s">
        <v>346</v>
      </c>
      <c r="B46" s="240" t="s">
        <v>1547</v>
      </c>
      <c r="C46" s="241">
        <f ca="1">ROUND((C33+C39)*F27,0)</f>
        <v>34</v>
      </c>
      <c r="D46" s="255"/>
      <c r="E46" s="228"/>
      <c r="F46" s="238"/>
      <c r="G46" s="239"/>
    </row>
    <row r="47" spans="1:7" s="206" customFormat="1" ht="13.5" customHeight="1">
      <c r="A47" s="734" t="s">
        <v>347</v>
      </c>
      <c r="B47" s="240" t="s">
        <v>1548</v>
      </c>
      <c r="C47" s="230">
        <f ca="1">ROUND(C40*F27,4)</f>
        <v>6.4000000000000003E-3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202</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202</v>
      </c>
      <c r="D51" s="224"/>
      <c r="E51" s="224"/>
      <c r="F51" s="256"/>
      <c r="G51" s="226" t="s">
        <v>1558</v>
      </c>
    </row>
    <row r="52" spans="1:7" s="200" customFormat="1" ht="16.5" thickBot="1">
      <c r="A52" s="257" t="s">
        <v>1559</v>
      </c>
      <c r="B52" s="258"/>
      <c r="C52" s="259">
        <f ca="1">C31+C51</f>
        <v>38944</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33497</v>
      </c>
      <c r="C2" s="268" t="s">
        <v>1593</v>
      </c>
      <c r="D2" s="268"/>
      <c r="E2" s="2568"/>
      <c r="F2" s="2568"/>
      <c r="G2" s="2568"/>
      <c r="H2" s="2568"/>
      <c r="I2" s="2568"/>
      <c r="J2" s="2568"/>
      <c r="K2" s="2568"/>
    </row>
    <row r="3" spans="1:33" ht="18" customHeight="1" thickBot="1">
      <c r="A3" s="195" t="s">
        <v>1462</v>
      </c>
      <c r="B3" s="196">
        <f ca="1">ROUND(B2*10000/IF(C1="",'数据-汇总表'!E3,INDIRECT("'数据-取费表'!K"&amp;$K$1)),0)</f>
        <v>778873</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430.07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430.07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430.07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-6445</v>
      </c>
      <c r="D28" s="272">
        <f ca="1">C29</f>
        <v>0</v>
      </c>
      <c r="E28" s="274" t="s">
        <v>12</v>
      </c>
      <c r="F28" s="280">
        <f ca="1">IF(C1="",'数据-取费表'!Q16,INDIRECT("'数据-取费表'!q"&amp;$K$1))</f>
        <v>0.23</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-6445</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33497</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430.07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430.07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430.07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430.07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估价对象为房地产，为所有。根据《国有土地使用证》[]，估价对象（分摊）出让国有建设用地使用权面积为109.97平方米，建筑面积为430.07平方米。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估价对象为房地产,属开发建设的，该项目尚在开发建设中。根据《国有土地使用证》[]，估价对象（分摊）出让国有建设用地使用权面积为109.97平方米，规划建筑面积为430.07平方米。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148.56</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306616</v>
      </c>
      <c r="D5" s="203" t="s">
        <v>1467</v>
      </c>
      <c r="E5" s="204" t="s">
        <v>1468</v>
      </c>
      <c r="F5" s="204" t="s">
        <v>1469</v>
      </c>
      <c r="G5" s="205"/>
    </row>
    <row r="6" spans="1:8" s="206" customFormat="1" ht="13.5" customHeight="1">
      <c r="A6" s="732" t="s">
        <v>346</v>
      </c>
      <c r="B6" s="207" t="s">
        <v>1471</v>
      </c>
      <c r="C6" s="208">
        <f>标定地价!Q16*'数据-汇总表'!G21</f>
        <v>264792</v>
      </c>
      <c r="D6" s="209"/>
      <c r="E6" s="210"/>
      <c r="F6" s="210"/>
      <c r="G6" s="211"/>
    </row>
    <row r="7" spans="1:8" s="206" customFormat="1" ht="13.5" customHeight="1">
      <c r="A7" s="732" t="s">
        <v>347</v>
      </c>
      <c r="B7" s="207" t="s">
        <v>1473</v>
      </c>
      <c r="C7" s="212">
        <f>ROUND(C6*F7,0)</f>
        <v>8076</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33748</v>
      </c>
      <c r="D8" s="214"/>
      <c r="E8" s="212"/>
      <c r="F8" s="213"/>
      <c r="G8" s="1714" t="s">
        <v>3550</v>
      </c>
    </row>
    <row r="9" spans="1:8" s="206" customFormat="1" ht="13.5" customHeight="1">
      <c r="A9" s="733" t="s">
        <v>355</v>
      </c>
      <c r="B9" s="216" t="s">
        <v>1476</v>
      </c>
      <c r="C9" s="217">
        <f ca="1">ROUND(D9*E9,0)</f>
        <v>33748</v>
      </c>
      <c r="D9" s="795">
        <f ca="1">IF(B1="",'数据-汇总表'!E5,IF(INDIRECT("'数据-取费表'!c"&amp;$G$1)="住宅",INDIRECT("'数据-取费表'!k"&amp;$G$1),0))</f>
        <v>236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236</v>
      </c>
      <c r="E19" s="203">
        <f>'数据-取费表'!B31</f>
        <v>280</v>
      </c>
      <c r="F19" s="223"/>
      <c r="G19" s="1714" t="s">
        <v>3551</v>
      </c>
    </row>
    <row r="20" spans="1:7" s="206" customFormat="1" ht="13.5" customHeight="1">
      <c r="A20" s="247" t="s">
        <v>1491</v>
      </c>
      <c r="B20" s="202" t="s">
        <v>1492</v>
      </c>
      <c r="C20" s="224">
        <f ca="1">ROUND((C5+C19)*F20,0)</f>
        <v>3066</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9244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9198</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46</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55743</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55743</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410237</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813728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684400</v>
      </c>
      <c r="D34" s="209"/>
      <c r="E34" s="212"/>
      <c r="F34" s="249"/>
      <c r="G34" s="211"/>
    </row>
    <row r="35" spans="1:7" ht="13.5" customHeight="1">
      <c r="A35" s="734" t="s">
        <v>351</v>
      </c>
      <c r="B35" s="207" t="s">
        <v>1525</v>
      </c>
      <c r="C35" s="212">
        <f ca="1">ROUND(C34*F35,0)</f>
        <v>34220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34220</v>
      </c>
      <c r="D36" s="212"/>
      <c r="E36" s="212"/>
      <c r="F36" s="251">
        <f>'数据-取费表'!B34</f>
        <v>0.05</v>
      </c>
      <c r="G36" s="252" t="s">
        <v>1528</v>
      </c>
    </row>
    <row r="37" spans="1:7" s="250" customFormat="1" ht="13.5" customHeight="1">
      <c r="A37" s="734" t="s">
        <v>353</v>
      </c>
      <c r="B37" s="207" t="s">
        <v>1529</v>
      </c>
      <c r="C37" s="241">
        <f ca="1">ROUND(E37*D37,0)</f>
        <v>47200</v>
      </c>
      <c r="D37" s="209">
        <f ca="1">D19</f>
        <v>236</v>
      </c>
      <c r="E37" s="241">
        <f>'数据-取费表'!B35</f>
        <v>200</v>
      </c>
      <c r="F37" s="251"/>
      <c r="G37" s="253"/>
    </row>
    <row r="38" spans="1:7" ht="13.5" customHeight="1">
      <c r="A38" s="734" t="s">
        <v>354</v>
      </c>
      <c r="B38" s="207" t="s">
        <v>1531</v>
      </c>
      <c r="C38" s="212">
        <f ca="1">ROUND(C34*F38,0)</f>
        <v>13688</v>
      </c>
      <c r="D38" s="212"/>
      <c r="E38" s="212"/>
      <c r="F38" s="251">
        <f>'数据-取费表'!B36</f>
        <v>0.02</v>
      </c>
      <c r="G38" s="211" t="s">
        <v>1526</v>
      </c>
    </row>
    <row r="39" spans="1:7" s="206" customFormat="1" ht="13.5" customHeight="1">
      <c r="A39" s="247" t="s">
        <v>1489</v>
      </c>
      <c r="B39" s="202" t="s">
        <v>1492</v>
      </c>
      <c r="C39" s="224">
        <f ca="1">ROUND(C33*F20,0)</f>
        <v>8137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12328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12206</v>
      </c>
      <c r="D42" s="230"/>
      <c r="E42" s="230"/>
      <c r="F42" s="231"/>
      <c r="G42" s="3567" t="s">
        <v>1589</v>
      </c>
    </row>
    <row r="43" spans="1:7" ht="13.5" customHeight="1">
      <c r="A43" s="734" t="s">
        <v>347</v>
      </c>
      <c r="B43" s="207" t="s">
        <v>1504</v>
      </c>
      <c r="C43" s="230">
        <f ca="1">ROUND(IF('数据-取费表'!B22&lt;=1,C39*F22*'数据-取费表'!B20/2,C39*(POWER((1+F22),'数据-取费表'!B20/2)-1)),0)</f>
        <v>122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147936</v>
      </c>
      <c r="D45" s="227">
        <f ca="1">C47</f>
        <v>5.0000000000000001E-3</v>
      </c>
      <c r="E45" s="228" t="s">
        <v>1537</v>
      </c>
      <c r="F45" s="238">
        <f ca="1">F27</f>
        <v>0.18</v>
      </c>
      <c r="G45" s="239" t="s">
        <v>1546</v>
      </c>
    </row>
    <row r="46" spans="1:7" s="206" customFormat="1" ht="13.5" customHeight="1">
      <c r="A46" s="734" t="s">
        <v>346</v>
      </c>
      <c r="B46" s="240" t="s">
        <v>1547</v>
      </c>
      <c r="C46" s="241">
        <f ca="1">ROUND((C33+C39)*F27,0)</f>
        <v>147936</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1075363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1075363</v>
      </c>
      <c r="D51" s="224"/>
      <c r="E51" s="224"/>
      <c r="F51" s="256"/>
      <c r="G51" s="226" t="s">
        <v>1558</v>
      </c>
    </row>
    <row r="52" spans="1:7" s="200" customFormat="1" ht="16.5" thickBot="1">
      <c r="A52" s="257" t="s">
        <v>1559</v>
      </c>
      <c r="B52" s="258"/>
      <c r="C52" s="259">
        <f ca="1">C31+C51</f>
        <v>1485600</v>
      </c>
      <c r="D52" s="258"/>
      <c r="E52" s="258"/>
      <c r="F52" s="258"/>
      <c r="G52" s="260"/>
    </row>
    <row r="54" spans="1:7">
      <c r="E54" s="264">
        <f ca="1">C31/C52</f>
        <v>0.27614229940764673</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146.60769999999999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292024</v>
      </c>
      <c r="D5" s="203" t="s">
        <v>1467</v>
      </c>
      <c r="E5" s="204" t="s">
        <v>1468</v>
      </c>
      <c r="F5" s="204" t="s">
        <v>1469</v>
      </c>
      <c r="G5" s="205"/>
    </row>
    <row r="6" spans="1:8" s="206" customFormat="1" ht="13.5" customHeight="1">
      <c r="A6" s="732" t="s">
        <v>346</v>
      </c>
      <c r="B6" s="207" t="s">
        <v>1471</v>
      </c>
      <c r="C6" s="208">
        <f>标定地价!Q17*'数据-汇总表'!G21</f>
        <v>250632</v>
      </c>
      <c r="D6" s="209"/>
      <c r="E6" s="210"/>
      <c r="F6" s="210"/>
      <c r="G6" s="211"/>
    </row>
    <row r="7" spans="1:8" s="206" customFormat="1" ht="13.5" customHeight="1">
      <c r="A7" s="732" t="s">
        <v>347</v>
      </c>
      <c r="B7" s="207" t="s">
        <v>1473</v>
      </c>
      <c r="C7" s="212">
        <f>ROUND(C6*F7,0)</f>
        <v>7644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33748</v>
      </c>
      <c r="D8" s="214"/>
      <c r="E8" s="212"/>
      <c r="F8" s="213"/>
      <c r="G8" s="1714" t="s">
        <v>3550</v>
      </c>
    </row>
    <row r="9" spans="1:8" s="206" customFormat="1" ht="13.5" customHeight="1">
      <c r="A9" s="733" t="s">
        <v>355</v>
      </c>
      <c r="B9" s="216" t="s">
        <v>1476</v>
      </c>
      <c r="C9" s="217">
        <f ca="1">ROUND(D9*E9,0)</f>
        <v>33748</v>
      </c>
      <c r="D9" s="795">
        <f ca="1">IF(B1="",'数据-汇总表'!E5,IF(INDIRECT("'数据-取费表'!c"&amp;$G$1)="住宅",INDIRECT("'数据-取费表'!k"&amp;$G$1),0))</f>
        <v>236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236</v>
      </c>
      <c r="E19" s="203">
        <f>'数据-取费表'!B31</f>
        <v>280</v>
      </c>
      <c r="F19" s="223"/>
      <c r="G19" s="1714" t="s">
        <v>3551</v>
      </c>
    </row>
    <row r="20" spans="1:7" s="206" customFormat="1" ht="13.5" customHeight="1">
      <c r="A20" s="247" t="s">
        <v>1491</v>
      </c>
      <c r="B20" s="202" t="s">
        <v>1492</v>
      </c>
      <c r="C20" s="224">
        <f ca="1">ROUND((C5+C19)*F20,0)</f>
        <v>2920</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8805</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8761</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44</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53090</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53090</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390714</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813728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684400</v>
      </c>
      <c r="D34" s="209"/>
      <c r="E34" s="212"/>
      <c r="F34" s="249"/>
      <c r="G34" s="211"/>
    </row>
    <row r="35" spans="1:7" ht="13.5" customHeight="1">
      <c r="A35" s="734" t="s">
        <v>351</v>
      </c>
      <c r="B35" s="207" t="s">
        <v>1525</v>
      </c>
      <c r="C35" s="212">
        <f ca="1">ROUND(C34*F35,0)</f>
        <v>34220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34220</v>
      </c>
      <c r="D36" s="212"/>
      <c r="E36" s="212"/>
      <c r="F36" s="251">
        <f>'数据-取费表'!B34</f>
        <v>0.05</v>
      </c>
      <c r="G36" s="252" t="s">
        <v>1528</v>
      </c>
    </row>
    <row r="37" spans="1:7" s="250" customFormat="1" ht="13.5" customHeight="1">
      <c r="A37" s="734" t="s">
        <v>353</v>
      </c>
      <c r="B37" s="207" t="s">
        <v>1529</v>
      </c>
      <c r="C37" s="241">
        <f ca="1">ROUND(E37*D37,0)</f>
        <v>47200</v>
      </c>
      <c r="D37" s="209">
        <f ca="1">D19</f>
        <v>236</v>
      </c>
      <c r="E37" s="241">
        <f>'数据-取费表'!B35</f>
        <v>200</v>
      </c>
      <c r="F37" s="251"/>
      <c r="G37" s="253"/>
    </row>
    <row r="38" spans="1:7" ht="13.5" customHeight="1">
      <c r="A38" s="734" t="s">
        <v>354</v>
      </c>
      <c r="B38" s="207" t="s">
        <v>1531</v>
      </c>
      <c r="C38" s="212">
        <f ca="1">ROUND(C34*F38,0)</f>
        <v>13688</v>
      </c>
      <c r="D38" s="212"/>
      <c r="E38" s="212"/>
      <c r="F38" s="251">
        <f>'数据-取费表'!B36</f>
        <v>0.02</v>
      </c>
      <c r="G38" s="211" t="s">
        <v>1526</v>
      </c>
    </row>
    <row r="39" spans="1:7" s="206" customFormat="1" ht="13.5" customHeight="1">
      <c r="A39" s="247" t="s">
        <v>1489</v>
      </c>
      <c r="B39" s="202" t="s">
        <v>1492</v>
      </c>
      <c r="C39" s="224">
        <f ca="1">ROUND(C33*F20,0)</f>
        <v>8137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12328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12206</v>
      </c>
      <c r="D42" s="230"/>
      <c r="E42" s="230"/>
      <c r="F42" s="231"/>
      <c r="G42" s="3567" t="s">
        <v>1589</v>
      </c>
    </row>
    <row r="43" spans="1:7" ht="13.5" customHeight="1">
      <c r="A43" s="734" t="s">
        <v>347</v>
      </c>
      <c r="B43" s="207" t="s">
        <v>1504</v>
      </c>
      <c r="C43" s="230">
        <f ca="1">ROUND(IF('数据-取费表'!B22&lt;=1,C39*F22*'数据-取费表'!B20/2,C39*(POWER((1+F22),'数据-取费表'!B20/2)-1)),0)</f>
        <v>122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147936</v>
      </c>
      <c r="D45" s="227">
        <f ca="1">C47</f>
        <v>5.0000000000000001E-3</v>
      </c>
      <c r="E45" s="228" t="s">
        <v>1537</v>
      </c>
      <c r="F45" s="238">
        <f ca="1">F27</f>
        <v>0.18</v>
      </c>
      <c r="G45" s="239" t="s">
        <v>1546</v>
      </c>
    </row>
    <row r="46" spans="1:7" s="206" customFormat="1" ht="13.5" customHeight="1">
      <c r="A46" s="734" t="s">
        <v>346</v>
      </c>
      <c r="B46" s="240" t="s">
        <v>1547</v>
      </c>
      <c r="C46" s="241">
        <f ca="1">ROUND((C33+C39)*F27,0)</f>
        <v>147936</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1075363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1075363</v>
      </c>
      <c r="D51" s="224"/>
      <c r="E51" s="224"/>
      <c r="F51" s="256"/>
      <c r="G51" s="226" t="s">
        <v>1558</v>
      </c>
    </row>
    <row r="52" spans="1:7" s="200" customFormat="1" ht="16.5" thickBot="1">
      <c r="A52" s="257" t="s">
        <v>1559</v>
      </c>
      <c r="B52" s="258"/>
      <c r="C52" s="259">
        <f ca="1">C31+C51</f>
        <v>1466077</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142.3451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260165</v>
      </c>
      <c r="D5" s="203" t="s">
        <v>1467</v>
      </c>
      <c r="E5" s="204" t="s">
        <v>1468</v>
      </c>
      <c r="F5" s="204" t="s">
        <v>1469</v>
      </c>
      <c r="G5" s="205"/>
    </row>
    <row r="6" spans="1:8" s="206" customFormat="1" ht="13.5" customHeight="1">
      <c r="A6" s="732" t="s">
        <v>346</v>
      </c>
      <c r="B6" s="207" t="s">
        <v>1471</v>
      </c>
      <c r="C6" s="208">
        <f>标定地价!Q18*'数据-汇总表'!G21</f>
        <v>219716</v>
      </c>
      <c r="D6" s="209"/>
      <c r="E6" s="210"/>
      <c r="F6" s="210"/>
      <c r="G6" s="211"/>
    </row>
    <row r="7" spans="1:8" s="206" customFormat="1" ht="13.5" customHeight="1">
      <c r="A7" s="732" t="s">
        <v>347</v>
      </c>
      <c r="B7" s="207" t="s">
        <v>1473</v>
      </c>
      <c r="C7" s="212">
        <f>ROUND(C6*F7,0)</f>
        <v>6701</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33748</v>
      </c>
      <c r="D8" s="214"/>
      <c r="E8" s="212"/>
      <c r="F8" s="213"/>
      <c r="G8" s="1714" t="s">
        <v>3550</v>
      </c>
    </row>
    <row r="9" spans="1:8" s="206" customFormat="1" ht="13.5" customHeight="1">
      <c r="A9" s="733" t="s">
        <v>355</v>
      </c>
      <c r="B9" s="216" t="s">
        <v>1476</v>
      </c>
      <c r="C9" s="217">
        <f ca="1">ROUND(D9*E9,0)</f>
        <v>33748</v>
      </c>
      <c r="D9" s="795">
        <f ca="1">IF(B1="",'数据-汇总表'!E5,IF(INDIRECT("'数据-取费表'!c"&amp;$G$1)="住宅",INDIRECT("'数据-取费表'!k"&amp;$G$1),0))</f>
        <v>236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236</v>
      </c>
      <c r="E19" s="203">
        <f>'数据-取费表'!B31</f>
        <v>280</v>
      </c>
      <c r="F19" s="223"/>
      <c r="G19" s="1714" t="s">
        <v>3551</v>
      </c>
    </row>
    <row r="20" spans="1:7" s="206" customFormat="1" ht="13.5" customHeight="1">
      <c r="A20" s="247" t="s">
        <v>1491</v>
      </c>
      <c r="B20" s="202" t="s">
        <v>1492</v>
      </c>
      <c r="C20" s="224">
        <f ca="1">ROUND((C5+C19)*F20,0)</f>
        <v>2602</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7844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7805</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39</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47298</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47298</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348088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813728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684400</v>
      </c>
      <c r="D34" s="209"/>
      <c r="E34" s="212"/>
      <c r="F34" s="249"/>
      <c r="G34" s="211"/>
    </row>
    <row r="35" spans="1:7" ht="13.5" customHeight="1">
      <c r="A35" s="734" t="s">
        <v>351</v>
      </c>
      <c r="B35" s="207" t="s">
        <v>1525</v>
      </c>
      <c r="C35" s="212">
        <f ca="1">ROUND(C34*F35,0)</f>
        <v>34220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34220</v>
      </c>
      <c r="D36" s="212"/>
      <c r="E36" s="212"/>
      <c r="F36" s="251">
        <f>'数据-取费表'!B34</f>
        <v>0.05</v>
      </c>
      <c r="G36" s="252" t="s">
        <v>1528</v>
      </c>
    </row>
    <row r="37" spans="1:7" s="250" customFormat="1" ht="13.5" customHeight="1">
      <c r="A37" s="734" t="s">
        <v>353</v>
      </c>
      <c r="B37" s="207" t="s">
        <v>1529</v>
      </c>
      <c r="C37" s="241">
        <f ca="1">ROUND(E37*D37,0)</f>
        <v>47200</v>
      </c>
      <c r="D37" s="209">
        <f ca="1">D19</f>
        <v>236</v>
      </c>
      <c r="E37" s="241">
        <f>'数据-取费表'!B35</f>
        <v>200</v>
      </c>
      <c r="F37" s="251"/>
      <c r="G37" s="253"/>
    </row>
    <row r="38" spans="1:7" ht="13.5" customHeight="1">
      <c r="A38" s="734" t="s">
        <v>354</v>
      </c>
      <c r="B38" s="207" t="s">
        <v>1531</v>
      </c>
      <c r="C38" s="212">
        <f ca="1">ROUND(C34*F38,0)</f>
        <v>13688</v>
      </c>
      <c r="D38" s="212"/>
      <c r="E38" s="212"/>
      <c r="F38" s="251">
        <f>'数据-取费表'!B36</f>
        <v>0.02</v>
      </c>
      <c r="G38" s="211" t="s">
        <v>1526</v>
      </c>
    </row>
    <row r="39" spans="1:7" s="206" customFormat="1" ht="13.5" customHeight="1">
      <c r="A39" s="247" t="s">
        <v>1489</v>
      </c>
      <c r="B39" s="202" t="s">
        <v>1492</v>
      </c>
      <c r="C39" s="224">
        <f ca="1">ROUND(C33*F20,0)</f>
        <v>8137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12328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12206</v>
      </c>
      <c r="D42" s="230"/>
      <c r="E42" s="230"/>
      <c r="F42" s="231"/>
      <c r="G42" s="3567" t="s">
        <v>1589</v>
      </c>
    </row>
    <row r="43" spans="1:7" ht="13.5" customHeight="1">
      <c r="A43" s="734" t="s">
        <v>347</v>
      </c>
      <c r="B43" s="207" t="s">
        <v>1504</v>
      </c>
      <c r="C43" s="230">
        <f ca="1">ROUND(IF('数据-取费表'!B22&lt;=1,C39*F22*'数据-取费表'!B20/2,C39*(POWER((1+F22),'数据-取费表'!B20/2)-1)),0)</f>
        <v>122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147936</v>
      </c>
      <c r="D45" s="227">
        <f ca="1">C47</f>
        <v>5.0000000000000001E-3</v>
      </c>
      <c r="E45" s="228" t="s">
        <v>1537</v>
      </c>
      <c r="F45" s="238">
        <f ca="1">F27</f>
        <v>0.18</v>
      </c>
      <c r="G45" s="239" t="s">
        <v>1546</v>
      </c>
    </row>
    <row r="46" spans="1:7" s="206" customFormat="1" ht="13.5" customHeight="1">
      <c r="A46" s="734" t="s">
        <v>346</v>
      </c>
      <c r="B46" s="240" t="s">
        <v>1547</v>
      </c>
      <c r="C46" s="241">
        <f ca="1">ROUND((C33+C39)*F27,0)</f>
        <v>147936</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1075363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1075363</v>
      </c>
      <c r="D51" s="224"/>
      <c r="E51" s="224"/>
      <c r="F51" s="256"/>
      <c r="G51" s="226" t="s">
        <v>1558</v>
      </c>
    </row>
    <row r="52" spans="1:7" s="200" customFormat="1" ht="16.5" thickBot="1">
      <c r="A52" s="257" t="s">
        <v>1559</v>
      </c>
      <c r="B52" s="258"/>
      <c r="C52" s="259">
        <f ca="1">C31+C51</f>
        <v>1423451</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F22" sqref="F2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160.9898</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399518</v>
      </c>
      <c r="D5" s="203" t="s">
        <v>1467</v>
      </c>
      <c r="E5" s="204" t="s">
        <v>1468</v>
      </c>
      <c r="F5" s="204" t="s">
        <v>1469</v>
      </c>
      <c r="G5" s="205"/>
    </row>
    <row r="6" spans="1:8" s="206" customFormat="1" ht="13.5" customHeight="1">
      <c r="A6" s="732" t="s">
        <v>346</v>
      </c>
      <c r="B6" s="207" t="s">
        <v>1471</v>
      </c>
      <c r="C6" s="208">
        <f>标定地价!Q19*'数据-汇总表'!G21</f>
        <v>354944</v>
      </c>
      <c r="D6" s="209"/>
      <c r="E6" s="210"/>
      <c r="F6" s="210"/>
      <c r="G6" s="211"/>
    </row>
    <row r="7" spans="1:8" s="206" customFormat="1" ht="13.5" customHeight="1">
      <c r="A7" s="732" t="s">
        <v>347</v>
      </c>
      <c r="B7" s="207" t="s">
        <v>1473</v>
      </c>
      <c r="C7" s="212">
        <f>ROUND(C6*F7,0)</f>
        <v>10826</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33748</v>
      </c>
      <c r="D8" s="214"/>
      <c r="E8" s="212"/>
      <c r="F8" s="213"/>
      <c r="G8" s="1714" t="s">
        <v>3550</v>
      </c>
    </row>
    <row r="9" spans="1:8" s="206" customFormat="1" ht="13.5" customHeight="1">
      <c r="A9" s="733" t="s">
        <v>355</v>
      </c>
      <c r="B9" s="216" t="s">
        <v>1476</v>
      </c>
      <c r="C9" s="217">
        <f ca="1">ROUND(D9*E9,0)</f>
        <v>33748</v>
      </c>
      <c r="D9" s="795">
        <f ca="1">IF(B1="",'数据-汇总表'!E5,IF(INDIRECT("'数据-取费表'!c"&amp;$G$1)="住宅",INDIRECT("'数据-取费表'!k"&amp;$G$1),0))</f>
        <v>236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236</v>
      </c>
      <c r="E19" s="203">
        <f>'数据-取费表'!B31</f>
        <v>280</v>
      </c>
      <c r="F19" s="223"/>
      <c r="G19" s="1714" t="s">
        <v>3551</v>
      </c>
    </row>
    <row r="20" spans="1:7" s="206" customFormat="1" ht="13.5" customHeight="1">
      <c r="A20" s="247" t="s">
        <v>1491</v>
      </c>
      <c r="B20" s="202" t="s">
        <v>1492</v>
      </c>
      <c r="C20" s="224">
        <f ca="1">ROUND((C5+C19)*F20,0)</f>
        <v>3995</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12046</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11986</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60</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72632</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72632</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534535</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813728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684400</v>
      </c>
      <c r="D34" s="209"/>
      <c r="E34" s="212"/>
      <c r="F34" s="249"/>
      <c r="G34" s="211"/>
    </row>
    <row r="35" spans="1:7" ht="13.5" customHeight="1">
      <c r="A35" s="734" t="s">
        <v>351</v>
      </c>
      <c r="B35" s="207" t="s">
        <v>1525</v>
      </c>
      <c r="C35" s="212">
        <f ca="1">ROUND(C34*F35,0)</f>
        <v>34220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34220</v>
      </c>
      <c r="D36" s="212"/>
      <c r="E36" s="212"/>
      <c r="F36" s="251">
        <f>'数据-取费表'!B34</f>
        <v>0.05</v>
      </c>
      <c r="G36" s="252" t="s">
        <v>1528</v>
      </c>
    </row>
    <row r="37" spans="1:7" s="250" customFormat="1" ht="13.5" customHeight="1">
      <c r="A37" s="734" t="s">
        <v>353</v>
      </c>
      <c r="B37" s="207" t="s">
        <v>1529</v>
      </c>
      <c r="C37" s="241">
        <f ca="1">ROUND(E37*D37,0)</f>
        <v>47200</v>
      </c>
      <c r="D37" s="209">
        <f ca="1">D19</f>
        <v>236</v>
      </c>
      <c r="E37" s="241">
        <f>'数据-取费表'!B35</f>
        <v>200</v>
      </c>
      <c r="F37" s="251"/>
      <c r="G37" s="253"/>
    </row>
    <row r="38" spans="1:7" ht="13.5" customHeight="1">
      <c r="A38" s="734" t="s">
        <v>354</v>
      </c>
      <c r="B38" s="207" t="s">
        <v>1531</v>
      </c>
      <c r="C38" s="212">
        <f ca="1">ROUND(C34*F38,0)</f>
        <v>13688</v>
      </c>
      <c r="D38" s="212"/>
      <c r="E38" s="212"/>
      <c r="F38" s="251">
        <f>'数据-取费表'!B36</f>
        <v>0.02</v>
      </c>
      <c r="G38" s="211" t="s">
        <v>1526</v>
      </c>
    </row>
    <row r="39" spans="1:7" s="206" customFormat="1" ht="13.5" customHeight="1">
      <c r="A39" s="247" t="s">
        <v>1489</v>
      </c>
      <c r="B39" s="202" t="s">
        <v>1492</v>
      </c>
      <c r="C39" s="224">
        <f ca="1">ROUND(C33*F20,0)</f>
        <v>8137</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12328</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12206</v>
      </c>
      <c r="D42" s="230"/>
      <c r="E42" s="230"/>
      <c r="F42" s="231"/>
      <c r="G42" s="3567" t="s">
        <v>1589</v>
      </c>
    </row>
    <row r="43" spans="1:7" ht="13.5" customHeight="1">
      <c r="A43" s="734" t="s">
        <v>347</v>
      </c>
      <c r="B43" s="207" t="s">
        <v>1504</v>
      </c>
      <c r="C43" s="230">
        <f ca="1">ROUND(IF('数据-取费表'!B22&lt;=1,C39*F22*'数据-取费表'!B20/2,C39*(POWER((1+F22),'数据-取费表'!B20/2)-1)),0)</f>
        <v>122</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147936</v>
      </c>
      <c r="D45" s="227">
        <f ca="1">C47</f>
        <v>5.0000000000000001E-3</v>
      </c>
      <c r="E45" s="228" t="s">
        <v>1537</v>
      </c>
      <c r="F45" s="238">
        <f ca="1">F27</f>
        <v>0.18</v>
      </c>
      <c r="G45" s="239" t="s">
        <v>1546</v>
      </c>
    </row>
    <row r="46" spans="1:7" s="206" customFormat="1" ht="13.5" customHeight="1">
      <c r="A46" s="734" t="s">
        <v>346</v>
      </c>
      <c r="B46" s="240" t="s">
        <v>1547</v>
      </c>
      <c r="C46" s="241">
        <f ca="1">ROUND((C33+C39)*F27,0)</f>
        <v>147936</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1075363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1075363</v>
      </c>
      <c r="D51" s="224"/>
      <c r="E51" s="224"/>
      <c r="F51" s="256"/>
      <c r="G51" s="226" t="s">
        <v>1558</v>
      </c>
    </row>
    <row r="52" spans="1:7" s="200" customFormat="1" ht="16.5" thickBot="1">
      <c r="A52" s="257" t="s">
        <v>1559</v>
      </c>
      <c r="B52" s="258"/>
      <c r="C52" s="259">
        <f ca="1">C31+C51</f>
        <v>1609898</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28977</v>
      </c>
      <c r="C2" s="2" t="s">
        <v>106</v>
      </c>
      <c r="D2" s="191"/>
      <c r="E2" s="191"/>
      <c r="F2" s="191"/>
      <c r="G2" s="191"/>
    </row>
    <row r="3" spans="1:7" s="192" customFormat="1" ht="18" customHeight="1" thickBot="1">
      <c r="A3" s="195" t="s">
        <v>58</v>
      </c>
      <c r="B3" s="196">
        <f ca="1">ROUND(B2*10000/'数据-汇总表'!E3,0)</f>
        <v>673774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430.07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430.07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621</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4790</v>
      </c>
      <c r="D27" s="227">
        <f>C29</f>
        <v>6.4000000000000003E-3</v>
      </c>
      <c r="E27" s="228" t="s">
        <v>99</v>
      </c>
      <c r="F27" s="238">
        <f>'数据-取费表'!Q16</f>
        <v>0.23</v>
      </c>
      <c r="G27" s="239" t="s">
        <v>431</v>
      </c>
    </row>
    <row r="28" spans="1:7" s="206" customFormat="1" ht="13.5" customHeight="1">
      <c r="A28" s="734" t="s">
        <v>349</v>
      </c>
      <c r="B28" s="240" t="s">
        <v>424</v>
      </c>
      <c r="C28" s="241">
        <f>ROUND((C5+C19+C20)*F27*'数据-取费表'!B21/'数据-取费表'!B20,0)</f>
        <v>4790</v>
      </c>
      <c r="D28" s="227"/>
      <c r="E28" s="228"/>
      <c r="F28" s="238"/>
      <c r="G28" s="239"/>
    </row>
    <row r="29" spans="1:7" s="206" customFormat="1" ht="13.5" customHeight="1">
      <c r="A29" s="734" t="s">
        <v>347</v>
      </c>
      <c r="B29" s="240" t="s">
        <v>425</v>
      </c>
      <c r="C29" s="230">
        <f>ROUND(C21*F27*'数据-取费表'!B21/'数据-取费表'!B20,4)</f>
        <v>6.4000000000000003E-3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28775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430.07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34</v>
      </c>
      <c r="D45" s="227">
        <f>C47</f>
        <v>6.4000000000000003E-3</v>
      </c>
      <c r="E45" s="228" t="s">
        <v>102</v>
      </c>
      <c r="F45" s="238"/>
      <c r="G45" s="239" t="s">
        <v>434</v>
      </c>
    </row>
    <row r="46" spans="1:7" s="206" customFormat="1" ht="13.5" customHeight="1">
      <c r="A46" s="734" t="s">
        <v>349</v>
      </c>
      <c r="B46" s="240" t="s">
        <v>427</v>
      </c>
      <c r="C46" s="241">
        <f>ROUND((C33+C39)*F27,0)</f>
        <v>34</v>
      </c>
      <c r="D46" s="255"/>
      <c r="E46" s="228"/>
      <c r="F46" s="238"/>
      <c r="G46" s="239"/>
    </row>
    <row r="47" spans="1:7" s="206" customFormat="1" ht="13.5" customHeight="1">
      <c r="A47" s="734" t="s">
        <v>347</v>
      </c>
      <c r="B47" s="240" t="s">
        <v>429</v>
      </c>
      <c r="C47" s="230">
        <f>ROUND(C40*F27,4)</f>
        <v>6.4000000000000003E-3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202</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202</v>
      </c>
      <c r="D51" s="224"/>
      <c r="E51" s="224"/>
      <c r="F51" s="256"/>
      <c r="G51" s="226" t="s">
        <v>37</v>
      </c>
    </row>
    <row r="52" spans="1:7" s="200" customFormat="1" ht="16.5" thickBot="1">
      <c r="A52" s="257" t="s">
        <v>38</v>
      </c>
      <c r="B52" s="258"/>
      <c r="C52" s="259">
        <f ca="1">C31+C51</f>
        <v>28977</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430.07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G2" activePane="bottomRight" state="frozen"/>
      <selection pane="topRight" activeCell="H1" sqref="H1"/>
      <selection pane="bottomLeft" activeCell="A2" sqref="A2"/>
      <selection pane="bottomRight" activeCell="AO57" sqref="AO57"/>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ROUND(AF2*AG2,0)</f>
        <v>6890</v>
      </c>
      <c r="AJ2" s="3726">
        <f ca="1">AC2-AI2</f>
        <v>8996</v>
      </c>
      <c r="AK2" s="3726">
        <f ca="1">AJ2*G2</f>
        <v>1826188</v>
      </c>
      <c r="AL2" s="3729">
        <f ca="1">ROUND(AK2/AA2/10000,4)</f>
        <v>0.1711</v>
      </c>
      <c r="AN2" s="3726">
        <v>1797971</v>
      </c>
      <c r="AO2" s="3726">
        <f ca="1">AK2-AN2</f>
        <v>28217</v>
      </c>
    </row>
    <row r="3" spans="1:41" hidden="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N3" s="3727"/>
      <c r="AO3" s="3727"/>
    </row>
    <row r="4" spans="1:41" hidden="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hidden="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t="shared" ref="AI5" ca="1" si="10">ROUND(AF5*AG5,0)</f>
        <v>6890</v>
      </c>
      <c r="AJ5" s="3726">
        <f t="shared" ref="AJ5" ca="1" si="11">AC5-AI5</f>
        <v>10397</v>
      </c>
      <c r="AK5" s="3726">
        <f t="shared" ref="AK5:AK47" ca="1" si="12">AJ5*G5</f>
        <v>2139702.6</v>
      </c>
      <c r="AL5" s="3729">
        <f ca="1">ROUND(AK5/AA5/10000,4)</f>
        <v>0.1835</v>
      </c>
      <c r="AN5" s="3726">
        <v>2111096.4</v>
      </c>
      <c r="AO5" s="3726">
        <f t="shared" ref="AO5" ca="1" si="13">AK5-AN5</f>
        <v>28606.200000000186</v>
      </c>
    </row>
    <row r="6" spans="1:41" hidden="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N6" s="3727"/>
      <c r="AO6" s="3727"/>
    </row>
    <row r="7" spans="1:41" hidden="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hidden="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4">G8+G9+G10</f>
        <v>399.87</v>
      </c>
      <c r="AA8" s="3726">
        <f>房源表及成交价!R4</f>
        <v>1124.923</v>
      </c>
      <c r="AB8" s="3726">
        <f t="shared" ref="AB8" si="15">ROUND(AA8/Z8*10000,0)</f>
        <v>28132</v>
      </c>
      <c r="AC8" s="3281">
        <f>ROUND(AC9*X8,0)</f>
        <v>16676</v>
      </c>
      <c r="AD8" s="3286">
        <f t="shared" si="7"/>
        <v>343.19</v>
      </c>
      <c r="AE8" s="3726">
        <v>1</v>
      </c>
      <c r="AF8" s="3726">
        <f ca="1">VLOOKUP(AE8,标定地价!$O$16:$R$19,4,0)</f>
        <v>6822</v>
      </c>
      <c r="AG8" s="3726">
        <f t="shared" ref="AG8" si="16">$AG$2</f>
        <v>1.01</v>
      </c>
      <c r="AH8" s="3726">
        <v>1.02</v>
      </c>
      <c r="AI8" s="3726">
        <f t="shared" ref="AI8" ca="1" si="17">ROUND(AF8*AG8,0)</f>
        <v>6890</v>
      </c>
      <c r="AJ8" s="3726">
        <f t="shared" ref="AJ8" ca="1" si="18">AC8-AI8</f>
        <v>9786</v>
      </c>
      <c r="AK8" s="3726">
        <f t="shared" ca="1" si="12"/>
        <v>2013958.8</v>
      </c>
      <c r="AL8" s="3729">
        <f t="shared" ref="AL8" ca="1" si="19">ROUND(AK8/AA8/10000,4)</f>
        <v>0.17899999999999999</v>
      </c>
      <c r="AN8" s="3726">
        <v>1985352.6</v>
      </c>
      <c r="AO8" s="3726">
        <f t="shared" ref="AO8" ca="1" si="20">AK8-AN8</f>
        <v>28606.199999999953</v>
      </c>
    </row>
    <row r="9" spans="1:41" hidden="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N9" s="3727"/>
      <c r="AO9" s="3727"/>
    </row>
    <row r="10" spans="1:41" hidden="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hidden="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1">ROUND((X11*G11+X12*G12+X13*G13)/Z11,4)</f>
        <v>0.71550000000000002</v>
      </c>
      <c r="Z11" s="3726">
        <f t="shared" ref="Z11" si="22">G11+G12+G13</f>
        <v>399.87</v>
      </c>
      <c r="AA11" s="3726">
        <f>房源表及成交价!R5</f>
        <v>1209.0226</v>
      </c>
      <c r="AB11" s="3726">
        <f t="shared" ref="AB11" si="23">ROUND(AA11/Z11*10000,0)</f>
        <v>30235</v>
      </c>
      <c r="AC11" s="3282">
        <f>ROUND(AC12*X11,0)</f>
        <v>17922</v>
      </c>
      <c r="AD11" s="3279">
        <f t="shared" si="7"/>
        <v>368.83</v>
      </c>
      <c r="AE11" s="3726">
        <v>1</v>
      </c>
      <c r="AF11" s="3726">
        <f ca="1">VLOOKUP(AE11,标定地价!$O$16:$R$19,4,0)</f>
        <v>6822</v>
      </c>
      <c r="AG11" s="3726">
        <f t="shared" ref="AG11" si="24">$AG$2</f>
        <v>1.01</v>
      </c>
      <c r="AH11" s="3726">
        <v>1.02</v>
      </c>
      <c r="AI11" s="3726">
        <f t="shared" ref="AI11" ca="1" si="25">ROUND(AF11*AG11,0)</f>
        <v>6890</v>
      </c>
      <c r="AJ11" s="3726">
        <f t="shared" ref="AJ11" ca="1" si="26">AC11-AI11</f>
        <v>11032</v>
      </c>
      <c r="AK11" s="3726">
        <f t="shared" ca="1" si="12"/>
        <v>2270385.6</v>
      </c>
      <c r="AL11" s="3729">
        <f t="shared" ref="AL11" ca="1" si="27">ROUND(AK11/AA11/10000,4)</f>
        <v>0.18779999999999999</v>
      </c>
      <c r="AN11" s="3726">
        <v>2241779.4</v>
      </c>
      <c r="AO11" s="3726">
        <f t="shared" ref="AO11" ca="1" si="28">AK11-AN11</f>
        <v>28606.200000000186</v>
      </c>
    </row>
    <row r="12" spans="1:41" hidden="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N12" s="3727"/>
      <c r="AO12" s="3727"/>
    </row>
    <row r="13" spans="1:41" hidden="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hidden="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9">ROUND((X14*G14+X15*G15+X16*G16)/Z14,4)</f>
        <v>0.71550000000000002</v>
      </c>
      <c r="Z14" s="3726">
        <f t="shared" ref="Z14:Z47" si="30">G14+G15+G16</f>
        <v>399.87</v>
      </c>
      <c r="AA14" s="3726">
        <f>房源表及成交价!R6</f>
        <v>1197.7209</v>
      </c>
      <c r="AB14" s="3726">
        <f t="shared" ref="AB14" si="31">ROUND(AA14/Z14*10000,0)</f>
        <v>29953</v>
      </c>
      <c r="AC14" s="3281">
        <f>ROUND(AC15*X14,0)</f>
        <v>17755</v>
      </c>
      <c r="AD14" s="3286">
        <f t="shared" si="7"/>
        <v>365.4</v>
      </c>
      <c r="AE14" s="3726">
        <v>1</v>
      </c>
      <c r="AF14" s="3726">
        <f ca="1">VLOOKUP(AE14,标定地价!$O$16:$R$19,4,0)</f>
        <v>6822</v>
      </c>
      <c r="AG14" s="3726">
        <f t="shared" ref="AG14" si="32">$AG$2</f>
        <v>1.01</v>
      </c>
      <c r="AH14" s="3726">
        <v>1.02</v>
      </c>
      <c r="AI14" s="3726">
        <f t="shared" ref="AI14" ca="1" si="33">ROUND(AF14*AG14,0)</f>
        <v>6890</v>
      </c>
      <c r="AJ14" s="3726">
        <f t="shared" ref="AJ14" ca="1" si="34">AC14-AI14</f>
        <v>10865</v>
      </c>
      <c r="AK14" s="3726">
        <f t="shared" ca="1" si="12"/>
        <v>2236017</v>
      </c>
      <c r="AL14" s="3729">
        <f t="shared" ref="AL14" ca="1" si="35">ROUND(AK14/AA14/10000,4)</f>
        <v>0.1867</v>
      </c>
      <c r="AN14" s="3726">
        <v>2207410.8000000003</v>
      </c>
      <c r="AO14" s="3726">
        <f t="shared" ref="AO14" ca="1" si="36">AK14-AN14</f>
        <v>28606.199999999721</v>
      </c>
    </row>
    <row r="15" spans="1:41" hidden="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N15" s="3727"/>
      <c r="AO15" s="3727"/>
    </row>
    <row r="16" spans="1:41" hidden="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7">ROUND((X17*G17+X18*G18+X19*G19)/Z17,4)</f>
        <v>0.69499999999999995</v>
      </c>
      <c r="Z17" s="3726">
        <f t="shared" si="30"/>
        <v>430.07</v>
      </c>
      <c r="AA17" s="3726">
        <f>房源表及成交价!R7</f>
        <v>1545.0806</v>
      </c>
      <c r="AB17" s="3726">
        <f t="shared" ref="AB17" si="38">ROUND(AA17/Z17*10000,0)</f>
        <v>35926</v>
      </c>
      <c r="AC17" s="3282">
        <f>ROUND(AC18*X17,0)</f>
        <v>21923</v>
      </c>
      <c r="AD17" s="3279">
        <f t="shared" si="7"/>
        <v>517.38</v>
      </c>
      <c r="AE17" s="3726">
        <v>1</v>
      </c>
      <c r="AF17" s="3726">
        <f ca="1">VLOOKUP(AE17,标定地价!$O$16:$R$19,4,0)</f>
        <v>6822</v>
      </c>
      <c r="AG17" s="3726">
        <f t="shared" ref="AG17" si="39">$AG$2</f>
        <v>1.01</v>
      </c>
      <c r="AH17" s="3726">
        <v>1.02</v>
      </c>
      <c r="AI17" s="3726">
        <f ca="1">ROUND(AF17*AG17*AH17,0)</f>
        <v>7028</v>
      </c>
      <c r="AJ17" s="3726">
        <f t="shared" ref="AJ17" ca="1" si="40">AC17-AI17</f>
        <v>14895</v>
      </c>
      <c r="AK17" s="3726">
        <f t="shared" ca="1" si="12"/>
        <v>3515220</v>
      </c>
      <c r="AL17" s="3729">
        <f t="shared" ref="AL17" ca="1" si="41">ROUND(AK17/AA17/10000,4)</f>
        <v>0.22750000000000001</v>
      </c>
      <c r="AN17" s="3726">
        <v>3514984</v>
      </c>
      <c r="AO17" s="3726">
        <f t="shared" ref="AO17" ca="1" si="42">AK17-AN17</f>
        <v>236</v>
      </c>
    </row>
    <row r="18" spans="1:4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M18">
        <f ca="1">ROUND(AK17/10000,1)</f>
        <v>351.5</v>
      </c>
      <c r="AN18" s="3727"/>
      <c r="AO18" s="3727"/>
    </row>
    <row r="19" spans="1:4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3">ROUND((X20*G20+X21*G21+X22*G22)/Z20,4)</f>
        <v>0.6845</v>
      </c>
      <c r="Z20" s="3726">
        <f t="shared" si="30"/>
        <v>447.47</v>
      </c>
      <c r="AA20" s="3726">
        <f>房源表及成交价!R8</f>
        <v>1285.1251999999999</v>
      </c>
      <c r="AB20" s="3726">
        <f t="shared" ref="AB20" si="44">ROUND(AA20/Z20*10000,0)</f>
        <v>28720</v>
      </c>
      <c r="AC20" s="3281">
        <f>ROUND(AC21*X20,0)</f>
        <v>17795</v>
      </c>
      <c r="AD20" s="3286">
        <f t="shared" si="7"/>
        <v>450.93</v>
      </c>
      <c r="AE20" s="3726">
        <v>1</v>
      </c>
      <c r="AF20" s="3726">
        <f ca="1">VLOOKUP(AE20,标定地价!$O$16:$R$19,4,0)</f>
        <v>6822</v>
      </c>
      <c r="AG20" s="3726">
        <f t="shared" ref="AG20" si="45">$AG$2</f>
        <v>1.01</v>
      </c>
      <c r="AH20" s="3726">
        <v>1.02</v>
      </c>
      <c r="AI20" s="3726">
        <f t="shared" ref="AI20" ca="1" si="46">ROUND(AF20*AG20,0)</f>
        <v>6890</v>
      </c>
      <c r="AJ20" s="3726">
        <f t="shared" ref="AJ20" ca="1" si="47">AC20-AI20</f>
        <v>10905</v>
      </c>
      <c r="AK20" s="3726">
        <f t="shared" ca="1" si="12"/>
        <v>2763327</v>
      </c>
      <c r="AL20" s="3729">
        <f t="shared" ref="AL20" ca="1" si="48">ROUND(AK20/AA20/10000,4)</f>
        <v>0.215</v>
      </c>
      <c r="AN20" s="3726">
        <v>2728104.4</v>
      </c>
      <c r="AO20" s="3726">
        <f t="shared" ref="AO20" ca="1" si="49">AK20-AN20</f>
        <v>35222.600000000093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0">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1">ROUND((X23*G23+X24*G24+X25*G25)/Z23,4)</f>
        <v>0.6845</v>
      </c>
      <c r="Z23" s="3726">
        <f t="shared" si="30"/>
        <v>447.47</v>
      </c>
      <c r="AA23" s="3726">
        <f>房源表及成交价!R9</f>
        <v>1253.2926</v>
      </c>
      <c r="AB23" s="3726">
        <f t="shared" ref="AB23" si="52">ROUND(AA23/Z23*10000,0)</f>
        <v>28008</v>
      </c>
      <c r="AC23" s="3282">
        <f>ROUND(AC24*X23,0)</f>
        <v>17354</v>
      </c>
      <c r="AD23" s="3279">
        <f t="shared" si="7"/>
        <v>439.75</v>
      </c>
      <c r="AE23" s="3726">
        <v>1</v>
      </c>
      <c r="AF23" s="3726">
        <f ca="1">VLOOKUP(AE23,标定地价!$O$16:$R$19,4,0)</f>
        <v>6822</v>
      </c>
      <c r="AG23" s="3726">
        <f t="shared" ref="AG23" si="53">$AG$2</f>
        <v>1.01</v>
      </c>
      <c r="AH23" s="3726">
        <v>1.02</v>
      </c>
      <c r="AI23" s="3726">
        <f t="shared" ref="AI23" ca="1" si="54">ROUND(AF23*AG23,0)</f>
        <v>6890</v>
      </c>
      <c r="AJ23" s="3726">
        <f t="shared" ref="AJ23" ca="1" si="55">AC23-AI23</f>
        <v>10464</v>
      </c>
      <c r="AK23" s="3726">
        <f t="shared" ca="1" si="12"/>
        <v>2651577.6</v>
      </c>
      <c r="AL23" s="3729">
        <f t="shared" ref="AL23" ca="1" si="56">ROUND(AK23/AA23/10000,4)</f>
        <v>0.21160000000000001</v>
      </c>
      <c r="AN23" s="3726">
        <v>2616355</v>
      </c>
      <c r="AO23" s="3726">
        <f t="shared" ref="AO23" ca="1" si="57">AK23-AN23</f>
        <v>35222.600000000093</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8">ROUND((X26*G26+X27*G27+X28*G28)/Z26,4)</f>
        <v>0.6845</v>
      </c>
      <c r="Z26" s="3726">
        <f t="shared" si="30"/>
        <v>447.47</v>
      </c>
      <c r="AA26" s="3726">
        <f>房源表及成交价!R10</f>
        <v>1470.7482</v>
      </c>
      <c r="AB26" s="3726">
        <f t="shared" ref="AB26" si="59">ROUND(AA26/Z26*10000,0)</f>
        <v>32868</v>
      </c>
      <c r="AC26" s="3281">
        <f>ROUND(AC27*X26,0)</f>
        <v>20365</v>
      </c>
      <c r="AD26" s="3286">
        <f t="shared" si="7"/>
        <v>516.04999999999995</v>
      </c>
      <c r="AE26" s="3726">
        <v>1</v>
      </c>
      <c r="AF26" s="3726">
        <f ca="1">VLOOKUP(AE26,标定地价!$O$16:$R$19,4,0)</f>
        <v>6822</v>
      </c>
      <c r="AG26" s="3726">
        <f t="shared" ref="AG26" si="60">$AG$2</f>
        <v>1.01</v>
      </c>
      <c r="AH26" s="3726">
        <v>1.02</v>
      </c>
      <c r="AI26" s="3726">
        <f t="shared" ref="AI26" ca="1" si="61">ROUND(AF26*AG26,0)</f>
        <v>6890</v>
      </c>
      <c r="AJ26" s="3726">
        <f t="shared" ref="AJ26" ca="1" si="62">AC26-AI26</f>
        <v>13475</v>
      </c>
      <c r="AK26" s="3726">
        <f ca="1">AJ26*G26</f>
        <v>3414565</v>
      </c>
      <c r="AL26" s="3729">
        <f t="shared" ref="AL26" ca="1" si="63">ROUND(AK26/AA26/10000,4)</f>
        <v>0.23219999999999999</v>
      </c>
      <c r="AN26" s="3726">
        <v>3379342.4</v>
      </c>
      <c r="AO26" s="3726">
        <f t="shared" ref="AO26" ca="1" si="64">AK26-AN26</f>
        <v>35222.600000000093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5">ROUND((X29*G29+X30*G30+X31*G31)/Z29,4)</f>
        <v>0.6845</v>
      </c>
      <c r="Z29" s="3726">
        <f t="shared" si="30"/>
        <v>447.47</v>
      </c>
      <c r="AA29" s="3726">
        <f>房源表及成交价!R11</f>
        <v>1521.0175999999999</v>
      </c>
      <c r="AB29" s="3726">
        <f t="shared" ref="AB29" si="66">ROUND(AA29/Z29*10000,0)</f>
        <v>33991</v>
      </c>
      <c r="AC29" s="3282">
        <f>ROUND(AC30*X29,0)</f>
        <v>21061</v>
      </c>
      <c r="AD29" s="3279">
        <f t="shared" si="7"/>
        <v>533.69000000000005</v>
      </c>
      <c r="AE29" s="3726">
        <v>1</v>
      </c>
      <c r="AF29" s="3726">
        <f ca="1">VLOOKUP(AE29,标定地价!$O$16:$R$19,4,0)</f>
        <v>6822</v>
      </c>
      <c r="AG29" s="3726">
        <f t="shared" ref="AG29" si="67">$AG$2</f>
        <v>1.01</v>
      </c>
      <c r="AH29" s="3726">
        <v>1.02</v>
      </c>
      <c r="AI29" s="3726">
        <f t="shared" ref="AI29" ca="1" si="68">ROUND(AF29*AG29,0)</f>
        <v>6890</v>
      </c>
      <c r="AJ29" s="3726">
        <f t="shared" ref="AJ29" ca="1" si="69">AC29-AI29</f>
        <v>14171</v>
      </c>
      <c r="AK29" s="3726">
        <f t="shared" ca="1" si="12"/>
        <v>3590931.4</v>
      </c>
      <c r="AL29" s="3729">
        <f t="shared" ref="AL29" ca="1" si="70">ROUND(AK29/AA29/10000,4)</f>
        <v>0.2361</v>
      </c>
      <c r="AN29" s="3726">
        <v>3555708.8000000003</v>
      </c>
      <c r="AO29" s="3726">
        <f t="shared" ref="AO29" ca="1" si="71">AK29-AN29</f>
        <v>35222.599999999627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2">ROUND((X32*G32+X33*G33+X34*G34)/Z32,4)</f>
        <v>0.6845</v>
      </c>
      <c r="Z32" s="3726">
        <f t="shared" si="30"/>
        <v>447.47</v>
      </c>
      <c r="AA32" s="3726">
        <f>房源表及成交价!R12</f>
        <v>1377.7284999999999</v>
      </c>
      <c r="AB32" s="3726">
        <f t="shared" ref="AB32" si="73">ROUND(AA32/Z32*10000,0)</f>
        <v>30789</v>
      </c>
      <c r="AC32" s="3281">
        <f>ROUND(AC33*X32,0)</f>
        <v>19077</v>
      </c>
      <c r="AD32" s="3286">
        <f t="shared" si="7"/>
        <v>483.41</v>
      </c>
      <c r="AE32" s="3726">
        <v>1</v>
      </c>
      <c r="AF32" s="3726">
        <f ca="1">VLOOKUP(AE32,标定地价!$O$16:$R$19,4,0)</f>
        <v>6822</v>
      </c>
      <c r="AG32" s="3726">
        <f t="shared" ref="AG32" si="74">$AG$2</f>
        <v>1.01</v>
      </c>
      <c r="AH32" s="3726">
        <v>1.02</v>
      </c>
      <c r="AI32" s="3726">
        <f t="shared" ref="AI32" ca="1" si="75">ROUND(AF32*AG32,0)</f>
        <v>6890</v>
      </c>
      <c r="AJ32" s="3726">
        <f t="shared" ref="AJ32" ca="1" si="76">AC32-AI32</f>
        <v>12187</v>
      </c>
      <c r="AK32" s="3726">
        <f t="shared" ca="1" si="12"/>
        <v>3088185.8000000003</v>
      </c>
      <c r="AL32" s="3729">
        <f t="shared" ref="AL32" ca="1" si="77">ROUND(AK32/AA32/10000,4)</f>
        <v>0.22420000000000001</v>
      </c>
      <c r="AN32" s="3726">
        <v>3052963.2</v>
      </c>
      <c r="AO32" s="3726">
        <f t="shared" ref="AO32" ca="1" si="78">AK32-AN32</f>
        <v>35222.600000000093</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79">ROUND(AC33*X34,0)</f>
        <v>47997</v>
      </c>
      <c r="AD34" s="3277">
        <f t="shared" si="7"/>
        <v>339.63</v>
      </c>
      <c r="AE34" s="3728"/>
      <c r="AF34" s="3728"/>
      <c r="AG34" s="3728"/>
      <c r="AH34" s="3728"/>
      <c r="AI34" s="3728"/>
      <c r="AJ34" s="3728"/>
      <c r="AK34" s="3728"/>
      <c r="AL34" s="3731"/>
      <c r="AN34" s="3728"/>
      <c r="AO34" s="3728"/>
    </row>
    <row r="35" spans="1:41" hidden="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0">ROUND((X35*G35+X36*G36+X37*G37)/Z35,4)</f>
        <v>0.6835</v>
      </c>
      <c r="Z35" s="3726">
        <f t="shared" si="30"/>
        <v>449.18</v>
      </c>
      <c r="AA35" s="3726">
        <f>房源表及成交价!R13</f>
        <v>1262.8794</v>
      </c>
      <c r="AB35" s="3726">
        <f t="shared" ref="AB35" si="81">ROUND(AA35/Z35*10000,0)</f>
        <v>28115</v>
      </c>
      <c r="AC35" s="3282">
        <f>ROUND(AC36*X35,0)</f>
        <v>17446</v>
      </c>
      <c r="AD35" s="3279">
        <f t="shared" si="7"/>
        <v>445.06</v>
      </c>
      <c r="AE35" s="3726">
        <v>1</v>
      </c>
      <c r="AF35" s="3726">
        <f ca="1">VLOOKUP(AE35,标定地价!$O$16:$R$19,4,0)</f>
        <v>6822</v>
      </c>
      <c r="AG35" s="3726">
        <f t="shared" ref="AG35" si="82">$AG$2</f>
        <v>1.01</v>
      </c>
      <c r="AH35" s="3726">
        <v>1.02</v>
      </c>
      <c r="AI35" s="3726">
        <f t="shared" ref="AI35" ca="1" si="83">ROUND(AF35*AG35,0)</f>
        <v>6890</v>
      </c>
      <c r="AJ35" s="3726">
        <f t="shared" ref="AJ35" ca="1" si="84">AC35-AI35</f>
        <v>10556</v>
      </c>
      <c r="AK35" s="3726">
        <f t="shared" ca="1" si="12"/>
        <v>2692941.16</v>
      </c>
      <c r="AL35" s="3729">
        <f t="shared" ref="AL35" ca="1" si="85">ROUND(AK35/AA35/10000,4)</f>
        <v>0.2132</v>
      </c>
      <c r="AN35" s="3726">
        <v>2657480.87</v>
      </c>
      <c r="AO35" s="3726">
        <f t="shared" ref="AO35" ca="1" si="86">AK35-AN35</f>
        <v>35460.290000000037</v>
      </c>
    </row>
    <row r="36" spans="1:41" hidden="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N36" s="3727"/>
      <c r="AO36" s="3727"/>
    </row>
    <row r="37" spans="1:41" hidden="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hidden="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7">ROUND((X38*G38+X39*G39+X40*G40)/Z38,4)</f>
        <v>0.67720000000000002</v>
      </c>
      <c r="Z38" s="3726">
        <f t="shared" si="30"/>
        <v>460.33</v>
      </c>
      <c r="AA38" s="3726">
        <f>房源表及成交价!R14</f>
        <v>1263.2236</v>
      </c>
      <c r="AB38" s="3726">
        <f t="shared" ref="AB38" si="88">ROUND(AA38/Z38*10000,0)</f>
        <v>27442</v>
      </c>
      <c r="AC38" s="3281">
        <f>ROUND(AC39*X38,0)</f>
        <v>17186</v>
      </c>
      <c r="AD38" s="3286">
        <f t="shared" si="7"/>
        <v>457.59</v>
      </c>
      <c r="AE38" s="3726">
        <v>1</v>
      </c>
      <c r="AF38" s="3726">
        <f ca="1">VLOOKUP(AE38,标定地价!$O$16:$R$19,4,0)</f>
        <v>6822</v>
      </c>
      <c r="AG38" s="3726">
        <f t="shared" ref="AG38" si="89">$AG$2</f>
        <v>1.01</v>
      </c>
      <c r="AH38" s="3726">
        <v>1.02</v>
      </c>
      <c r="AI38" s="3726">
        <f t="shared" ref="AI38" ca="1" si="90">ROUND(AF38*AG38,0)</f>
        <v>6890</v>
      </c>
      <c r="AJ38" s="3726">
        <f t="shared" ref="AJ38" ca="1" si="91">AC38-AI38</f>
        <v>10296</v>
      </c>
      <c r="AK38" s="3726">
        <f t="shared" ca="1" si="12"/>
        <v>2741412.96</v>
      </c>
      <c r="AL38" s="3729">
        <f t="shared" ref="AL38" ca="1" si="92">ROUND(AK38/AA38/10000,4)</f>
        <v>0.217</v>
      </c>
      <c r="AN38" s="3726">
        <v>2704402.82</v>
      </c>
      <c r="AO38" s="3726">
        <f t="shared" ref="AO38" ca="1" si="93">AK38-AN38</f>
        <v>37010.14000000013</v>
      </c>
    </row>
    <row r="39" spans="1:41" hidden="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N39" s="3727"/>
      <c r="AO39" s="3727"/>
    </row>
    <row r="40" spans="1:41" hidden="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hidden="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4">ROUND((X41*G41+X42*G42+X43*G43)/Z41,4)</f>
        <v>0.64770000000000005</v>
      </c>
      <c r="Z41" s="3726">
        <f t="shared" si="30"/>
        <v>557.32000000000005</v>
      </c>
      <c r="AA41" s="3726">
        <f>房源表及成交价!R15</f>
        <v>1812.1902</v>
      </c>
      <c r="AB41" s="3726">
        <f t="shared" ref="AB41" si="95">ROUND(AA41/Z41*10000,0)</f>
        <v>32516</v>
      </c>
      <c r="AC41" s="3282">
        <f>ROUND(AC42*X41,0)</f>
        <v>17535</v>
      </c>
      <c r="AD41" s="3279">
        <f t="shared" si="7"/>
        <v>545.76</v>
      </c>
      <c r="AE41" s="3726">
        <v>1</v>
      </c>
      <c r="AF41" s="3726">
        <f ca="1">VLOOKUP(AE41,标定地价!$O$16:$R$19,4,0)</f>
        <v>6822</v>
      </c>
      <c r="AG41" s="3726">
        <f t="shared" ref="AG41" si="96">$AG$2</f>
        <v>1.01</v>
      </c>
      <c r="AH41" s="3726">
        <v>1.02</v>
      </c>
      <c r="AI41" s="3726">
        <f t="shared" ref="AI41" ca="1" si="97">ROUND(AF41*AG41,0)</f>
        <v>6890</v>
      </c>
      <c r="AJ41" s="3726">
        <f t="shared" ref="AJ41" ca="1" si="98">AC41-AI41</f>
        <v>10645</v>
      </c>
      <c r="AK41" s="3726">
        <f t="shared" ca="1" si="12"/>
        <v>3313149.8000000003</v>
      </c>
      <c r="AL41" s="3729">
        <f t="shared" ref="AL41" ca="1" si="99">ROUND(AK41/AA41/10000,4)</f>
        <v>0.18279999999999999</v>
      </c>
      <c r="AN41" s="3726">
        <v>3269887.44</v>
      </c>
      <c r="AO41" s="3726">
        <f t="shared" ref="AO41" ca="1" si="100">AK41-AN41</f>
        <v>43262.360000000335</v>
      </c>
    </row>
    <row r="42" spans="1:41" hidden="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N42" s="3727"/>
      <c r="AO42" s="3727"/>
    </row>
    <row r="43" spans="1:41" hidden="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hidden="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1">ROUND((X44*G44+X45*G45+X46*G46)/Z44,4)</f>
        <v>0.68100000000000005</v>
      </c>
      <c r="Z44" s="3726">
        <f t="shared" si="30"/>
        <v>687.33999999999992</v>
      </c>
      <c r="AA44" s="3726">
        <f>房源表及成交价!R16</f>
        <v>2784.9094</v>
      </c>
      <c r="AB44" s="3726">
        <f t="shared" ref="AB44" si="102">ROUND(AA44/Z44*10000,0)</f>
        <v>40517</v>
      </c>
      <c r="AC44" s="3281">
        <f>ROUND(AC45*X44,0)</f>
        <v>20782</v>
      </c>
      <c r="AD44" s="3286">
        <f t="shared" si="7"/>
        <v>733.81</v>
      </c>
      <c r="AE44" s="3726">
        <v>1</v>
      </c>
      <c r="AF44" s="3726">
        <f ca="1">VLOOKUP(AE44,标定地价!$O$16:$R$19,4,0)</f>
        <v>6822</v>
      </c>
      <c r="AG44" s="3726">
        <f t="shared" ref="AG44" si="103">$AG$2</f>
        <v>1.01</v>
      </c>
      <c r="AH44" s="3726">
        <v>1.02</v>
      </c>
      <c r="AI44" s="3726">
        <f t="shared" ref="AI44" ca="1" si="104">ROUND(AF44*AG44,0)</f>
        <v>6890</v>
      </c>
      <c r="AJ44" s="3726">
        <f t="shared" ref="AJ44" ca="1" si="105">AC44-AI44</f>
        <v>13892</v>
      </c>
      <c r="AK44" s="3726">
        <f t="shared" ca="1" si="12"/>
        <v>4905265.2</v>
      </c>
      <c r="AL44" s="3729">
        <f t="shared" ref="AL44" ca="1" si="106">ROUND(AK44/AA44/10000,4)</f>
        <v>0.17610000000000001</v>
      </c>
      <c r="AN44" s="3726">
        <v>4856184.3000000007</v>
      </c>
      <c r="AO44" s="3726">
        <f t="shared" ref="AO44" ca="1" si="107">AK44-AN44</f>
        <v>49080.899999999441</v>
      </c>
    </row>
    <row r="45" spans="1:41" hidden="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N45" s="3727"/>
      <c r="AO45" s="3727"/>
    </row>
    <row r="46" spans="1:41" hidden="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hidden="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8">ROUND((X47*G47+X48*G48+X49*G49)/Z47,4)</f>
        <v>0.63959999999999995</v>
      </c>
      <c r="Z47" s="3726">
        <f t="shared" si="30"/>
        <v>785.45</v>
      </c>
      <c r="AA47" s="3726">
        <f>房源表及成交价!R17</f>
        <v>2624.7078000000001</v>
      </c>
      <c r="AB47" s="3726">
        <f t="shared" ref="AB47" si="109">ROUND(AA47/Z47*10000,0)</f>
        <v>33417</v>
      </c>
      <c r="AC47" s="3282">
        <f>ROUND(AC48*X47,0)</f>
        <v>18251</v>
      </c>
      <c r="AD47" s="3279">
        <f t="shared" si="7"/>
        <v>823.5</v>
      </c>
      <c r="AE47" s="3726">
        <v>1</v>
      </c>
      <c r="AF47" s="3726">
        <f ca="1">VLOOKUP(AE47,标定地价!$O$16:$R$19,4,0)</f>
        <v>6822</v>
      </c>
      <c r="AG47" s="3726">
        <f t="shared" ref="AG47" si="110">$AG$2</f>
        <v>1.01</v>
      </c>
      <c r="AH47" s="3726">
        <v>1.02</v>
      </c>
      <c r="AI47" s="3726">
        <f t="shared" ref="AI47" ca="1" si="111">ROUND(AF47*AG47,0)</f>
        <v>6890</v>
      </c>
      <c r="AJ47" s="3726">
        <f t="shared" ref="AJ47" ca="1" si="112">AC47-AI47</f>
        <v>11361</v>
      </c>
      <c r="AK47" s="3726">
        <f t="shared" ca="1" si="12"/>
        <v>5126196.8099999996</v>
      </c>
      <c r="AL47" s="3729">
        <f t="shared" ref="AL47" ca="1" si="113">ROUND(AK47/AA47/10000,4)</f>
        <v>0.1953</v>
      </c>
      <c r="AN47" s="3726">
        <v>5063478.62</v>
      </c>
      <c r="AO47" s="3726">
        <f t="shared" ref="AO47" ca="1" si="114">AK47-AN47</f>
        <v>62718.189999999478</v>
      </c>
    </row>
    <row r="48" spans="1:41" hidden="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N48" s="3727"/>
      <c r="AO48" s="3727"/>
    </row>
    <row r="49" spans="1:41" hidden="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5">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5"/>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5"/>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351.52199999999999</v>
      </c>
      <c r="S17" s="3338">
        <f t="shared" ca="1" si="4"/>
        <v>0.22751046126655139</v>
      </c>
      <c r="T17" s="3243">
        <f t="shared" ca="1" si="5"/>
        <v>1.4895</v>
      </c>
      <c r="U17" s="3243">
        <f t="shared" ca="1" si="6"/>
        <v>0.81735996465691629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422.3732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66319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666489</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3246992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10137</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7" t="s">
        <v>1589</v>
      </c>
    </row>
    <row r="43" spans="1:7" ht="13.5" customHeight="1">
      <c r="A43" s="734" t="s">
        <v>347</v>
      </c>
      <c r="B43" s="207" t="s">
        <v>1543</v>
      </c>
      <c r="C43" s="230">
        <f ca="1">ROUND(IF('数据-取费表'!B22&lt;=1,C39*F22*'数据-取费表'!B20/2,C39*(POWER((1+F22),'数据-取费表'!B20/2)-1)),0)</f>
        <v>100</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202754</v>
      </c>
      <c r="D45" s="227">
        <f ca="1">C47</f>
        <v>8.3999999999999995E-3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976740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976740</v>
      </c>
      <c r="D51" s="224"/>
      <c r="E51" s="224"/>
      <c r="F51" s="256"/>
      <c r="G51" s="226" t="s">
        <v>1558</v>
      </c>
    </row>
    <row r="52" spans="1:7" s="200" customFormat="1" ht="16.5" thickBot="1">
      <c r="A52" s="257" t="s">
        <v>1559</v>
      </c>
      <c r="B52" s="258"/>
      <c r="C52" s="259">
        <f ca="1">C31+C51</f>
        <v>4223732</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351.52199999999999</v>
      </c>
      <c r="S17" s="3338">
        <f t="shared" ca="1" si="4"/>
        <v>0.22751054961555389</v>
      </c>
      <c r="T17" s="3243">
        <f t="shared" ca="1" si="5"/>
        <v>1.4895</v>
      </c>
      <c r="U17" s="3243">
        <f t="shared" ca="1" si="6"/>
        <v>0.81735996465691629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2025-12-22T06:10:34Z</dcterms:modified>
</cp:coreProperties>
</file>