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_xlnm.Print_Area" localSheetId="21">'土地比较法-住宅、综合'!$A$1:$K$53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 i="77" l="1"/>
  <c r="C21" i="77"/>
  <c r="C56" i="77"/>
  <c r="C57" i="77"/>
  <c r="D21" i="77"/>
  <c r="D56" i="77"/>
  <c r="D57" i="77"/>
  <c r="E21" i="77"/>
  <c r="E56" i="77"/>
  <c r="E57" i="77"/>
  <c r="G21" i="77"/>
  <c r="G37" i="77"/>
  <c r="G56" i="77"/>
  <c r="G57" i="77"/>
  <c r="H21" i="77"/>
  <c r="H56" i="77"/>
  <c r="H57" i="77"/>
  <c r="J21" i="77"/>
  <c r="J56" i="77"/>
  <c r="J57" i="77"/>
  <c r="E60" i="77"/>
  <c r="G61" i="77"/>
  <c r="C11" i="21"/>
  <c r="C11" i="78"/>
  <c r="C38" i="39"/>
  <c r="C11" i="39"/>
  <c r="C5" i="39"/>
  <c r="P74" i="79"/>
  <c r="Q72" i="79"/>
  <c r="Q59" i="79"/>
  <c r="K59" i="79"/>
  <c r="P61" i="79"/>
  <c r="F59" i="79"/>
  <c r="Q58" i="79"/>
  <c r="Q51" i="79"/>
  <c r="J50" i="79"/>
  <c r="J51" i="79"/>
  <c r="M47" i="79"/>
  <c r="D46" i="79"/>
  <c r="F34" i="79"/>
  <c r="F62" i="79"/>
  <c r="F33" i="79"/>
  <c r="F61" i="79"/>
  <c r="F32" i="79"/>
  <c r="F60" i="79"/>
  <c r="F31" i="79"/>
  <c r="F28" i="79"/>
  <c r="B2" i="1"/>
  <c r="C42" i="1"/>
  <c r="C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7" i="78"/>
  <c r="C58" i="78"/>
  <c r="D58" i="78"/>
  <c r="E58" i="78"/>
  <c r="F58" i="78"/>
  <c r="G58" i="78"/>
  <c r="H58" i="78"/>
  <c r="I58" i="78"/>
  <c r="J58" i="78"/>
  <c r="K58" i="78"/>
  <c r="L58" i="78"/>
  <c r="M58" i="78"/>
  <c r="N58" i="78"/>
  <c r="O58" i="78"/>
  <c r="K14" i="3"/>
  <c r="F20" i="6"/>
  <c r="E20" i="6"/>
  <c r="D3" i="78"/>
  <c r="K2" i="77"/>
  <c r="K3" i="77"/>
  <c r="K4" i="77"/>
  <c r="L4" i="77"/>
  <c r="G2" i="77"/>
  <c r="C2" i="77"/>
  <c r="C3" i="77"/>
  <c r="C4" i="77"/>
  <c r="C5" i="77"/>
  <c r="C6" i="77"/>
  <c r="C7" i="77"/>
  <c r="C8" i="77"/>
  <c r="C9" i="77"/>
  <c r="D9" i="77"/>
  <c r="N9" i="1"/>
  <c r="N8" i="1"/>
  <c r="N6" i="1"/>
  <c r="F21" i="77"/>
  <c r="AL13" i="3"/>
  <c r="M15" i="3"/>
  <c r="I13" i="3"/>
  <c r="I56" i="77"/>
  <c r="O17" i="3"/>
  <c r="I21" i="77"/>
  <c r="I57" i="77"/>
  <c r="C61" i="77"/>
  <c r="F56" i="77"/>
  <c r="F57" i="77"/>
  <c r="I17" i="3"/>
  <c r="O2" i="77"/>
  <c r="C22" i="6"/>
  <c r="C21" i="6"/>
  <c r="C20" i="6"/>
  <c r="C19" i="6"/>
  <c r="F19" i="6"/>
  <c r="AH13" i="3"/>
  <c r="O16" i="3"/>
  <c r="G22" i="6"/>
  <c r="F21" i="6"/>
  <c r="D146" i="77"/>
  <c r="E146" i="77"/>
  <c r="J132" i="77"/>
  <c r="G132" i="77"/>
  <c r="K132" i="77"/>
  <c r="J130" i="77"/>
  <c r="I130" i="77"/>
  <c r="I108" i="77"/>
  <c r="I131" i="77"/>
  <c r="H130" i="77"/>
  <c r="G109" i="77"/>
  <c r="G130" i="77"/>
  <c r="G108" i="77"/>
  <c r="G131" i="77"/>
  <c r="F130" i="77"/>
  <c r="E130" i="77"/>
  <c r="E108" i="77"/>
  <c r="E131" i="77"/>
  <c r="D130" i="77"/>
  <c r="C130" i="77"/>
  <c r="C108" i="77"/>
  <c r="C131" i="77"/>
  <c r="J108" i="77"/>
  <c r="J131" i="77"/>
  <c r="H108" i="77"/>
  <c r="H131" i="77"/>
  <c r="F108" i="77"/>
  <c r="F131" i="77"/>
  <c r="D108" i="77"/>
  <c r="D131" i="77"/>
  <c r="Q84" i="77"/>
  <c r="D23" i="79"/>
  <c r="F37" i="78"/>
  <c r="AA37" i="78"/>
  <c r="J37" i="78"/>
  <c r="AC37" i="78"/>
  <c r="F13" i="78"/>
  <c r="AA13" i="78"/>
  <c r="W19" i="78"/>
  <c r="U8" i="78"/>
  <c r="H7" i="78"/>
  <c r="AA8" i="78"/>
  <c r="AC8" i="78"/>
  <c r="U9" i="78"/>
  <c r="F7" i="78"/>
  <c r="J7"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K131" i="77"/>
  <c r="K133"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G15" i="4"/>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c r="C18" i="9"/>
  <c r="D18" i="9"/>
  <c r="F34" i="67"/>
  <c r="F62" i="67"/>
  <c r="M20" i="67"/>
  <c r="F34" i="15"/>
  <c r="F62" i="15"/>
  <c r="G13" i="3"/>
  <c r="BA13" i="3"/>
  <c r="BL17" i="3"/>
  <c r="AZ17" i="3"/>
  <c r="BL13" i="3"/>
  <c r="J56" i="9"/>
  <c r="J57" i="9"/>
  <c r="A24" i="51"/>
  <c r="B18" i="72"/>
  <c r="U29" i="34"/>
  <c r="E5" i="6"/>
  <c r="D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M47" i="9"/>
  <c r="G19" i="43"/>
  <c r="M20" i="43"/>
  <c r="C19" i="43"/>
  <c r="C46" i="36"/>
  <c r="D46" i="36"/>
  <c r="E46" i="36"/>
  <c r="C59" i="34"/>
  <c r="D59" i="34"/>
  <c r="E59" i="34"/>
  <c r="C52" i="37"/>
  <c r="D52" i="37"/>
  <c r="A4" i="51"/>
  <c r="B6" i="72"/>
  <c r="C48" i="35"/>
  <c r="D48" i="35"/>
  <c r="C58" i="21"/>
  <c r="D58" i="21"/>
  <c r="E58" i="21"/>
  <c r="H62" i="43"/>
  <c r="H66" i="43"/>
  <c r="H61" i="43"/>
  <c r="H65" i="43"/>
  <c r="H60" i="43"/>
  <c r="H64" i="43"/>
  <c r="H59" i="43"/>
  <c r="H63" i="43"/>
  <c r="H67" i="43"/>
  <c r="H55" i="43"/>
  <c r="H51" i="43"/>
  <c r="H56" i="43"/>
  <c r="H76" i="43"/>
  <c r="H72" i="43"/>
  <c r="H77" i="43"/>
  <c r="L20" i="6"/>
  <c r="B6" i="1"/>
  <c r="E6" i="1"/>
  <c r="K11" i="1"/>
  <c r="M11" i="1"/>
  <c r="O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52" i="9"/>
  <c r="T13" i="1"/>
  <c r="C77" i="9"/>
  <c r="E7" i="70"/>
  <c r="C24" i="12"/>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F58" i="21"/>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8" i="21"/>
  <c r="H58" i="21"/>
  <c r="I58" i="21"/>
  <c r="J58" i="21"/>
  <c r="K58" i="21"/>
  <c r="E63" i="40"/>
  <c r="D65" i="40"/>
  <c r="F1" i="67"/>
  <c r="Q52" i="67"/>
  <c r="AC11" i="37"/>
  <c r="W11" i="37"/>
  <c r="W11" i="34"/>
  <c r="AC11" i="34"/>
  <c r="F63" i="40"/>
  <c r="G63" i="40"/>
  <c r="E65" i="40"/>
  <c r="F65" i="40"/>
  <c r="H63" i="40"/>
  <c r="G65" i="40"/>
  <c r="I63" i="40"/>
  <c r="I65" i="40"/>
  <c r="H65" i="40"/>
  <c r="J63" i="40"/>
  <c r="K63" i="40"/>
  <c r="J65" i="40"/>
  <c r="AE7" i="1"/>
  <c r="AE6" i="1"/>
  <c r="AG6" i="1"/>
  <c r="H109" i="9"/>
  <c r="H110" i="9"/>
  <c r="D18" i="53"/>
  <c r="B35" i="72"/>
  <c r="D124" i="9"/>
  <c r="D16" i="53"/>
  <c r="B34" i="72"/>
  <c r="D10" i="52"/>
  <c r="H14" i="74"/>
  <c r="D17" i="53"/>
  <c r="B36" i="72"/>
  <c r="D125" i="9"/>
  <c r="D11" i="52"/>
  <c r="B7" i="74"/>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M9" i="1"/>
  <c r="AH9" i="1"/>
  <c r="C60" i="77"/>
  <c r="C62"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AC7" i="78"/>
  <c r="W7" i="78"/>
  <c r="AA7" i="78"/>
  <c r="S7" i="78"/>
  <c r="U7" i="78"/>
  <c r="AB7" i="78"/>
  <c r="D6" i="52"/>
  <c r="D9" i="53"/>
  <c r="B25" i="72"/>
  <c r="B24" i="72"/>
  <c r="K120" i="9"/>
  <c r="A18" i="62"/>
  <c r="B64" i="72"/>
  <c r="B22" i="49"/>
  <c r="E9" i="49"/>
  <c r="C94" i="9"/>
  <c r="C92" i="9"/>
  <c r="C74" i="9"/>
  <c r="D68" i="9"/>
  <c r="F28" i="15"/>
  <c r="C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c r="B73" i="72"/>
  <c r="E22" i="49"/>
  <c r="B7" i="49"/>
  <c r="C4" i="4"/>
  <c r="B4" i="62"/>
  <c r="B71" i="72"/>
  <c r="E11" i="49"/>
  <c r="B8" i="49"/>
  <c r="B4" i="49"/>
  <c r="E5" i="49"/>
  <c r="E10" i="49"/>
  <c r="E8" i="49"/>
  <c r="E16" i="49"/>
  <c r="B9" i="49"/>
  <c r="E6" i="49"/>
  <c r="E7" i="49"/>
  <c r="B16" i="49"/>
  <c r="B10" i="49"/>
  <c r="H16" i="1"/>
  <c r="C36" i="69"/>
  <c r="AZ13" i="3"/>
  <c r="G5" i="3"/>
  <c r="B3" i="3"/>
  <c r="E8" i="6"/>
  <c r="E56" i="39"/>
  <c r="AD6" i="3"/>
  <c r="F27" i="6"/>
  <c r="F31" i="6"/>
  <c r="I4" i="6"/>
  <c r="G3" i="43"/>
  <c r="F22" i="43"/>
  <c r="E12" i="6"/>
  <c r="E62" i="39"/>
  <c r="E390" i="3"/>
  <c r="BA5" i="3"/>
  <c r="E13" i="6"/>
  <c r="E58" i="40"/>
  <c r="E15" i="6"/>
  <c r="E60" i="40"/>
  <c r="G16" i="1"/>
  <c r="H10" i="39"/>
  <c r="AB10" i="39"/>
  <c r="Q16" i="1"/>
  <c r="E14" i="6"/>
  <c r="E64" i="39"/>
  <c r="E11" i="6"/>
  <c r="E61" i="39"/>
  <c r="E10" i="6"/>
  <c r="G28" i="6"/>
  <c r="AZ5" i="3"/>
  <c r="E3" i="6"/>
  <c r="D9" i="69"/>
  <c r="BL5" i="3"/>
  <c r="G30" i="6"/>
  <c r="G31" i="6"/>
  <c r="E28" i="6"/>
  <c r="E30" i="6"/>
  <c r="D9" i="68"/>
  <c r="D19" i="12"/>
  <c r="P6" i="1"/>
  <c r="O12" i="1"/>
  <c r="P12" i="1"/>
  <c r="P11" i="1"/>
  <c r="L27" i="6"/>
  <c r="O9" i="1"/>
  <c r="P9" i="1"/>
  <c r="O8" i="1"/>
  <c r="P8" i="1"/>
  <c r="A19" i="51"/>
  <c r="B14" i="72"/>
  <c r="T35" i="4"/>
  <c r="A15" i="62"/>
  <c r="B61" i="72"/>
  <c r="D12" i="52"/>
  <c r="D127" i="9"/>
  <c r="D13" i="52"/>
  <c r="G52" i="33"/>
  <c r="H52" i="33"/>
  <c r="K65" i="40"/>
  <c r="L63" i="40"/>
  <c r="R49" i="33"/>
  <c r="E48" i="33"/>
  <c r="AC7" i="33"/>
  <c r="V48" i="33"/>
  <c r="I48" i="33"/>
  <c r="L58" i="21"/>
  <c r="M58" i="21"/>
  <c r="N58" i="21"/>
  <c r="O58" i="21"/>
  <c r="H7" i="21"/>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C33" i="78"/>
  <c r="C33" i="21"/>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c r="B4" i="72"/>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H10" i="40"/>
  <c r="U10" i="40"/>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F10" i="39"/>
  <c r="S10" i="39"/>
  <c r="U10" i="39"/>
  <c r="F10" i="40"/>
  <c r="AA10" i="40"/>
  <c r="E27" i="6"/>
  <c r="K21" i="6"/>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6" i="3"/>
  <c r="AY152" i="3"/>
  <c r="E65" i="39"/>
  <c r="D3" i="33"/>
  <c r="C17" i="4"/>
  <c r="D3" i="37"/>
  <c r="D37" i="11"/>
  <c r="D3" i="34"/>
  <c r="E6" i="6"/>
  <c r="D10" i="68"/>
  <c r="K14" i="1"/>
  <c r="M14" i="1"/>
  <c r="M16" i="1"/>
  <c r="L16" i="1"/>
  <c r="B27" i="1"/>
  <c r="B28" i="1"/>
  <c r="E10" i="68"/>
  <c r="C10" i="68"/>
  <c r="L18" i="9"/>
  <c r="J10" i="40"/>
  <c r="W10" i="40"/>
  <c r="J10" i="39"/>
  <c r="F27" i="69"/>
  <c r="F28" i="12"/>
  <c r="C29" i="12"/>
  <c r="D28" i="12"/>
  <c r="F27" i="68"/>
  <c r="F27" i="11"/>
  <c r="K20" i="6"/>
  <c r="AY526" i="3"/>
  <c r="D14" i="12"/>
  <c r="M18" i="9"/>
  <c r="B118" i="9"/>
  <c r="B14" i="74"/>
  <c r="D3" i="21"/>
  <c r="D19" i="11"/>
  <c r="C19" i="11"/>
  <c r="K23" i="6"/>
  <c r="M23" i="6"/>
  <c r="I23" i="6"/>
  <c r="K24" i="6"/>
  <c r="M24" i="6"/>
  <c r="I24" i="6"/>
  <c r="S24" i="6"/>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F7" i="21"/>
  <c r="J7" i="21"/>
  <c r="I52" i="33"/>
  <c r="J52" i="33"/>
  <c r="I53" i="33"/>
  <c r="J53" i="33"/>
  <c r="E53" i="33"/>
  <c r="F53" i="33"/>
  <c r="E52" i="33"/>
  <c r="F52" i="33"/>
  <c r="M63" i="40"/>
  <c r="L65" i="40"/>
  <c r="G53" i="33"/>
  <c r="H53" i="33"/>
  <c r="G59" i="34"/>
  <c r="AB7" i="21"/>
  <c r="U7" i="21"/>
  <c r="C48" i="33"/>
  <c r="C49" i="33"/>
  <c r="B1" i="74"/>
  <c r="J33" i="21"/>
  <c r="F33" i="21"/>
  <c r="H33" i="21"/>
  <c r="J33" i="78"/>
  <c r="H33" i="78"/>
  <c r="F33" i="78"/>
  <c r="AY514" i="3"/>
  <c r="AY128" i="3"/>
  <c r="F109" i="43"/>
  <c r="F102" i="43"/>
  <c r="F103" i="43"/>
  <c r="D104" i="43"/>
  <c r="D102" i="43"/>
  <c r="J109" i="43"/>
  <c r="J107" i="43"/>
  <c r="J103" i="43"/>
  <c r="D20" i="12"/>
  <c r="E20" i="12"/>
  <c r="C20" i="12"/>
  <c r="K26" i="6"/>
  <c r="M26" i="6"/>
  <c r="I26" i="6"/>
  <c r="K22" i="6"/>
  <c r="S9" i="1"/>
  <c r="D22" i="43"/>
  <c r="M22" i="6"/>
  <c r="I22" i="6"/>
  <c r="S22" i="6"/>
  <c r="AR6" i="1"/>
  <c r="T6" i="1"/>
  <c r="AQ6" i="1"/>
  <c r="M20" i="6"/>
  <c r="I20" i="6"/>
  <c r="S20" i="6"/>
  <c r="S7" i="1"/>
  <c r="M21" i="6"/>
  <c r="I21" i="6"/>
  <c r="S21" i="6"/>
  <c r="S8" i="1"/>
  <c r="AB10" i="40"/>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AA10" i="39"/>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S10" i="40"/>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C10" i="40"/>
  <c r="AY139" i="3"/>
  <c r="AY455" i="3"/>
  <c r="AY343" i="3"/>
  <c r="AY539" i="3"/>
  <c r="AY66" i="3"/>
  <c r="AY276" i="3"/>
  <c r="AY497" i="3"/>
  <c r="AY100" i="3"/>
  <c r="AY297" i="3"/>
  <c r="AY103" i="3"/>
  <c r="AY212" i="3"/>
  <c r="AY67" i="3"/>
  <c r="AY20" i="3"/>
  <c r="C29" i="68"/>
  <c r="D27" i="68"/>
  <c r="C47" i="68"/>
  <c r="D45" i="68"/>
  <c r="C47" i="69"/>
  <c r="D45" i="69"/>
  <c r="C29" i="69"/>
  <c r="D27" i="69"/>
  <c r="H25" i="6"/>
  <c r="C47" i="11"/>
  <c r="D45" i="11"/>
  <c r="C29" i="11"/>
  <c r="D27" i="11"/>
  <c r="AC10" i="39"/>
  <c r="W10" i="39"/>
  <c r="S23" i="6"/>
  <c r="D19" i="6"/>
  <c r="D17" i="12"/>
  <c r="C17" i="12"/>
  <c r="C20" i="11"/>
  <c r="C28" i="11"/>
  <c r="C27" i="11"/>
  <c r="C7" i="74"/>
  <c r="C8" i="74"/>
  <c r="S26" i="6"/>
  <c r="C34" i="69"/>
  <c r="C38" i="69"/>
  <c r="K16" i="1"/>
  <c r="M19" i="6"/>
  <c r="D19" i="69"/>
  <c r="D19" i="68"/>
  <c r="D37" i="68"/>
  <c r="C115" i="43"/>
  <c r="D113" i="43"/>
  <c r="S2" i="43"/>
  <c r="T2" i="43"/>
  <c r="V2" i="43"/>
  <c r="C23" i="43"/>
  <c r="C21" i="43"/>
  <c r="C29" i="43"/>
  <c r="S7" i="43"/>
  <c r="T7" i="43"/>
  <c r="V7" i="43"/>
  <c r="S3" i="43"/>
  <c r="T3" i="43"/>
  <c r="V3" i="43"/>
  <c r="S5" i="43"/>
  <c r="T5" i="43"/>
  <c r="V5" i="43"/>
  <c r="S4" i="43"/>
  <c r="T4" i="43"/>
  <c r="V4" i="43"/>
  <c r="S6" i="43"/>
  <c r="T6" i="43"/>
  <c r="V6" i="43"/>
  <c r="S7" i="21"/>
  <c r="AA7" i="21"/>
  <c r="H59" i="34"/>
  <c r="AC7" i="21"/>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AB33" i="78"/>
  <c r="T48" i="78"/>
  <c r="G48" i="78"/>
  <c r="U33" i="78"/>
  <c r="AB33" i="21"/>
  <c r="T48" i="21"/>
  <c r="G48" i="21"/>
  <c r="G52" i="21"/>
  <c r="H52" i="21"/>
  <c r="U33" i="21"/>
  <c r="AC33" i="21"/>
  <c r="W33" i="21"/>
  <c r="V48" i="21"/>
  <c r="I48" i="21"/>
  <c r="E9" i="70"/>
  <c r="AA33" i="78"/>
  <c r="R48" i="78"/>
  <c r="S33" i="78"/>
  <c r="AC33" i="78"/>
  <c r="V48" i="78"/>
  <c r="I48" i="78"/>
  <c r="I52" i="78"/>
  <c r="J52" i="78"/>
  <c r="W33" i="78"/>
  <c r="S33" i="21"/>
  <c r="AA33" i="21"/>
  <c r="R48" i="21"/>
  <c r="D11" i="6"/>
  <c r="D13" i="6"/>
  <c r="D5" i="6"/>
  <c r="K27" i="6"/>
  <c r="D23" i="6"/>
  <c r="D8" i="6"/>
  <c r="D22" i="6"/>
  <c r="L19" i="9"/>
  <c r="H26" i="6"/>
  <c r="C18" i="4"/>
  <c r="A10" i="51"/>
  <c r="B9" i="72"/>
  <c r="D12" i="6"/>
  <c r="D26" i="6"/>
  <c r="D14" i="6"/>
  <c r="E61" i="40"/>
  <c r="D29" i="6"/>
  <c r="D21" i="6"/>
  <c r="D24" i="6"/>
  <c r="R24" i="6"/>
  <c r="S16" i="1"/>
  <c r="AQ8" i="1"/>
  <c r="AR8" i="1"/>
  <c r="T8" i="1"/>
  <c r="T7" i="1"/>
  <c r="AR7" i="1"/>
  <c r="AQ7" i="1"/>
  <c r="AR9" i="1"/>
  <c r="T9" i="1"/>
  <c r="AQ9" i="1"/>
  <c r="D25" i="6"/>
  <c r="R25" i="6"/>
  <c r="D10" i="6"/>
  <c r="D20" i="6"/>
  <c r="D15" i="6"/>
  <c r="D9" i="6"/>
  <c r="M19" i="9"/>
  <c r="C118" i="9"/>
  <c r="C14" i="74"/>
  <c r="H22" i="6"/>
  <c r="D28" i="6"/>
  <c r="D30" i="6"/>
  <c r="H21" i="6"/>
  <c r="R21" i="6"/>
  <c r="R8" i="1"/>
  <c r="H20" i="6"/>
  <c r="D6" i="6"/>
  <c r="H23" i="6"/>
  <c r="R23" i="6"/>
  <c r="A7" i="51"/>
  <c r="B7" i="72"/>
  <c r="I19" i="6"/>
  <c r="M27" i="6"/>
  <c r="O14" i="1"/>
  <c r="P14" i="1"/>
  <c r="C19" i="68"/>
  <c r="C19" i="69"/>
  <c r="D37" i="69"/>
  <c r="C37" i="69"/>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R49" i="21"/>
  <c r="D27" i="6"/>
  <c r="G53" i="78"/>
  <c r="H53" i="78"/>
  <c r="G52" i="78"/>
  <c r="H52" i="78"/>
  <c r="E2" i="70"/>
  <c r="B2" i="74"/>
  <c r="D8" i="74"/>
  <c r="E48" i="78"/>
  <c r="R49" i="78"/>
  <c r="D7" i="74"/>
  <c r="R22" i="6"/>
  <c r="R9" i="1"/>
  <c r="D16" i="6"/>
  <c r="R20" i="6"/>
  <c r="R7" i="1"/>
  <c r="T16" i="1"/>
  <c r="D31" i="6"/>
  <c r="I5" i="6"/>
  <c r="F50" i="69"/>
  <c r="F50" i="11"/>
  <c r="F50" i="68"/>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C49" i="21"/>
  <c r="B2" i="21"/>
  <c r="B3" i="43"/>
  <c r="J59" i="34"/>
  <c r="K59" i="34"/>
  <c r="L59" i="34"/>
  <c r="M59" i="34"/>
  <c r="N59" i="34"/>
  <c r="O59" i="34"/>
  <c r="J7" i="34"/>
  <c r="F7" i="34"/>
  <c r="U7" i="40"/>
  <c r="AB7" i="40"/>
  <c r="T42" i="40"/>
  <c r="G42" i="40"/>
  <c r="H68" i="39"/>
  <c r="G70" i="39"/>
  <c r="E9" i="69"/>
  <c r="C9" i="69"/>
  <c r="E9" i="68"/>
  <c r="C9" i="68"/>
  <c r="E19" i="12"/>
  <c r="C19" i="12"/>
  <c r="E9" i="11"/>
  <c r="C9" i="11"/>
  <c r="C49" i="78"/>
  <c r="C48" i="78"/>
  <c r="I53" i="78"/>
  <c r="J53" i="78"/>
  <c r="E53" i="78"/>
  <c r="F53" i="78"/>
  <c r="E52" i="78"/>
  <c r="F52" i="78"/>
  <c r="B3" i="21"/>
  <c r="C6" i="12"/>
  <c r="C8" i="12"/>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B2" i="78"/>
  <c r="D8" i="12"/>
  <c r="B3" i="78"/>
  <c r="D6" i="12"/>
  <c r="E10" i="69"/>
  <c r="C10" i="69"/>
  <c r="C8" i="68"/>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R47" i="39"/>
  <c r="AC7" i="39"/>
  <c r="V47" i="39"/>
  <c r="I47" i="39"/>
  <c r="W7" i="39"/>
  <c r="AB7" i="39"/>
  <c r="T47" i="39"/>
  <c r="G47" i="39"/>
  <c r="U7" i="39"/>
  <c r="G52" i="39"/>
  <c r="H52" i="39"/>
  <c r="G51" i="39"/>
  <c r="H51" i="39"/>
  <c r="I51" i="39"/>
  <c r="J51" i="39"/>
  <c r="E47" i="39"/>
  <c r="I52" i="39"/>
  <c r="J52" i="39"/>
  <c r="R48" i="39"/>
  <c r="C47" i="39"/>
  <c r="C48" i="39"/>
  <c r="E51" i="39"/>
  <c r="F51" i="39"/>
  <c r="E52" i="39"/>
  <c r="F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0" i="68"/>
  <c r="C28" i="68"/>
  <c r="C27" i="68"/>
  <c r="F26" i="15"/>
  <c r="AO7" i="1"/>
  <c r="M9" i="79"/>
  <c r="J15" i="67"/>
  <c r="C76" i="15"/>
  <c r="AO6" i="1"/>
  <c r="M8" i="15"/>
  <c r="F42" i="15"/>
  <c r="M6" i="67"/>
  <c r="F43" i="79"/>
  <c r="B12" i="76"/>
  <c r="B13" i="76"/>
  <c r="E2" i="68"/>
  <c r="M24" i="15"/>
  <c r="M28" i="67"/>
  <c r="F7" i="67"/>
  <c r="M9" i="67"/>
  <c r="D2" i="37"/>
  <c r="F40" i="15"/>
  <c r="F7" i="15"/>
  <c r="B10" i="76"/>
  <c r="E8" i="76"/>
  <c r="E6" i="76"/>
  <c r="C14" i="79"/>
  <c r="M28" i="79"/>
  <c r="AO13" i="1"/>
  <c r="L47" i="15"/>
  <c r="E7" i="76"/>
  <c r="AO10" i="1"/>
  <c r="M9" i="15"/>
  <c r="M8" i="79"/>
  <c r="M26" i="79"/>
  <c r="L48" i="79"/>
  <c r="D6" i="73"/>
  <c r="M24" i="67"/>
  <c r="D5" i="73"/>
  <c r="E13" i="76"/>
  <c r="F35" i="67"/>
  <c r="L47" i="79"/>
  <c r="M21" i="67"/>
  <c r="F13" i="79"/>
  <c r="M29" i="79"/>
  <c r="D3" i="73"/>
  <c r="F6" i="15"/>
  <c r="M26" i="15"/>
  <c r="F6" i="73"/>
  <c r="F42" i="67"/>
  <c r="M29" i="67"/>
  <c r="D2" i="34"/>
  <c r="M22" i="79"/>
  <c r="M28" i="15"/>
  <c r="F37" i="67"/>
  <c r="E10" i="76"/>
  <c r="F38" i="67"/>
  <c r="D2" i="78"/>
  <c r="F9" i="15"/>
  <c r="F36" i="67"/>
  <c r="M27" i="67"/>
  <c r="F40" i="79"/>
  <c r="F36" i="79"/>
  <c r="M22" i="15"/>
  <c r="M23" i="67"/>
  <c r="F43" i="67"/>
  <c r="F4" i="73"/>
  <c r="F9" i="67"/>
  <c r="M8" i="67"/>
  <c r="D2" i="35"/>
  <c r="F13" i="67"/>
  <c r="F40" i="67"/>
  <c r="J15" i="15"/>
  <c r="L47" i="67"/>
  <c r="B8" i="76"/>
  <c r="M23" i="15"/>
  <c r="M22" i="67"/>
  <c r="F20" i="31"/>
  <c r="J15" i="79"/>
  <c r="F5" i="73"/>
  <c r="F16" i="15"/>
  <c r="F26" i="67"/>
  <c r="AO11" i="1"/>
  <c r="B7" i="76"/>
  <c r="B9" i="76"/>
  <c r="D7" i="73"/>
  <c r="F41" i="67"/>
  <c r="D2" i="21"/>
  <c r="G1" i="73"/>
  <c r="F35" i="15"/>
  <c r="F7" i="79"/>
  <c r="M21" i="15"/>
  <c r="F35" i="79"/>
  <c r="C76" i="79"/>
  <c r="E12" i="76"/>
  <c r="F8" i="15"/>
  <c r="F43" i="15"/>
  <c r="F8" i="67"/>
  <c r="F6" i="67"/>
  <c r="F37" i="79"/>
  <c r="F26" i="79"/>
  <c r="M23" i="79"/>
  <c r="F3" i="73"/>
  <c r="F37" i="15"/>
  <c r="M29" i="15"/>
  <c r="F16" i="79"/>
  <c r="AO12" i="1"/>
  <c r="M27" i="15"/>
  <c r="F42" i="79"/>
  <c r="F36" i="15"/>
  <c r="F16" i="67"/>
  <c r="B11" i="76"/>
  <c r="F6" i="79"/>
  <c r="M6" i="79"/>
  <c r="F8" i="79"/>
  <c r="L48" i="67"/>
  <c r="F38" i="79"/>
  <c r="F13" i="15"/>
  <c r="E2" i="69"/>
  <c r="M26" i="67"/>
  <c r="F7" i="73"/>
  <c r="F38" i="15"/>
  <c r="L48" i="15"/>
  <c r="M27" i="79"/>
  <c r="E9" i="76"/>
  <c r="M24" i="79"/>
  <c r="D2" i="36"/>
  <c r="F9" i="79"/>
  <c r="M6" i="15"/>
  <c r="C76" i="67"/>
  <c r="E11" i="76"/>
  <c r="D4" i="73"/>
  <c r="D2" i="33"/>
  <c r="C14" i="15"/>
  <c r="B6" i="76"/>
  <c r="M21" i="79"/>
  <c r="C8" i="69"/>
  <c r="C5" i="69"/>
  <c r="C18" i="12"/>
  <c r="R16" i="1"/>
  <c r="C35" i="69"/>
  <c r="C33" i="69"/>
  <c r="J20" i="79"/>
  <c r="F63" i="79"/>
  <c r="C62" i="79"/>
  <c r="C34" i="79"/>
  <c r="C15" i="79"/>
  <c r="C18" i="79"/>
  <c r="J20" i="15"/>
  <c r="B2" i="76"/>
  <c r="M7" i="79"/>
  <c r="F50" i="79"/>
  <c r="E2" i="76"/>
  <c r="F63" i="15"/>
  <c r="C62" i="15"/>
  <c r="C34" i="15"/>
  <c r="C15" i="15"/>
  <c r="C18" i="15"/>
  <c r="B40" i="1"/>
  <c r="B2" i="33"/>
  <c r="B3" i="33"/>
  <c r="F69" i="67"/>
  <c r="E20" i="43"/>
  <c r="M7" i="15"/>
  <c r="J6" i="15"/>
  <c r="F50" i="15"/>
  <c r="B11" i="70"/>
  <c r="F68" i="15"/>
  <c r="C27" i="67"/>
  <c r="Q71" i="67"/>
  <c r="B2" i="37"/>
  <c r="B3" i="37"/>
  <c r="B20" i="31"/>
  <c r="F50" i="67"/>
  <c r="M7" i="67"/>
  <c r="B2" i="36"/>
  <c r="B3" i="36"/>
  <c r="L59" i="67"/>
  <c r="M59" i="67"/>
  <c r="L58" i="67"/>
  <c r="N59" i="67"/>
  <c r="F68" i="67"/>
  <c r="B2" i="35"/>
  <c r="B3" i="35"/>
  <c r="J53" i="15"/>
  <c r="L56" i="15"/>
  <c r="J57" i="15"/>
  <c r="J55" i="15"/>
  <c r="J58" i="15"/>
  <c r="Q50" i="15"/>
  <c r="I54" i="15"/>
  <c r="J60" i="15"/>
  <c r="Q48" i="15"/>
  <c r="L60" i="15"/>
  <c r="J59" i="15"/>
  <c r="L57" i="15"/>
  <c r="L46" i="15"/>
  <c r="F66" i="15"/>
  <c r="I1" i="73"/>
  <c r="B39" i="1"/>
  <c r="F71" i="67"/>
  <c r="F64" i="79"/>
  <c r="F71" i="79"/>
  <c r="F68" i="79"/>
  <c r="F64" i="67"/>
  <c r="J6" i="67"/>
  <c r="F66" i="79"/>
  <c r="F66" i="67"/>
  <c r="I54" i="67"/>
  <c r="L56" i="67"/>
  <c r="J57" i="67"/>
  <c r="J55" i="67"/>
  <c r="J58" i="67"/>
  <c r="Q50" i="67"/>
  <c r="F51" i="79"/>
  <c r="F65" i="67"/>
  <c r="J6" i="79"/>
  <c r="C6" i="79"/>
  <c r="B2" i="34"/>
  <c r="B3" i="34"/>
  <c r="B6" i="70"/>
  <c r="F70" i="67"/>
  <c r="Q71" i="15"/>
  <c r="C6" i="15"/>
  <c r="F64" i="15"/>
  <c r="J20" i="67"/>
  <c r="B12" i="70"/>
  <c r="N59" i="79"/>
  <c r="M59" i="79"/>
  <c r="L59" i="79"/>
  <c r="L58" i="79"/>
  <c r="F63" i="67"/>
  <c r="C62" i="67"/>
  <c r="C34" i="67"/>
  <c r="B7" i="70"/>
  <c r="F65" i="15"/>
  <c r="J53" i="79"/>
  <c r="J57" i="79"/>
  <c r="J55" i="79"/>
  <c r="J58" i="79"/>
  <c r="Q50" i="79"/>
  <c r="I54" i="79"/>
  <c r="L56" i="79"/>
  <c r="J59" i="79"/>
  <c r="J60" i="79"/>
  <c r="Q48" i="79"/>
  <c r="L60" i="79"/>
  <c r="L57" i="79"/>
  <c r="C27" i="79"/>
  <c r="F65" i="79"/>
  <c r="C6" i="67"/>
  <c r="F51" i="67"/>
  <c r="B10" i="70"/>
  <c r="F71" i="15"/>
  <c r="C27" i="15"/>
  <c r="L58" i="15"/>
  <c r="N59" i="15"/>
  <c r="M59" i="15"/>
  <c r="L59" i="15"/>
  <c r="F51" i="15"/>
  <c r="C49" i="15"/>
  <c r="B13" i="70"/>
  <c r="Q71" i="79"/>
  <c r="C20" i="69"/>
  <c r="C28" i="69"/>
  <c r="C27" i="69"/>
  <c r="C16" i="15"/>
  <c r="C17" i="15"/>
  <c r="C17" i="67"/>
  <c r="C14" i="67"/>
  <c r="C16" i="79"/>
  <c r="C16" i="67"/>
  <c r="C17" i="79"/>
  <c r="C49" i="67"/>
  <c r="C49" i="79"/>
  <c r="L46" i="79"/>
  <c r="C39" i="69"/>
  <c r="C46" i="69"/>
  <c r="C45" i="69"/>
  <c r="C19" i="79"/>
  <c r="C18" i="67"/>
  <c r="C15" i="67"/>
  <c r="C19" i="15"/>
  <c r="Q61" i="79"/>
  <c r="Q74" i="79"/>
  <c r="Q52" i="15"/>
  <c r="F1" i="15"/>
  <c r="Q73" i="67"/>
  <c r="Q60" i="67"/>
  <c r="Q61" i="67"/>
  <c r="Q74" i="67"/>
  <c r="P17" i="43"/>
  <c r="M17" i="43"/>
  <c r="O17" i="43"/>
  <c r="N17" i="43"/>
  <c r="B3" i="76"/>
  <c r="Q74" i="15"/>
  <c r="Q61" i="15"/>
  <c r="Q60" i="15"/>
  <c r="Q73" i="15"/>
  <c r="Q66" i="79"/>
  <c r="Q57" i="79"/>
  <c r="Q52" i="79"/>
  <c r="F1" i="79"/>
  <c r="Q60" i="79"/>
  <c r="Q73" i="79"/>
  <c r="F11" i="79"/>
  <c r="M11" i="15"/>
  <c r="J10" i="15"/>
  <c r="J5" i="15"/>
  <c r="F11" i="67"/>
  <c r="M11" i="79"/>
  <c r="J10" i="79"/>
  <c r="J5" i="79"/>
  <c r="M11" i="67"/>
  <c r="J10" i="67"/>
  <c r="J5" i="67"/>
  <c r="F11" i="15"/>
  <c r="C53" i="15"/>
  <c r="C48" i="15"/>
  <c r="Q66" i="15"/>
  <c r="Q57" i="15"/>
  <c r="F24" i="79"/>
  <c r="C24" i="79"/>
  <c r="F25" i="12"/>
  <c r="C26" i="12"/>
  <c r="D25" i="12"/>
  <c r="F24" i="15"/>
  <c r="C24" i="15"/>
  <c r="F22" i="11"/>
  <c r="F24" i="67"/>
  <c r="C24" i="67"/>
  <c r="F22" i="68"/>
  <c r="F22" i="69"/>
  <c r="AE9" i="1"/>
  <c r="AE8" i="1"/>
  <c r="C19" i="67"/>
  <c r="C10" i="15"/>
  <c r="C5" i="15"/>
  <c r="C38" i="15"/>
  <c r="J26" i="79"/>
  <c r="J24" i="79"/>
  <c r="J18" i="79"/>
  <c r="J26" i="15"/>
  <c r="J24" i="15"/>
  <c r="J18" i="15"/>
  <c r="J18" i="67"/>
  <c r="J26" i="67"/>
  <c r="J29" i="67"/>
  <c r="J24" i="67"/>
  <c r="C32" i="15"/>
  <c r="C26" i="69"/>
  <c r="D22" i="69"/>
  <c r="C44" i="69"/>
  <c r="D41" i="69"/>
  <c r="C43" i="69"/>
  <c r="C24" i="69"/>
  <c r="C42" i="69"/>
  <c r="C41" i="69"/>
  <c r="C23" i="69"/>
  <c r="C10" i="67"/>
  <c r="C5" i="67"/>
  <c r="C53" i="67"/>
  <c r="C48" i="67"/>
  <c r="C10" i="79"/>
  <c r="C5" i="79"/>
  <c r="C53" i="79"/>
  <c r="C48" i="79"/>
  <c r="C60" i="15"/>
  <c r="C66" i="15"/>
  <c r="C20" i="67"/>
  <c r="C26" i="67"/>
  <c r="C26" i="68"/>
  <c r="D22" i="68"/>
  <c r="C44" i="68"/>
  <c r="D41" i="68"/>
  <c r="C24" i="68"/>
  <c r="C23" i="68"/>
  <c r="C25" i="68"/>
  <c r="C25" i="11"/>
  <c r="C26" i="11"/>
  <c r="D22" i="11"/>
  <c r="C24" i="11"/>
  <c r="C44" i="11"/>
  <c r="D41" i="11"/>
  <c r="C23" i="11"/>
  <c r="C22" i="11"/>
  <c r="C25" i="69"/>
  <c r="C20" i="15"/>
  <c r="C26" i="15"/>
  <c r="C20" i="79"/>
  <c r="C26" i="79"/>
  <c r="F41" i="15"/>
  <c r="F41" i="79"/>
  <c r="F69" i="79"/>
  <c r="F69" i="15"/>
  <c r="J29" i="15"/>
  <c r="J29" i="79"/>
  <c r="C23" i="67"/>
  <c r="C31" i="11"/>
  <c r="C29" i="67"/>
  <c r="J19" i="67"/>
  <c r="J17" i="67"/>
  <c r="C33" i="15"/>
  <c r="C49" i="69"/>
  <c r="C51" i="69"/>
  <c r="C23" i="79"/>
  <c r="C29" i="79"/>
  <c r="C23" i="15"/>
  <c r="C29" i="15"/>
  <c r="C22" i="68"/>
  <c r="C31" i="68"/>
  <c r="C66" i="79"/>
  <c r="C60" i="79"/>
  <c r="C66" i="67"/>
  <c r="C60" i="67"/>
  <c r="C22" i="69"/>
  <c r="C31" i="69"/>
  <c r="J59" i="67"/>
  <c r="J60" i="67"/>
  <c r="C38" i="79"/>
  <c r="C32" i="79"/>
  <c r="C33" i="79"/>
  <c r="C32" i="67"/>
  <c r="C38" i="67"/>
  <c r="C31" i="15"/>
  <c r="J14" i="67"/>
  <c r="Q49" i="67"/>
  <c r="C13" i="67"/>
  <c r="C37" i="67"/>
  <c r="C33" i="67"/>
  <c r="C31" i="67"/>
  <c r="C36" i="67"/>
  <c r="C57" i="67"/>
  <c r="C64" i="67"/>
  <c r="C52" i="69"/>
  <c r="B2" i="69"/>
  <c r="B3" i="69"/>
  <c r="J19" i="15"/>
  <c r="J17" i="15"/>
  <c r="J14" i="15"/>
  <c r="C36" i="15"/>
  <c r="C57" i="15"/>
  <c r="C13" i="15"/>
  <c r="Q49" i="15"/>
  <c r="C57" i="69"/>
  <c r="C56" i="69"/>
  <c r="C31" i="79"/>
  <c r="Q48" i="67"/>
  <c r="L46" i="67"/>
  <c r="J13" i="67"/>
  <c r="J23" i="67"/>
  <c r="J22" i="67"/>
  <c r="J14" i="79"/>
  <c r="C57" i="79"/>
  <c r="C36" i="79"/>
  <c r="Q49" i="79"/>
  <c r="J19" i="79"/>
  <c r="J17" i="79"/>
  <c r="C13" i="79"/>
  <c r="C75" i="67"/>
  <c r="Q70" i="67"/>
  <c r="C56" i="67"/>
  <c r="C65" i="67"/>
  <c r="C61" i="67"/>
  <c r="C59" i="67"/>
  <c r="C30" i="67"/>
  <c r="C39" i="67"/>
  <c r="Q69" i="67"/>
  <c r="J16" i="67"/>
  <c r="J25" i="67"/>
  <c r="Q70" i="79"/>
  <c r="C37" i="79"/>
  <c r="C30" i="79"/>
  <c r="C39" i="79"/>
  <c r="C56" i="79"/>
  <c r="C65" i="79"/>
  <c r="C75" i="79"/>
  <c r="C61" i="79"/>
  <c r="C59" i="79"/>
  <c r="C64" i="79"/>
  <c r="C61" i="15"/>
  <c r="C59" i="15"/>
  <c r="C64" i="15"/>
  <c r="J22" i="15"/>
  <c r="J13" i="15"/>
  <c r="J23" i="15"/>
  <c r="J22" i="79"/>
  <c r="J13" i="79"/>
  <c r="J23" i="79"/>
  <c r="C75" i="15"/>
  <c r="C56" i="15"/>
  <c r="C65" i="15"/>
  <c r="Q70" i="15"/>
  <c r="C37" i="15"/>
  <c r="C30" i="15"/>
  <c r="C39" i="15"/>
  <c r="L51" i="67"/>
  <c r="J16" i="15"/>
  <c r="J25" i="15"/>
  <c r="Q68" i="67"/>
  <c r="C58" i="67"/>
  <c r="C67" i="67"/>
  <c r="C68" i="67"/>
  <c r="C71" i="67"/>
  <c r="C40" i="67"/>
  <c r="C45" i="67"/>
  <c r="C46" i="67"/>
  <c r="C80" i="67"/>
  <c r="C79" i="67"/>
  <c r="C58" i="79"/>
  <c r="C67" i="79"/>
  <c r="C68" i="79"/>
  <c r="J16" i="79"/>
  <c r="J25" i="79"/>
  <c r="Q67" i="67"/>
  <c r="L57" i="67"/>
  <c r="L60" i="67"/>
  <c r="Q69" i="15"/>
  <c r="Q68" i="15"/>
  <c r="C40" i="15"/>
  <c r="Q69" i="79"/>
  <c r="Q68" i="79"/>
  <c r="C40" i="79"/>
  <c r="C71" i="79"/>
  <c r="C80" i="79"/>
  <c r="C79" i="79"/>
  <c r="C80" i="15"/>
  <c r="C79" i="15"/>
  <c r="C58" i="15"/>
  <c r="C67" i="15"/>
  <c r="C68" i="15"/>
  <c r="Q65" i="67"/>
  <c r="L51" i="15"/>
  <c r="L51" i="79"/>
  <c r="C83" i="67"/>
  <c r="C82" i="67"/>
  <c r="Q47" i="67"/>
  <c r="Q53" i="67"/>
  <c r="C46" i="79"/>
  <c r="D2" i="67"/>
  <c r="B3" i="67"/>
  <c r="Q56" i="67"/>
  <c r="C43" i="67"/>
  <c r="Q67" i="79"/>
  <c r="Q67" i="15"/>
  <c r="C43" i="15"/>
  <c r="Q56" i="15"/>
  <c r="Q62" i="15"/>
  <c r="Q47" i="15"/>
  <c r="Q53" i="15"/>
  <c r="Q65" i="15"/>
  <c r="Q75" i="15"/>
  <c r="B2" i="15"/>
  <c r="C83" i="15"/>
  <c r="C82" i="15"/>
  <c r="Q66" i="67"/>
  <c r="Q57" i="67"/>
  <c r="Q75" i="67"/>
  <c r="C46" i="15"/>
  <c r="C71" i="15"/>
  <c r="Q47" i="79"/>
  <c r="Q53" i="79"/>
  <c r="Q56" i="79"/>
  <c r="Q62" i="79"/>
  <c r="B2" i="79"/>
  <c r="Q65" i="79"/>
  <c r="Q75" i="79"/>
  <c r="C43" i="79"/>
  <c r="C83" i="79"/>
  <c r="C82" i="79"/>
  <c r="AO9" i="1"/>
  <c r="AO8" i="1"/>
  <c r="B2" i="67"/>
  <c r="Q62" i="67"/>
  <c r="B8" i="70"/>
  <c r="B9" i="70"/>
  <c r="B3" i="15"/>
  <c r="E6" i="12"/>
  <c r="E8" i="12"/>
  <c r="F8" i="12"/>
  <c r="B3" i="79"/>
  <c r="F6" i="12"/>
  <c r="B2" i="70"/>
  <c r="B3" i="70"/>
  <c r="C4" i="12"/>
  <c r="C31" i="12"/>
  <c r="N7" i="1"/>
  <c r="O7" i="1"/>
  <c r="P7" i="1"/>
  <c r="C13" i="12"/>
  <c r="O16" i="1"/>
  <c r="P16" i="1"/>
  <c r="C11" i="12"/>
  <c r="C15" i="12"/>
  <c r="N16" i="1"/>
  <c r="F11" i="12"/>
  <c r="C14" i="12"/>
  <c r="F34" i="68"/>
  <c r="C36" i="68"/>
  <c r="F34" i="11"/>
  <c r="C37" i="11"/>
  <c r="C34" i="11"/>
  <c r="C38" i="11"/>
  <c r="C35" i="11"/>
  <c r="C36" i="11"/>
  <c r="C12" i="12"/>
  <c r="C37" i="68"/>
  <c r="C16" i="12"/>
  <c r="C21" i="12"/>
  <c r="C22" i="12"/>
  <c r="C33" i="11"/>
  <c r="C39" i="11"/>
  <c r="C46" i="11"/>
  <c r="C45" i="11"/>
  <c r="C34" i="68"/>
  <c r="C35" i="68"/>
  <c r="C38" i="68"/>
  <c r="C33" i="68"/>
  <c r="C39" i="68"/>
  <c r="C43" i="68"/>
  <c r="C43" i="11"/>
  <c r="C46" i="68"/>
  <c r="C45" i="68"/>
  <c r="C42" i="68"/>
  <c r="C41" i="68"/>
  <c r="C42" i="11"/>
  <c r="C41" i="11"/>
  <c r="C49" i="11"/>
  <c r="C51" i="11"/>
  <c r="C52" i="11"/>
  <c r="B2" i="11"/>
  <c r="B3" i="11"/>
  <c r="C49" i="68"/>
  <c r="C51" i="68"/>
  <c r="C52" i="68"/>
  <c r="B2" i="68"/>
  <c r="C19" i="9"/>
  <c r="C21" i="9"/>
  <c r="C102" i="9"/>
  <c r="C56" i="11"/>
  <c r="C57" i="11"/>
  <c r="B3" i="68"/>
  <c r="C20" i="9"/>
  <c r="C103" i="9"/>
  <c r="C57" i="68"/>
  <c r="D35" i="9"/>
  <c r="C56" i="68"/>
  <c r="D34" i="9"/>
  <c r="C23" i="12"/>
  <c r="C30" i="12"/>
  <c r="C28" i="12"/>
  <c r="C27" i="12"/>
  <c r="C25" i="12"/>
  <c r="C32" i="12"/>
  <c r="B2" i="12"/>
  <c r="D19" i="9"/>
  <c r="D21" i="9"/>
  <c r="D102" i="9"/>
  <c r="G19" i="9"/>
  <c r="G21" i="9"/>
  <c r="D22" i="9"/>
  <c r="B3" i="12"/>
  <c r="D20" i="9"/>
  <c r="D103" i="9"/>
  <c r="G20" i="9"/>
  <c r="C32" i="9"/>
  <c r="H118" i="9"/>
  <c r="H119" i="9"/>
  <c r="H5" i="52"/>
  <c r="C104" i="9"/>
  <c r="H4" i="52"/>
  <c r="C35" i="9"/>
  <c r="F118" i="9"/>
  <c r="G118" i="9"/>
  <c r="G4" i="52"/>
  <c r="B52" i="72"/>
  <c r="F4" i="52"/>
  <c r="B51" i="72"/>
  <c r="F119" i="9"/>
  <c r="F5" i="52"/>
  <c r="B53" i="72"/>
  <c r="H101" i="9"/>
  <c r="M48" i="9"/>
  <c r="D14" i="74"/>
  <c r="E14" i="74"/>
  <c r="F14" i="74"/>
  <c r="I118" i="9"/>
  <c r="I4" i="52"/>
  <c r="H102" i="9"/>
  <c r="D7" i="53"/>
  <c r="B21" i="72"/>
  <c r="C105" i="9"/>
  <c r="E118" i="9"/>
  <c r="E4" i="52"/>
  <c r="B48" i="72"/>
  <c r="C34" i="9"/>
  <c r="D118" i="9"/>
  <c r="D4" i="52"/>
  <c r="B47" i="72"/>
  <c r="D119" i="9"/>
  <c r="D5" i="52"/>
  <c r="B49" i="72"/>
  <c r="B5" i="74"/>
  <c r="C5" i="74"/>
  <c r="D5" i="74"/>
  <c r="D45" i="9"/>
  <c r="C64" i="9"/>
  <c r="C63" i="9"/>
  <c r="C67" i="9"/>
  <c r="C68" i="9"/>
  <c r="D54" i="9"/>
  <c r="D52" i="9"/>
  <c r="C93" i="9"/>
  <c r="C86" i="9"/>
  <c r="D53" i="9"/>
  <c r="C78" i="9"/>
  <c r="C73" i="9"/>
  <c r="D5" i="53"/>
  <c r="B20" i="72"/>
  <c r="D6" i="53"/>
  <c r="B22" i="72"/>
  <c r="H107" i="9"/>
  <c r="H108" i="9"/>
  <c r="D15" i="53"/>
  <c r="B31" i="72"/>
  <c r="D13" i="53"/>
  <c r="B30" i="72"/>
  <c r="D14" i="53"/>
  <c r="B32" i="72"/>
  <c r="M49" i="9"/>
  <c r="L65" i="9"/>
  <c r="M65" i="9"/>
  <c r="L66" i="9"/>
  <c r="M66" i="9"/>
  <c r="L68" i="9"/>
  <c r="M68" i="9"/>
  <c r="L67" i="9"/>
  <c r="M67" i="9"/>
  <c r="L64" i="9"/>
  <c r="M64" i="9"/>
  <c r="C72" i="9"/>
  <c r="C79" i="9"/>
  <c r="C80" i="9"/>
  <c r="E80" i="9"/>
  <c r="E81" i="9"/>
  <c r="D122" i="9"/>
  <c r="D123" i="9"/>
  <c r="D9" i="52"/>
  <c r="D8" i="52"/>
  <c r="C85" i="9"/>
  <c r="C95" i="9"/>
  <c r="C96" i="9"/>
  <c r="E96" i="9"/>
  <c r="E97" i="9"/>
  <c r="C97" i="9"/>
  <c r="D58" i="9"/>
  <c r="D56" i="9"/>
  <c r="M54" i="9"/>
  <c r="D55" i="9"/>
  <c r="M53" i="9"/>
  <c r="N57" i="9"/>
  <c r="P57" i="9"/>
  <c r="C81" i="9"/>
  <c r="G14" i="74"/>
  <c r="B6" i="74"/>
  <c r="D6" i="74"/>
  <c r="C6" i="74"/>
  <c r="L63" i="9"/>
  <c r="M63" i="9"/>
  <c r="M69" i="9"/>
  <c r="N69"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<sst xmlns="http://schemas.openxmlformats.org/spreadsheetml/2006/main" count="8386" uniqueCount="3220">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</sst>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18569.88平方米，建筑面积为59366.37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18569.88平方米，规划建筑面积为59366.37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2018年11月29日（评估专业人员实地查勘之日）</v>
      </c>
    </row>
    <row r="13" spans="1:2" s="1588" customFormat="1">
      <c r="A13" s="1586" t="s">
        <v>1227</v>
      </c>
      <c r="B13" s="1587" t="str">
        <f>'预评函-1'!A18</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26168</v>
      </c>
    </row>
    <row r="21" spans="1:2" s="1588" customFormat="1">
      <c r="A21" s="1586" t="s">
        <v>1235</v>
      </c>
      <c r="B21" s="1587">
        <f ca="1">'预评函-2'!D7</f>
        <v>4408</v>
      </c>
    </row>
    <row r="22" spans="1:2" s="1588" customFormat="1">
      <c r="A22" s="1586" t="s">
        <v>1236</v>
      </c>
      <c r="B22" s="1587" t="str">
        <f ca="1">'预评函-2'!D6</f>
        <v>贰亿陆仟壹佰陆拾捌万元整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26168</v>
      </c>
    </row>
    <row r="31" spans="1:2" s="1588" customFormat="1">
      <c r="A31" s="1586" t="s">
        <v>1274</v>
      </c>
      <c r="B31" s="1587">
        <f ca="1">'预评函-2'!D15</f>
        <v>4408</v>
      </c>
    </row>
    <row r="32" spans="1:2" s="1588" customFormat="1">
      <c r="A32" s="1586" t="s">
        <v>1241</v>
      </c>
      <c r="B32" s="1587" t="str">
        <f ca="1">'预评函-2'!D14</f>
        <v>贰亿陆仟壹佰陆拾捌万元整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59366.369999999995</v>
      </c>
    </row>
    <row r="44" spans="1:2" s="1588" customFormat="1">
      <c r="A44" s="1586" t="s">
        <v>1273</v>
      </c>
      <c r="B44" s="1587" t="str">
        <f>'预评函-3'!C2</f>
        <v>(分摊)土地面积</v>
      </c>
    </row>
    <row r="45" spans="1:2" s="1588" customFormat="1">
      <c r="A45" s="1586" t="s">
        <v>1245</v>
      </c>
      <c r="B45" s="1587">
        <f>'预评函-3'!C4</f>
        <v>18569.88</v>
      </c>
    </row>
    <row r="46" spans="1:2" s="1588" customFormat="1">
      <c r="A46" s="1586" t="s">
        <v>1271</v>
      </c>
      <c r="B46" s="1587" t="str">
        <f>'预评函-3'!D2</f>
        <v>出让国有建设用地使用权价值</v>
      </c>
    </row>
    <row r="47" spans="1:2" s="1588" customFormat="1">
      <c r="A47" s="1586" t="s">
        <v>1246</v>
      </c>
      <c r="B47" s="1587">
        <f ca="1">'预评函-3'!D4</f>
        <v>17873</v>
      </c>
    </row>
    <row r="48" spans="1:2" s="1588" customFormat="1">
      <c r="A48" s="1586" t="s">
        <v>1247</v>
      </c>
      <c r="B48" s="1587">
        <f ca="1">'预评函-3'!E4</f>
        <v>3011</v>
      </c>
    </row>
    <row r="49" spans="1:2" s="1588" customFormat="1">
      <c r="A49" s="1586" t="s">
        <v>1248</v>
      </c>
      <c r="B49" s="1587" t="str">
        <f ca="1">'预评函-3'!D5</f>
        <v>壹亿柒仟捌佰柒拾叁万元整</v>
      </c>
    </row>
    <row r="50" spans="1:2" s="1588" customFormat="1">
      <c r="A50" s="1586" t="s">
        <v>1272</v>
      </c>
      <c r="B50" s="1587" t="str">
        <f>'预评函-3'!F2</f>
        <v>在建建筑物价值</v>
      </c>
    </row>
    <row r="51" spans="1:2" s="1588" customFormat="1">
      <c r="A51" s="1586" t="s">
        <v>1249</v>
      </c>
      <c r="B51" s="1587">
        <f ca="1">'预评函-3'!F4</f>
        <v>8295</v>
      </c>
    </row>
    <row r="52" spans="1:2" s="1588" customFormat="1">
      <c r="A52" s="1586" t="s">
        <v>1250</v>
      </c>
      <c r="B52" s="1587">
        <f ca="1">'预评函-3'!G4</f>
        <v>1397</v>
      </c>
    </row>
    <row r="53" spans="1:2" s="1588" customFormat="1">
      <c r="A53" s="1586" t="s">
        <v>1278</v>
      </c>
      <c r="B53" s="1587" t="str">
        <f ca="1">'预评函-3'!F5</f>
        <v>捌仟贰佰玖拾伍万元整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3139</v>
      </c>
      <c r="C17" s="2010"/>
    </row>
    <row r="18" spans="1:3">
      <c r="A18" s="2009" t="s">
        <v>1767</v>
      </c>
      <c r="B18" s="2009" t="s">
        <v>3140</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1"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1"/>
      <c r="B54" s="2017" t="s">
        <v>864</v>
      </c>
      <c r="C54" s="2014" t="s">
        <v>1281</v>
      </c>
    </row>
    <row r="55" spans="1:4">
      <c r="A55" s="3031"/>
      <c r="B55" s="2017" t="s">
        <v>865</v>
      </c>
      <c r="C55" s="2014" t="s">
        <v>1282</v>
      </c>
    </row>
    <row r="56" spans="1:4">
      <c r="A56" s="3031"/>
      <c r="B56" s="2017" t="s">
        <v>866</v>
      </c>
      <c r="C56" s="2014" t="s">
        <v>1286</v>
      </c>
    </row>
    <row r="57" spans="1:4">
      <c r="A57" s="3031"/>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0" sqref="J20"/>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40"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41"/>
      <c r="D1" s="3041"/>
      <c r="E1" s="3041"/>
      <c r="F1" s="3041"/>
      <c r="G1" s="3041"/>
      <c r="H1" s="3041"/>
      <c r="I1" s="304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43433</v>
      </c>
      <c r="C3" s="2032" t="s">
        <v>1779</v>
      </c>
      <c r="D3" s="2031">
        <v>43433</v>
      </c>
      <c r="E3" s="2021"/>
      <c r="F3" s="2021"/>
      <c r="G3" s="2021"/>
      <c r="H3" s="2021"/>
      <c r="I3" s="2021"/>
      <c r="J3" s="2021"/>
      <c r="K3" s="2022"/>
      <c r="L3" s="2023"/>
      <c r="M3" s="2023"/>
      <c r="N3" s="2024"/>
      <c r="O3" s="2025"/>
      <c r="P3" s="2024"/>
      <c r="Q3" s="2024"/>
      <c r="R3" s="2024"/>
      <c r="S3" s="2026"/>
    </row>
    <row r="4" spans="1:19" ht="18" customHeight="1" thickBot="1">
      <c r="A4" s="2033" t="s">
        <v>1780</v>
      </c>
      <c r="B4" s="2034" t="s">
        <v>3033</v>
      </c>
      <c r="C4" s="1033">
        <f ca="1">SUMIF(注册房地产估价师,B4,估价师及机构信息!B3:B24)</f>
        <v>1120050019</v>
      </c>
      <c r="D4" s="2034" t="s">
        <v>3034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3036</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3035</v>
      </c>
      <c r="C7" s="2044"/>
      <c r="D7" s="2045"/>
      <c r="E7" s="2029"/>
      <c r="F7" s="2037"/>
      <c r="G7" s="2037"/>
      <c r="H7" s="2037"/>
      <c r="I7" s="2037"/>
      <c r="J7" s="2037"/>
      <c r="K7" s="2047"/>
      <c r="L7" s="2023"/>
      <c r="M7" s="2023"/>
      <c r="N7" s="2024"/>
      <c r="O7" s="2025"/>
      <c r="P7" s="2024"/>
      <c r="Q7" s="2024"/>
      <c r="R7" s="2024"/>
    </row>
    <row r="8" spans="1:19" ht="18" customHeight="1">
      <c r="A8" s="2042" t="s">
        <v>1784</v>
      </c>
      <c r="B8" s="2048" t="s">
        <v>3037</v>
      </c>
      <c r="C8" s="2049"/>
      <c r="D8" s="3043" t="s">
        <v>1785</v>
      </c>
      <c r="E8" s="2050" t="s">
        <v>3038</v>
      </c>
      <c r="F8" s="2051"/>
      <c r="G8" s="2021"/>
      <c r="H8" s="2021"/>
      <c r="I8" s="2021"/>
      <c r="J8" s="2037"/>
      <c r="K8" s="2038"/>
      <c r="L8" s="2023"/>
      <c r="M8" s="2023"/>
      <c r="N8" s="2024"/>
      <c r="O8" s="2025"/>
      <c r="P8" s="2024"/>
      <c r="Q8" s="2024"/>
      <c r="R8" s="2024"/>
    </row>
    <row r="9" spans="1:19" ht="18" customHeight="1" thickBot="1">
      <c r="A9" s="2035" t="s">
        <v>1786</v>
      </c>
      <c r="B9" s="2052" t="s">
        <v>3038</v>
      </c>
      <c r="C9" s="2053"/>
      <c r="D9" s="3044"/>
      <c r="E9" s="2052" t="s">
        <v>70</v>
      </c>
      <c r="F9" s="2054"/>
      <c r="G9" s="2055"/>
      <c r="H9" s="2055"/>
      <c r="I9" s="2055"/>
      <c r="J9" s="2037"/>
      <c r="K9" s="2047"/>
      <c r="L9" s="2023"/>
      <c r="M9" s="2023"/>
      <c r="N9" s="2024"/>
      <c r="O9" s="2025"/>
      <c r="P9" s="2024"/>
      <c r="Q9" s="2024"/>
      <c r="R9" s="2024"/>
    </row>
    <row r="10" spans="1:19" ht="18" customHeight="1" thickTop="1">
      <c r="A10" s="2056" t="s">
        <v>1787</v>
      </c>
      <c r="B10" s="2057" t="s">
        <v>3040</v>
      </c>
      <c r="C10" s="2058" t="s">
        <v>3041</v>
      </c>
      <c r="D10" s="2041"/>
      <c r="E10" s="2059" t="s">
        <v>1788</v>
      </c>
      <c r="F10" s="2060" t="s">
        <v>3215</v>
      </c>
      <c r="G10" s="2061"/>
      <c r="H10" s="2062"/>
      <c r="I10" s="2041"/>
      <c r="J10" s="2037"/>
      <c r="K10" s="2047"/>
      <c r="L10" s="2023"/>
      <c r="M10" s="2023"/>
      <c r="N10" s="2024"/>
      <c r="O10" s="2025"/>
      <c r="P10" s="2024"/>
      <c r="Q10" s="2024"/>
      <c r="R10" s="2024"/>
    </row>
    <row r="11" spans="1:19" ht="18" customHeight="1">
      <c r="A11" s="2063" t="s">
        <v>1789</v>
      </c>
      <c r="B11" s="2064" t="s">
        <v>3039</v>
      </c>
      <c r="C11" s="2955" t="s">
        <v>3035</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3042</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69.63</v>
      </c>
      <c r="E15" s="1045">
        <f>IF(B12="出让",IF(E13="","",ROUNDDOWN(MIN((E13-$D$3)/365,E14),2)),E14)</f>
        <v>39.61</v>
      </c>
      <c r="F15" s="1045" t="str">
        <f>IF(B12="出让",IF(F13="","",ROUNDDOWN(MIN((F13-$D$3)/365,F14),2)),F14)</f>
        <v/>
      </c>
      <c r="G15" s="1045">
        <f>IF(B12="出让",IF(G13="","",ROUNDDOWN(MIN((G13-$D$3)/365,G14),2)),G14)</f>
        <v>49.61</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50" t="s">
        <v>3043</v>
      </c>
      <c r="C16" s="3051"/>
      <c r="D16" s="3052"/>
      <c r="E16" s="2078" t="s">
        <v>1802</v>
      </c>
      <c r="F16" s="3053" t="s">
        <v>3044</v>
      </c>
      <c r="G16" s="3054"/>
      <c r="H16" s="3054"/>
      <c r="I16" s="3055"/>
      <c r="J16" s="2024"/>
      <c r="K16" s="2075"/>
      <c r="L16" s="2076"/>
      <c r="M16" s="2076"/>
      <c r="N16" s="2077"/>
      <c r="O16" s="2076"/>
      <c r="P16" s="2077"/>
      <c r="Q16" s="2024"/>
      <c r="R16" s="2024"/>
    </row>
    <row r="17" spans="1:22" ht="18" customHeight="1">
      <c r="A17" s="2079" t="s">
        <v>1803</v>
      </c>
      <c r="B17" s="2030" t="s">
        <v>1804</v>
      </c>
      <c r="C17" s="1050">
        <f>'数据-汇总表'!E3</f>
        <v>59366.369999999995</v>
      </c>
      <c r="D17" s="2080" t="s">
        <v>1805</v>
      </c>
      <c r="E17" s="3056" t="s">
        <v>3045</v>
      </c>
      <c r="F17" s="3057"/>
      <c r="G17" s="3057"/>
      <c r="H17" s="3057"/>
      <c r="I17" s="3058"/>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18569.88</v>
      </c>
      <c r="D18" s="2083" t="s">
        <v>1805</v>
      </c>
      <c r="E18" s="3059" t="s">
        <v>3216</v>
      </c>
      <c r="F18" s="3060"/>
      <c r="G18" s="3060"/>
      <c r="H18" s="3060"/>
      <c r="I18" s="3061"/>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3046</v>
      </c>
      <c r="D19" s="2085" t="s">
        <v>1810</v>
      </c>
      <c r="E19" s="2086" t="s">
        <v>3046</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46" t="s">
        <v>1812</v>
      </c>
      <c r="C20" s="3047"/>
      <c r="D20" s="3048" t="s">
        <v>1813</v>
      </c>
      <c r="E20" s="3049"/>
      <c r="F20" s="2090" t="s">
        <v>1814</v>
      </c>
      <c r="G20" s="2037"/>
      <c r="H20" s="2037"/>
      <c r="I20" s="2037"/>
      <c r="J20" s="2037"/>
      <c r="K20" s="3045" t="s">
        <v>1815</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7"/>
      <c r="O20" s="2076"/>
      <c r="P20" s="2077"/>
      <c r="Q20" s="2024"/>
      <c r="R20" s="2024"/>
      <c r="S20" s="2024"/>
      <c r="T20" s="2024"/>
      <c r="U20" s="2024"/>
      <c r="V20" s="2024"/>
    </row>
    <row r="21" spans="1:22" ht="24.75" customHeight="1">
      <c r="A21" s="2089"/>
      <c r="B21" s="2091" t="s">
        <v>3047</v>
      </c>
      <c r="C21" s="2092" t="s">
        <v>3048</v>
      </c>
      <c r="D21" s="2093"/>
      <c r="E21" s="2094"/>
      <c r="F21" s="2095"/>
      <c r="G21" s="2037"/>
      <c r="H21" s="2037"/>
      <c r="I21" s="2037"/>
      <c r="J21" s="2037"/>
      <c r="K21" s="304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上述抵押权设定日期为，权利人为中诚信托有限责任公司，权利范围为整宗土地，权利价值为129000。</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4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3036</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3212</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33" t="s">
        <v>1822</v>
      </c>
      <c r="B27" s="2056" t="s">
        <v>1823</v>
      </c>
      <c r="C27" s="2112" t="s">
        <v>3049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33"/>
      <c r="B28" s="2030" t="s">
        <v>1824</v>
      </c>
      <c r="C28" s="2114" t="s">
        <v>3050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33"/>
      <c r="B29" s="2030" t="s">
        <v>1825</v>
      </c>
      <c r="C29" s="2117" t="s">
        <v>3051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34"/>
      <c r="B30" s="2030" t="s">
        <v>1826</v>
      </c>
      <c r="C30" s="3035"/>
      <c r="D30" s="3036"/>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37" t="s">
        <v>1827</v>
      </c>
      <c r="B31" s="2119" t="s">
        <v>3052</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38"/>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38"/>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3053</v>
      </c>
      <c r="C34" s="2126" t="s">
        <v>3054</v>
      </c>
      <c r="D34" s="2126" t="s">
        <v>3055</v>
      </c>
      <c r="E34" s="2126" t="s">
        <v>3056</v>
      </c>
      <c r="F34" s="2126" t="s">
        <v>3057</v>
      </c>
      <c r="G34" s="2126" t="s">
        <v>3058</v>
      </c>
      <c r="H34" s="2126"/>
      <c r="I34" s="2037"/>
      <c r="J34" s="2037"/>
      <c r="K34" s="1790">
        <f>COUNTIF(B34:H34,"——")</f>
        <v>0</v>
      </c>
      <c r="L34" s="2067" t="s">
        <v>1829</v>
      </c>
      <c r="M34" s="2067" t="s">
        <v>1830</v>
      </c>
      <c r="N34" s="2067" t="s">
        <v>1831</v>
      </c>
      <c r="O34" s="2067" t="s">
        <v>1832</v>
      </c>
      <c r="P34" s="2067" t="s">
        <v>1833</v>
      </c>
      <c r="Q34" s="2067" t="s">
        <v>1834</v>
      </c>
      <c r="R34" s="2067" t="s">
        <v>1835</v>
      </c>
      <c r="S34" s="3032" t="s">
        <v>1836</v>
      </c>
      <c r="T34" s="2127" t="str">
        <f>NUMBERSTRING(7-K34,1)&amp;"通"</f>
        <v>七通</v>
      </c>
      <c r="U34" s="2024"/>
      <c r="V34" s="2024"/>
    </row>
    <row r="35" spans="1:22" ht="18" customHeight="1">
      <c r="A35" s="2128"/>
      <c r="B35" s="3039" t="s">
        <v>1837</v>
      </c>
      <c r="C35" s="3039"/>
      <c r="D35" s="3039"/>
      <c r="E35" s="3039"/>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268028.17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268028.17</v>
      </c>
      <c r="H5" s="16">
        <f t="shared" ref="H5:AT5" si="0">SUM(H13:H656)</f>
        <v>267419.45</v>
      </c>
      <c r="I5" s="16">
        <f t="shared" si="0"/>
        <v>182810.87</v>
      </c>
      <c r="J5" s="16">
        <f t="shared" si="0"/>
        <v>0</v>
      </c>
      <c r="K5" s="16">
        <f t="shared" si="0"/>
        <v>14685.94</v>
      </c>
      <c r="L5" s="16">
        <f t="shared" si="0"/>
        <v>0</v>
      </c>
      <c r="M5" s="16">
        <f t="shared" si="0"/>
        <v>2248.14</v>
      </c>
      <c r="N5" s="16">
        <f t="shared" si="0"/>
        <v>0</v>
      </c>
      <c r="O5" s="16">
        <f t="shared" si="0"/>
        <v>67674.5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608.72</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307.38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59366.369999999995</v>
      </c>
      <c r="BA5" s="18">
        <f t="shared" si="1"/>
        <v>58757.65</v>
      </c>
      <c r="BB5" s="18">
        <f t="shared" si="1"/>
        <v>7730.57</v>
      </c>
      <c r="BC5" s="18">
        <f t="shared" si="1"/>
        <v>14685.94</v>
      </c>
      <c r="BD5" s="18">
        <f t="shared" si="1"/>
        <v>2248.14</v>
      </c>
      <c r="BE5" s="18">
        <f t="shared" si="1"/>
        <v>34093</v>
      </c>
      <c r="BF5" s="18">
        <f t="shared" si="1"/>
        <v>0</v>
      </c>
      <c r="BG5" s="18">
        <f t="shared" si="1"/>
        <v>0</v>
      </c>
      <c r="BH5" s="18">
        <f t="shared" si="1"/>
        <v>0</v>
      </c>
      <c r="BI5" s="18">
        <f t="shared" si="1"/>
        <v>0</v>
      </c>
      <c r="BJ5" s="18">
        <f t="shared" si="1"/>
        <v>0</v>
      </c>
      <c r="BK5" s="18">
        <f t="shared" si="1"/>
        <v>0</v>
      </c>
      <c r="BL5" s="18">
        <f t="shared" si="1"/>
        <v>608.72</v>
      </c>
      <c r="BM5" s="18">
        <f t="shared" si="1"/>
        <v>0</v>
      </c>
      <c r="BN5" s="18">
        <f t="shared" si="1"/>
        <v>0</v>
      </c>
      <c r="BO5" s="18">
        <f t="shared" si="1"/>
        <v>301.33999999999997</v>
      </c>
      <c r="BP5" s="18">
        <f t="shared" si="1"/>
        <v>0</v>
      </c>
      <c r="BQ5" s="18">
        <f t="shared" si="1"/>
        <v>307.38</v>
      </c>
      <c r="BR5" s="18">
        <f t="shared" si="1"/>
        <v>0</v>
      </c>
      <c r="BS5" s="18">
        <f t="shared" si="1"/>
        <v>0</v>
      </c>
      <c r="BT5" s="19">
        <f t="shared" si="1"/>
        <v>0</v>
      </c>
    </row>
    <row r="6" spans="1:72" s="2170" customFormat="1" ht="12.75">
      <c r="A6" s="15" t="s">
        <v>1874</v>
      </c>
      <c r="B6" s="2167"/>
      <c r="C6" s="2167"/>
      <c r="D6" s="2168"/>
      <c r="E6" s="16">
        <f>H6+AC6+AT6</f>
        <v>83839.58</v>
      </c>
      <c r="F6" s="16" t="s">
        <v>1</v>
      </c>
      <c r="G6" s="16" t="s">
        <v>2</v>
      </c>
      <c r="H6" s="20">
        <f>SUMIF(I$12:AB$12,"总值",I6:AB6)</f>
        <v>83649.17</v>
      </c>
      <c r="I6" s="16">
        <f t="shared" ref="I6:AB6" si="2">ROUND($A$3*I5/$B$3,2)</f>
        <v>57183.49</v>
      </c>
      <c r="J6" s="16">
        <f t="shared" si="2"/>
        <v>0</v>
      </c>
      <c r="K6" s="16">
        <f t="shared" si="2"/>
        <v>4593.78</v>
      </c>
      <c r="L6" s="16">
        <f t="shared" si="2"/>
        <v>0</v>
      </c>
      <c r="M6" s="16">
        <f t="shared" si="2"/>
        <v>703.22</v>
      </c>
      <c r="N6" s="16">
        <f t="shared" si="2"/>
        <v>0</v>
      </c>
      <c r="O6" s="16">
        <f t="shared" si="2"/>
        <v>21168.68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190.41000000000003</v>
      </c>
      <c r="AD6" s="16">
        <f t="shared" ref="AD6:AS6" si="3">ROUND($A$3*AD5/$B$3,2)</f>
        <v>0</v>
      </c>
      <c r="AE6" s="16">
        <f t="shared" si="3"/>
        <v>0</v>
      </c>
      <c r="AF6" s="16">
        <f t="shared" si="3"/>
        <v>0</v>
      </c>
      <c r="AG6" s="16">
        <f t="shared" si="3"/>
        <v>0</v>
      </c>
      <c r="AH6" s="16">
        <f t="shared" si="3"/>
        <v>94.26</v>
      </c>
      <c r="AI6" s="16">
        <f t="shared" si="3"/>
        <v>0</v>
      </c>
      <c r="AJ6" s="16">
        <f t="shared" si="3"/>
        <v>0</v>
      </c>
      <c r="AK6" s="16">
        <f t="shared" si="3"/>
        <v>0</v>
      </c>
      <c r="AL6" s="16">
        <f t="shared" si="3"/>
        <v>96.15</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18569.88</v>
      </c>
      <c r="AZ6" s="16" t="s">
        <v>3</v>
      </c>
      <c r="BA6" s="16">
        <f>ROUND($AY$6*BA5/$AZ$5,2)</f>
        <v>18379.47</v>
      </c>
      <c r="BB6" s="16">
        <f>ROUND($AY$6*BB5/$AZ$5,2)</f>
        <v>2418.13</v>
      </c>
      <c r="BC6" s="16">
        <f t="shared" ref="BC6:BH6" si="4">ROUND($AY$6*BC5/$AZ$5,2)</f>
        <v>4593.78</v>
      </c>
      <c r="BD6" s="16">
        <f t="shared" si="4"/>
        <v>703.22</v>
      </c>
      <c r="BE6" s="16">
        <f t="shared" si="4"/>
        <v>10664.34</v>
      </c>
      <c r="BF6" s="16">
        <f t="shared" si="4"/>
        <v>0</v>
      </c>
      <c r="BG6" s="16">
        <f t="shared" si="4"/>
        <v>0</v>
      </c>
      <c r="BH6" s="16">
        <f t="shared" si="4"/>
        <v>0</v>
      </c>
      <c r="BI6" s="16">
        <f t="shared" ref="BI6:BT6" si="5">ROUND($AY$6*BI5/$AZ$5,2)</f>
        <v>0</v>
      </c>
      <c r="BJ6" s="16">
        <f t="shared" si="5"/>
        <v>0</v>
      </c>
      <c r="BK6" s="16">
        <f t="shared" si="5"/>
        <v>0</v>
      </c>
      <c r="BL6" s="16">
        <f t="shared" si="5"/>
        <v>190.41</v>
      </c>
      <c r="BM6" s="16">
        <f t="shared" si="5"/>
        <v>0</v>
      </c>
      <c r="BN6" s="16">
        <f t="shared" si="5"/>
        <v>0</v>
      </c>
      <c r="BO6" s="16">
        <f t="shared" si="5"/>
        <v>94.26</v>
      </c>
      <c r="BP6" s="16">
        <f t="shared" si="5"/>
        <v>0</v>
      </c>
      <c r="BQ6" s="16">
        <f t="shared" si="5"/>
        <v>96.15</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3115</v>
      </c>
      <c r="J9" s="977"/>
      <c r="K9" s="2184" t="s">
        <v>3115</v>
      </c>
      <c r="L9" s="977"/>
      <c r="M9" s="2184" t="s">
        <v>3115</v>
      </c>
      <c r="N9" s="977"/>
      <c r="O9" s="2184" t="s">
        <v>3120</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3116</v>
      </c>
      <c r="J10" s="977"/>
      <c r="K10" s="2190" t="s">
        <v>3116</v>
      </c>
      <c r="L10" s="977"/>
      <c r="M10" s="2190" t="s">
        <v>1377</v>
      </c>
      <c r="N10" s="977"/>
      <c r="O10" s="2190" t="s">
        <v>3121</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3117</v>
      </c>
      <c r="J11" s="2196"/>
      <c r="K11" s="2195" t="s">
        <v>3118</v>
      </c>
      <c r="L11" s="2196"/>
      <c r="M11" s="2195" t="s">
        <v>3119</v>
      </c>
      <c r="N11" s="2196"/>
      <c r="O11" s="2195" t="s">
        <v>3121</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0" t="s">
        <v>3110</v>
      </c>
      <c r="D13" s="2206" t="s">
        <v>3046</v>
      </c>
      <c r="E13" s="16">
        <f>IF($C$3="是",ROUND($A$3*G13/$B$3,2),ROUND($A$3*(G13-AT13)/$B$3,2))</f>
        <v>2608.54</v>
      </c>
      <c r="F13" s="32"/>
      <c r="G13" s="33">
        <f>H13+AC13+AT13</f>
        <v>8339.2899999999991</v>
      </c>
      <c r="H13" s="20">
        <f>SUMIF(I$12:AB$12,"总值",I13:AB13)</f>
        <v>7730.57</v>
      </c>
      <c r="I13" s="2207">
        <f>面积!E21</f>
        <v>7730.57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608.72</v>
      </c>
      <c r="AD13" s="2208"/>
      <c r="AE13" s="2208"/>
      <c r="AF13" s="2208"/>
      <c r="AG13" s="2208"/>
      <c r="AH13" s="2208">
        <f>面积!H21</f>
        <v>301.33999999999997</v>
      </c>
      <c r="AI13" s="2208"/>
      <c r="AJ13" s="2208"/>
      <c r="AK13" s="2208"/>
      <c r="AL13" s="2208">
        <f>面积!F21+面积!G21</f>
        <v>307.38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2608.54</v>
      </c>
      <c r="AZ13" s="16">
        <f>BA13+BL13</f>
        <v>8339.2899999999991</v>
      </c>
      <c r="BA13" s="16">
        <f>SUM(BB13:BK13)</f>
        <v>7730.57</v>
      </c>
      <c r="BB13" s="16">
        <f>IF($D13="是",I13-J13,0)</f>
        <v>7730.57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608.72</v>
      </c>
      <c r="BM13" s="16">
        <f>IF($D13="是",AD13-AE13,0)</f>
        <v>0</v>
      </c>
      <c r="BN13" s="16">
        <f>IF($D13="是",AF13-AG13,0)</f>
        <v>0</v>
      </c>
      <c r="BO13" s="16">
        <f>IF($D13="是",AH13-AI13,0)</f>
        <v>301.33999999999997</v>
      </c>
      <c r="BP13" s="16">
        <f>IF($D13="是",AJ13-AK13,0)</f>
        <v>0</v>
      </c>
      <c r="BQ13" s="16">
        <f>IF($D13="是",AL13-AM13,0)</f>
        <v>307.38</v>
      </c>
      <c r="BR13" s="16">
        <f>IF($D13="是",AN13-AO13,0)</f>
        <v>0</v>
      </c>
      <c r="BS13" s="16">
        <f>IF($D13="是",AP13-AQ13,0)</f>
        <v>0</v>
      </c>
      <c r="BT13" s="22">
        <f>IF($D13="是",AR13-AS13,0)</f>
        <v>0</v>
      </c>
    </row>
    <row r="14" spans="1:72" s="2160" customFormat="1" ht="12.75">
      <c r="A14" s="1268"/>
      <c r="B14" s="1268"/>
      <c r="C14" s="2970" t="s">
        <v>3112</v>
      </c>
      <c r="D14" s="2206" t="s">
        <v>3046</v>
      </c>
      <c r="E14" s="16">
        <f>IF($C$3="是",ROUND($A$3*G14/$B$3,2),ROUND($A$3*(G14-AT14)/$B$3,2))</f>
        <v>4593.78</v>
      </c>
      <c r="F14" s="32"/>
      <c r="G14" s="33">
        <f>H14+AC14+AT14</f>
        <v>14685.94</v>
      </c>
      <c r="H14" s="20">
        <f>SUMIF(I$12:AB$12,"总值",I14:AB14)</f>
        <v>14685.94</v>
      </c>
      <c r="I14" s="2207"/>
      <c r="J14" s="2207"/>
      <c r="K14" s="2207">
        <f>面积!D21</f>
        <v>14685.94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4593.78</v>
      </c>
      <c r="AZ14" s="16">
        <f>BA14+BL14</f>
        <v>14685.94</v>
      </c>
      <c r="BA14" s="16">
        <f>SUM(BB14:BK14)</f>
        <v>14685.94</v>
      </c>
      <c r="BB14" s="16">
        <f>IF($D14="是",I14-J14,0)</f>
        <v>0</v>
      </c>
      <c r="BC14" s="16">
        <f>IF($D14="是",K14-L14,0)</f>
        <v>14685.94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0" t="s">
        <v>3113</v>
      </c>
      <c r="D15" s="2206" t="s">
        <v>3046</v>
      </c>
      <c r="E15" s="16">
        <f>IF($C$3="是",ROUND($A$3*G15/$B$3,2),ROUND($A$3*(G15-AT15)/$B$3,2))</f>
        <v>703.22</v>
      </c>
      <c r="F15" s="32"/>
      <c r="G15" s="33">
        <f>H15+AC15+AT15</f>
        <v>2248.14</v>
      </c>
      <c r="H15" s="20">
        <f>SUMIF(I$12:AB$12,"总值",I15:AB15)</f>
        <v>2248.14</v>
      </c>
      <c r="I15" s="2207"/>
      <c r="J15" s="2207"/>
      <c r="K15" s="2207"/>
      <c r="L15" s="2207"/>
      <c r="M15" s="2207">
        <f>面积!C21</f>
        <v>2248.14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703.22</v>
      </c>
      <c r="AZ15" s="16">
        <f>BA15+BL15</f>
        <v>2248.14</v>
      </c>
      <c r="BA15" s="16">
        <f>SUM(BB15:BK15)</f>
        <v>2248.14</v>
      </c>
      <c r="BB15" s="16">
        <f>IF($D15="是",I15-J15,0)</f>
        <v>0</v>
      </c>
      <c r="BC15" s="16">
        <f>IF($D15="是",K15-L15,0)</f>
        <v>0</v>
      </c>
      <c r="BD15" s="16">
        <f>IF($D15="是",M15-N15,0)</f>
        <v>2248.14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0" t="s">
        <v>3114</v>
      </c>
      <c r="D16" s="2206" t="s">
        <v>3046</v>
      </c>
      <c r="E16" s="16">
        <f>IF($C$3="是",ROUND($A$3*G16/$B$3,2),ROUND($A$3*(G16-AT16)/$B$3,2))</f>
        <v>10664.34</v>
      </c>
      <c r="F16" s="32"/>
      <c r="G16" s="33">
        <f>H16+AC16+AT16</f>
        <v>34093</v>
      </c>
      <c r="H16" s="20">
        <f>SUMIF(I$12:AB$12,"总值",I16:AB16)</f>
        <v>34093</v>
      </c>
      <c r="I16" s="2207"/>
      <c r="J16" s="2207"/>
      <c r="K16" s="2207"/>
      <c r="L16" s="2207"/>
      <c r="M16" s="2207"/>
      <c r="N16" s="2207"/>
      <c r="O16" s="2207">
        <f>面积!I21</f>
        <v>34093</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10664.34</v>
      </c>
      <c r="AZ16" s="16">
        <f>BA16+BL16</f>
        <v>34093</v>
      </c>
      <c r="BA16" s="16">
        <f>SUM(BB16:BK16)</f>
        <v>34093</v>
      </c>
      <c r="BB16" s="16">
        <f>IF($D16="是",I16-J16,0)</f>
        <v>0</v>
      </c>
      <c r="BC16" s="16">
        <f>IF($D16="是",K16-L16,0)</f>
        <v>0</v>
      </c>
      <c r="BD16" s="16">
        <f>IF($D16="是",M16-N16,0)</f>
        <v>0</v>
      </c>
      <c r="BE16" s="16">
        <f>IF($D16="是",O16-P16,0)</f>
        <v>34093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0" t="s">
        <v>3122</v>
      </c>
      <c r="D17" s="2206" t="s">
        <v>3051</v>
      </c>
      <c r="E17" s="16">
        <f>IF($C$3="是",ROUND($A$3*G17/$B$3,2),ROUND($A$3*(G17-AT17)/$B$3,2))</f>
        <v>65269.7</v>
      </c>
      <c r="F17" s="32"/>
      <c r="G17" s="33">
        <f>H17+AC17+AT17</f>
        <v>208661.8</v>
      </c>
      <c r="H17" s="20">
        <f>SUMIF(I$12:AB$12,"总值",I17:AB17)</f>
        <v>208661.8</v>
      </c>
      <c r="I17" s="2207">
        <f>面积!C56+面积!D56+面积!E56+面积!F56+面积!G56+面积!J56</f>
        <v>175080.3</v>
      </c>
      <c r="J17" s="2207"/>
      <c r="K17" s="2207"/>
      <c r="L17" s="2207"/>
      <c r="M17" s="2207"/>
      <c r="N17" s="2207"/>
      <c r="O17" s="2207">
        <f>面积!I56</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workbookViewId="0">
      <selection activeCell="I5" sqref="I5"/>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3059</v>
      </c>
      <c r="B1" s="2956" t="s">
        <v>3060</v>
      </c>
      <c r="C1" s="2956" t="s">
        <v>3061</v>
      </c>
      <c r="D1" s="2956" t="s">
        <v>3062</v>
      </c>
      <c r="E1" s="2956" t="s">
        <v>3063</v>
      </c>
      <c r="F1" s="2956" t="s">
        <v>3060</v>
      </c>
      <c r="G1" s="2956" t="s">
        <v>3061</v>
      </c>
      <c r="H1" s="2956" t="s">
        <v>3062</v>
      </c>
      <c r="I1" s="2956" t="s">
        <v>3064</v>
      </c>
      <c r="J1" s="2956" t="s">
        <v>3060</v>
      </c>
      <c r="K1" s="2956" t="s">
        <v>3061</v>
      </c>
      <c r="L1" s="2956" t="s">
        <v>3062</v>
      </c>
      <c r="M1" s="2956" t="s">
        <v>3065</v>
      </c>
      <c r="N1" s="2956" t="s">
        <v>3060</v>
      </c>
      <c r="O1" s="2956" t="s">
        <v>3061</v>
      </c>
      <c r="P1" s="2956" t="s">
        <v>3062</v>
      </c>
    </row>
    <row r="2" spans="1:16">
      <c r="A2" s="2956">
        <v>1</v>
      </c>
      <c r="B2" t="s">
        <v>3070</v>
      </c>
      <c r="C2">
        <f>E12</f>
        <v>1067.3399999999999</v>
      </c>
      <c r="D2" s="2957">
        <v>0.8</v>
      </c>
      <c r="E2">
        <v>1</v>
      </c>
      <c r="F2">
        <v>1</v>
      </c>
      <c r="G2">
        <f>SUM(C11:H11)</f>
        <v>15601.57</v>
      </c>
      <c r="H2" s="2957">
        <v>0.15</v>
      </c>
      <c r="J2">
        <v>42</v>
      </c>
      <c r="K2">
        <f>C19+G19</f>
        <v>1917</v>
      </c>
      <c r="L2" s="2957">
        <v>0.5</v>
      </c>
      <c r="N2" s="2956" t="s">
        <v>3065</v>
      </c>
      <c r="O2" s="2956">
        <f>I20</f>
        <v>34093</v>
      </c>
      <c r="P2" s="2957">
        <v>0.6</v>
      </c>
    </row>
    <row r="3" spans="1:16">
      <c r="A3">
        <v>2</v>
      </c>
      <c r="B3" s="2956" t="s">
        <v>3068</v>
      </c>
      <c r="C3" s="2958">
        <f>E13</f>
        <v>1067.3399999999999</v>
      </c>
      <c r="D3" s="2959">
        <v>0.5</v>
      </c>
      <c r="F3" s="2956" t="s">
        <v>3124</v>
      </c>
      <c r="G3">
        <f>G2</f>
        <v>15601.57</v>
      </c>
      <c r="H3" s="2957">
        <v>0.15</v>
      </c>
      <c r="J3">
        <v>1</v>
      </c>
      <c r="K3">
        <f>C11</f>
        <v>499.14</v>
      </c>
      <c r="L3" s="2957">
        <v>0.5</v>
      </c>
      <c r="N3" s="2956"/>
      <c r="P3" s="2957"/>
    </row>
    <row r="4" spans="1:16">
      <c r="A4" s="2956">
        <v>3</v>
      </c>
      <c r="B4" t="s">
        <v>3071</v>
      </c>
      <c r="C4" s="2958">
        <f>E14+G14</f>
        <v>1076.4000000000001</v>
      </c>
      <c r="D4" s="2959">
        <v>0.5</v>
      </c>
      <c r="H4" s="2957"/>
      <c r="J4" s="2956" t="s">
        <v>3125</v>
      </c>
      <c r="K4">
        <f>K2+K3</f>
        <v>2416.14</v>
      </c>
      <c r="L4" s="2957">
        <f>ROUND((K2*L2+K3*L3)/K4,2)</f>
        <v>0.5</v>
      </c>
      <c r="P4" s="2957"/>
    </row>
    <row r="5" spans="1:16">
      <c r="A5">
        <v>4</v>
      </c>
      <c r="B5" t="s">
        <v>3072</v>
      </c>
      <c r="C5" s="2958">
        <f>E15</f>
        <v>1067.3399999999999</v>
      </c>
      <c r="D5" s="2959">
        <v>0.5</v>
      </c>
      <c r="L5" s="2957"/>
      <c r="N5" s="2956"/>
      <c r="O5" s="2956"/>
      <c r="P5" s="2957"/>
    </row>
    <row r="6" spans="1:16">
      <c r="A6" s="2956">
        <v>5</v>
      </c>
      <c r="B6" t="s">
        <v>3067</v>
      </c>
      <c r="C6" s="2958">
        <f>E16+G16</f>
        <v>1488.47</v>
      </c>
      <c r="D6" s="2959">
        <v>0.5</v>
      </c>
      <c r="H6" s="2957"/>
    </row>
    <row r="7" spans="1:16">
      <c r="A7">
        <v>6</v>
      </c>
      <c r="B7" s="2956" t="s">
        <v>3069</v>
      </c>
      <c r="C7" s="2958">
        <f>E17</f>
        <v>1067.3399999999999</v>
      </c>
      <c r="D7" s="2959">
        <v>0.5</v>
      </c>
    </row>
    <row r="8" spans="1:16">
      <c r="A8" s="2956">
        <v>7</v>
      </c>
      <c r="B8" t="s">
        <v>3066</v>
      </c>
      <c r="C8">
        <f>E18</f>
        <v>920.57</v>
      </c>
      <c r="D8" s="2957">
        <v>0.5</v>
      </c>
    </row>
    <row r="9" spans="1:16">
      <c r="B9" s="2956" t="s">
        <v>3123</v>
      </c>
      <c r="C9">
        <f>SUM(C2:C8)</f>
        <v>7754.8</v>
      </c>
      <c r="D9" s="2957">
        <f>ROUND((C2*D2+C3*D3+C4*D4+C5*D5+C6*D6+C7*D7+C8*D8)/C9,2)</f>
        <v>0.54</v>
      </c>
    </row>
    <row r="10" spans="1:16">
      <c r="A10" s="2960" t="s">
        <v>3128</v>
      </c>
      <c r="B10" s="2960" t="s">
        <v>3073</v>
      </c>
      <c r="C10" s="2960" t="s">
        <v>3074</v>
      </c>
      <c r="D10" s="2960" t="s">
        <v>3077</v>
      </c>
      <c r="E10" s="2960" t="s">
        <v>3075</v>
      </c>
      <c r="F10" s="2960" t="s">
        <v>3078</v>
      </c>
      <c r="G10" s="2960" t="s">
        <v>3079</v>
      </c>
      <c r="H10" s="2960" t="s">
        <v>3080</v>
      </c>
      <c r="I10" s="2960" t="s">
        <v>3081</v>
      </c>
      <c r="J10" s="2960" t="s">
        <v>3082</v>
      </c>
    </row>
    <row r="11" spans="1:16">
      <c r="A11" s="2960" t="s">
        <v>3126</v>
      </c>
      <c r="B11" s="2961">
        <v>1</v>
      </c>
      <c r="C11" s="2961">
        <v>499.14</v>
      </c>
      <c r="D11" s="2961">
        <v>14685.94</v>
      </c>
      <c r="E11" s="2961"/>
      <c r="F11" s="2961">
        <v>76.72</v>
      </c>
      <c r="G11" s="2960">
        <v>38.43</v>
      </c>
      <c r="H11" s="2960">
        <v>301.33999999999997</v>
      </c>
      <c r="I11" s="2961"/>
      <c r="J11" s="2961"/>
    </row>
    <row r="12" spans="1:16">
      <c r="A12" s="2960" t="s">
        <v>3126</v>
      </c>
      <c r="B12" s="2961">
        <v>26</v>
      </c>
      <c r="C12" s="2961"/>
      <c r="D12" s="2961"/>
      <c r="E12" s="2960">
        <v>1067.3399999999999</v>
      </c>
      <c r="F12" s="2961"/>
      <c r="G12" s="2961"/>
      <c r="H12" s="2961"/>
      <c r="I12" s="2961"/>
      <c r="J12" s="2961"/>
    </row>
    <row r="13" spans="1:16">
      <c r="A13" s="2960" t="s">
        <v>3126</v>
      </c>
      <c r="B13" s="2961">
        <v>27</v>
      </c>
      <c r="C13" s="2961"/>
      <c r="D13" s="2961"/>
      <c r="E13" s="2960">
        <v>1067.3399999999999</v>
      </c>
      <c r="F13" s="2961"/>
      <c r="G13" s="2961"/>
      <c r="H13" s="2961"/>
      <c r="I13" s="2961"/>
      <c r="J13" s="2961"/>
    </row>
    <row r="14" spans="1:16">
      <c r="A14" s="2960" t="s">
        <v>3126</v>
      </c>
      <c r="B14" s="2961">
        <v>32</v>
      </c>
      <c r="C14" s="2961"/>
      <c r="D14" s="2961"/>
      <c r="E14" s="2960">
        <v>1067.1400000000001</v>
      </c>
      <c r="F14" s="2961"/>
      <c r="G14" s="2960">
        <v>9.26</v>
      </c>
      <c r="H14" s="2961"/>
      <c r="I14" s="2961"/>
      <c r="J14" s="2961"/>
    </row>
    <row r="15" spans="1:16">
      <c r="A15" s="2960" t="s">
        <v>3126</v>
      </c>
      <c r="B15" s="2961">
        <v>33</v>
      </c>
      <c r="C15" s="2961"/>
      <c r="D15" s="2961"/>
      <c r="E15" s="2960">
        <v>1067.3399999999999</v>
      </c>
      <c r="F15" s="2961"/>
      <c r="G15" s="2961"/>
      <c r="H15" s="2961"/>
      <c r="I15" s="2961"/>
      <c r="J15" s="2961"/>
    </row>
    <row r="16" spans="1:16">
      <c r="A16" s="2960" t="s">
        <v>3126</v>
      </c>
      <c r="B16" s="2961">
        <v>34</v>
      </c>
      <c r="C16" s="2961"/>
      <c r="D16" s="2961"/>
      <c r="E16" s="2960">
        <v>1473.5</v>
      </c>
      <c r="F16" s="2961"/>
      <c r="G16" s="2960">
        <v>14.97</v>
      </c>
      <c r="H16" s="2961"/>
      <c r="I16" s="2961"/>
      <c r="J16" s="2961"/>
    </row>
    <row r="17" spans="1:10">
      <c r="A17" s="2960" t="s">
        <v>3126</v>
      </c>
      <c r="B17" s="2961">
        <v>35</v>
      </c>
      <c r="C17" s="2961"/>
      <c r="D17" s="2961"/>
      <c r="E17" s="2960">
        <v>1067.3399999999999</v>
      </c>
      <c r="F17" s="2961"/>
      <c r="G17" s="2961"/>
      <c r="H17" s="2961"/>
      <c r="I17" s="2961"/>
      <c r="J17" s="2961"/>
    </row>
    <row r="18" spans="1:10">
      <c r="A18" s="2960" t="s">
        <v>3126</v>
      </c>
      <c r="B18" s="2961">
        <v>39</v>
      </c>
      <c r="C18" s="2961"/>
      <c r="D18" s="2961"/>
      <c r="E18" s="2960">
        <v>920.57</v>
      </c>
      <c r="F18" s="2961"/>
      <c r="G18" s="2961"/>
      <c r="H18" s="2961"/>
      <c r="I18" s="2961"/>
      <c r="J18" s="2961"/>
    </row>
    <row r="19" spans="1:10">
      <c r="A19" s="2972" t="s">
        <v>3127</v>
      </c>
      <c r="B19" s="2973">
        <v>42</v>
      </c>
      <c r="C19" s="2973">
        <v>1749</v>
      </c>
      <c r="D19" s="2973"/>
      <c r="E19" s="2973"/>
      <c r="F19" s="2973"/>
      <c r="G19" s="2973">
        <v>168</v>
      </c>
      <c r="H19" s="2973"/>
      <c r="I19" s="2973"/>
      <c r="J19" s="2973"/>
    </row>
    <row r="20" spans="1:10">
      <c r="A20" s="2972" t="s">
        <v>3127</v>
      </c>
      <c r="B20" s="2972" t="s">
        <v>3087</v>
      </c>
      <c r="C20" s="2973"/>
      <c r="D20" s="2973"/>
      <c r="E20" s="2973"/>
      <c r="F20" s="2973"/>
      <c r="G20" s="2973"/>
      <c r="H20" s="2973"/>
      <c r="I20" s="2973">
        <v>34093</v>
      </c>
      <c r="J20" s="2973"/>
    </row>
    <row r="21" spans="1:10">
      <c r="A21" s="2974" t="s">
        <v>3132</v>
      </c>
      <c r="B21" s="2974"/>
      <c r="C21" s="2974">
        <f t="shared" ref="C21:J21" si="0">SUM(C11:C20)</f>
        <v>2248.14</v>
      </c>
      <c r="D21" s="2974">
        <f t="shared" si="0"/>
        <v>14685.94</v>
      </c>
      <c r="E21" s="2974">
        <f t="shared" si="0"/>
        <v>7730.57</v>
      </c>
      <c r="F21" s="2974">
        <f t="shared" si="0"/>
        <v>76.72</v>
      </c>
      <c r="G21" s="2974">
        <f t="shared" si="0"/>
        <v>230.66</v>
      </c>
      <c r="H21" s="2974">
        <f t="shared" si="0"/>
        <v>301.33999999999997</v>
      </c>
      <c r="I21" s="2974">
        <f t="shared" si="0"/>
        <v>34093</v>
      </c>
      <c r="J21" s="2974">
        <f t="shared" si="0"/>
        <v>0</v>
      </c>
    </row>
    <row r="22" spans="1:10">
      <c r="A22" s="2971" t="s">
        <v>3129</v>
      </c>
      <c r="B22" s="2960" t="s">
        <v>3073</v>
      </c>
      <c r="C22" s="2960" t="s">
        <v>3074</v>
      </c>
      <c r="D22" s="2960" t="s">
        <v>3077</v>
      </c>
      <c r="E22" s="2960" t="s">
        <v>3075</v>
      </c>
      <c r="F22" s="2960" t="s">
        <v>3078</v>
      </c>
      <c r="G22" s="2960" t="s">
        <v>3079</v>
      </c>
      <c r="H22" s="2960" t="s">
        <v>3080</v>
      </c>
      <c r="I22" s="2960" t="s">
        <v>3081</v>
      </c>
      <c r="J22" s="2960" t="s">
        <v>3082</v>
      </c>
    </row>
    <row r="23" spans="1:10">
      <c r="A23" s="2960" t="s">
        <v>3126</v>
      </c>
      <c r="B23" s="2961">
        <v>2</v>
      </c>
      <c r="C23" s="2960">
        <v>857.1</v>
      </c>
      <c r="D23" s="2960">
        <v>14211.6</v>
      </c>
      <c r="E23" s="2961"/>
      <c r="F23" s="2960">
        <v>210.57</v>
      </c>
      <c r="G23" s="2961"/>
      <c r="H23" s="2961"/>
      <c r="I23" s="2961"/>
      <c r="J23" s="2961"/>
    </row>
    <row r="24" spans="1:10">
      <c r="A24" s="2960" t="s">
        <v>3126</v>
      </c>
      <c r="B24" s="2961">
        <v>3</v>
      </c>
      <c r="C24" s="2960">
        <v>760.79</v>
      </c>
      <c r="D24" s="2960">
        <v>14681.6</v>
      </c>
      <c r="E24" s="2961"/>
      <c r="F24" s="2960">
        <v>212.95</v>
      </c>
      <c r="G24" s="2961"/>
      <c r="H24" s="2961"/>
      <c r="I24" s="2961"/>
      <c r="J24" s="2961"/>
    </row>
    <row r="25" spans="1:10">
      <c r="A25" s="2960" t="s">
        <v>3126</v>
      </c>
      <c r="B25" s="2961">
        <v>9</v>
      </c>
      <c r="C25" s="2961"/>
      <c r="D25" s="2960">
        <v>15970.2</v>
      </c>
      <c r="E25" s="2961"/>
      <c r="F25" s="2960">
        <v>184.4</v>
      </c>
      <c r="G25" s="2961"/>
      <c r="H25" s="2961"/>
      <c r="I25" s="2961"/>
      <c r="J25" s="2961"/>
    </row>
    <row r="26" spans="1:10">
      <c r="A26" s="2960" t="s">
        <v>3126</v>
      </c>
      <c r="B26" s="2961">
        <v>10</v>
      </c>
      <c r="C26" s="2961"/>
      <c r="D26" s="2960">
        <v>16479.66</v>
      </c>
      <c r="E26" s="2961"/>
      <c r="F26" s="2960">
        <v>184.4</v>
      </c>
      <c r="G26" s="2961"/>
      <c r="H26" s="2961"/>
      <c r="I26" s="2961"/>
      <c r="J26" s="2961"/>
    </row>
    <row r="27" spans="1:10">
      <c r="A27" s="2960" t="s">
        <v>3126</v>
      </c>
      <c r="B27" s="2961">
        <v>11</v>
      </c>
      <c r="C27" s="2961"/>
      <c r="D27" s="2961"/>
      <c r="E27" s="2960">
        <v>480.6</v>
      </c>
      <c r="F27" s="2961"/>
      <c r="G27" s="2961"/>
      <c r="H27" s="2961"/>
      <c r="I27" s="2961"/>
      <c r="J27" s="2961"/>
    </row>
    <row r="28" spans="1:10">
      <c r="A28" s="2960" t="s">
        <v>3126</v>
      </c>
      <c r="B28" s="2961">
        <v>12</v>
      </c>
      <c r="C28" s="2961"/>
      <c r="D28" s="2961"/>
      <c r="E28" s="2960">
        <v>1067.3399999999999</v>
      </c>
      <c r="F28" s="2961"/>
      <c r="G28" s="2961"/>
      <c r="H28" s="2961"/>
      <c r="I28" s="2961"/>
      <c r="J28" s="2961"/>
    </row>
    <row r="29" spans="1:10">
      <c r="A29" s="2960" t="s">
        <v>3126</v>
      </c>
      <c r="B29" s="2961">
        <v>13</v>
      </c>
      <c r="C29" s="2961"/>
      <c r="D29" s="2961"/>
      <c r="E29" s="2960">
        <v>1367.26</v>
      </c>
      <c r="F29" s="2961"/>
      <c r="G29" s="2960">
        <v>15.08</v>
      </c>
      <c r="H29" s="2961"/>
      <c r="I29" s="2961"/>
      <c r="J29" s="2961"/>
    </row>
    <row r="30" spans="1:10">
      <c r="A30" s="2960" t="s">
        <v>3126</v>
      </c>
      <c r="B30" s="2961">
        <v>17</v>
      </c>
      <c r="C30" s="2961"/>
      <c r="D30" s="2961"/>
      <c r="E30" s="2960">
        <v>1360.53</v>
      </c>
      <c r="F30" s="2961"/>
      <c r="G30" s="2960">
        <v>15</v>
      </c>
      <c r="H30" s="2961"/>
      <c r="I30" s="2961"/>
      <c r="J30" s="2961"/>
    </row>
    <row r="31" spans="1:10">
      <c r="A31" s="2960" t="s">
        <v>3126</v>
      </c>
      <c r="B31" s="2961">
        <v>18</v>
      </c>
      <c r="C31" s="2961"/>
      <c r="D31" s="2961"/>
      <c r="E31" s="2960">
        <v>1067.3399999999999</v>
      </c>
      <c r="F31" s="2961"/>
      <c r="G31" s="2961"/>
      <c r="H31" s="2961"/>
      <c r="I31" s="2961"/>
      <c r="J31" s="2961"/>
    </row>
    <row r="32" spans="1:10">
      <c r="A32" s="2960" t="s">
        <v>3126</v>
      </c>
      <c r="B32" s="2961">
        <v>19</v>
      </c>
      <c r="C32" s="2961"/>
      <c r="D32" s="2961"/>
      <c r="E32" s="2960">
        <v>593.12</v>
      </c>
      <c r="F32" s="2961"/>
      <c r="G32" s="2960">
        <v>30.12</v>
      </c>
      <c r="H32" s="2961"/>
      <c r="I32" s="2961"/>
      <c r="J32" s="2961"/>
    </row>
    <row r="33" spans="1:12">
      <c r="A33" s="2960" t="s">
        <v>3126</v>
      </c>
      <c r="B33" s="2961">
        <v>24</v>
      </c>
      <c r="C33" s="2961"/>
      <c r="D33" s="2961"/>
      <c r="E33" s="2960">
        <v>1067.1400000000001</v>
      </c>
      <c r="F33" s="2961"/>
      <c r="G33" s="2960">
        <v>9.26</v>
      </c>
      <c r="H33" s="2961"/>
      <c r="I33" s="2961"/>
      <c r="J33" s="2961"/>
    </row>
    <row r="34" spans="1:12">
      <c r="A34" s="2960" t="s">
        <v>3126</v>
      </c>
      <c r="B34" s="2961">
        <v>25</v>
      </c>
      <c r="C34" s="2961"/>
      <c r="D34" s="2961"/>
      <c r="E34" s="2960">
        <v>1067.3399999999999</v>
      </c>
      <c r="F34" s="2961"/>
      <c r="G34" s="2961"/>
      <c r="H34" s="2961"/>
      <c r="I34" s="2961"/>
      <c r="J34" s="2961"/>
    </row>
    <row r="35" spans="1:12">
      <c r="A35" s="2972" t="s">
        <v>3130</v>
      </c>
      <c r="B35" s="2973">
        <v>40</v>
      </c>
      <c r="C35" s="2973">
        <v>901</v>
      </c>
      <c r="D35" s="2973"/>
      <c r="E35" s="2973"/>
      <c r="F35" s="2973"/>
      <c r="G35" s="2973"/>
      <c r="H35" s="2973"/>
      <c r="I35" s="2973"/>
      <c r="J35" s="2973">
        <v>196</v>
      </c>
    </row>
    <row r="36" spans="1:12">
      <c r="A36" s="2972" t="s">
        <v>3130</v>
      </c>
      <c r="B36" s="2973">
        <v>41</v>
      </c>
      <c r="C36" s="2973">
        <v>2181</v>
      </c>
      <c r="D36" s="2973"/>
      <c r="E36" s="2973"/>
      <c r="F36" s="2973"/>
      <c r="G36" s="2973"/>
      <c r="H36" s="2973"/>
      <c r="I36" s="2973"/>
      <c r="J36" s="2973"/>
    </row>
    <row r="37" spans="1:12">
      <c r="A37" s="2968" t="s">
        <v>3083</v>
      </c>
      <c r="B37" s="2965">
        <v>4</v>
      </c>
      <c r="C37" s="2965">
        <v>922.6</v>
      </c>
      <c r="D37" s="2965">
        <v>14227.2</v>
      </c>
      <c r="E37" s="2965"/>
      <c r="F37" s="2965">
        <v>205.8</v>
      </c>
      <c r="G37" s="2965">
        <f>48.1+9+72+128.8</f>
        <v>257.89999999999998</v>
      </c>
      <c r="H37" s="2965"/>
      <c r="I37" s="2965"/>
      <c r="J37" s="2965"/>
    </row>
    <row r="38" spans="1:12">
      <c r="A38" s="2968" t="s">
        <v>3083</v>
      </c>
      <c r="B38" s="2965">
        <v>5</v>
      </c>
      <c r="C38" s="2965"/>
      <c r="D38" s="2965">
        <v>15137.8</v>
      </c>
      <c r="E38" s="2965"/>
      <c r="F38" s="2965">
        <v>205.8</v>
      </c>
      <c r="G38" s="2982">
        <v>12.6</v>
      </c>
      <c r="H38" s="2965"/>
      <c r="I38" s="2965"/>
      <c r="J38" s="2965"/>
    </row>
    <row r="39" spans="1:12">
      <c r="A39" s="2968" t="s">
        <v>3083</v>
      </c>
      <c r="B39" s="2965">
        <v>6</v>
      </c>
      <c r="C39" s="2965"/>
      <c r="D39" s="2965">
        <v>15883.2</v>
      </c>
      <c r="E39" s="2965"/>
      <c r="F39" s="2965">
        <v>165.5</v>
      </c>
      <c r="G39" s="2965"/>
      <c r="H39" s="2965"/>
      <c r="I39" s="2965"/>
      <c r="J39" s="2965"/>
    </row>
    <row r="40" spans="1:12">
      <c r="A40" s="2968" t="s">
        <v>3083</v>
      </c>
      <c r="B40" s="2965">
        <v>7</v>
      </c>
      <c r="C40" s="2965"/>
      <c r="D40" s="2965">
        <v>14900.8</v>
      </c>
      <c r="E40" s="2965"/>
      <c r="F40" s="2965">
        <v>165.5</v>
      </c>
      <c r="G40" s="2965"/>
      <c r="H40" s="2965"/>
      <c r="I40" s="2965"/>
      <c r="J40" s="2965"/>
    </row>
    <row r="41" spans="1:12">
      <c r="A41" s="2968" t="s">
        <v>3083</v>
      </c>
      <c r="B41" s="2965">
        <v>8</v>
      </c>
      <c r="C41" s="2965"/>
      <c r="D41" s="2965">
        <v>16493.5</v>
      </c>
      <c r="E41" s="2965"/>
      <c r="F41" s="2965">
        <v>165.5</v>
      </c>
      <c r="G41" s="2965"/>
      <c r="H41" s="2965"/>
      <c r="I41" s="2965"/>
      <c r="J41" s="2965"/>
    </row>
    <row r="42" spans="1:12">
      <c r="A42" s="2968" t="s">
        <v>3083</v>
      </c>
      <c r="B42" s="2965" t="s">
        <v>3085</v>
      </c>
      <c r="C42" s="2965"/>
      <c r="D42" s="2965"/>
      <c r="E42" s="2965">
        <v>3022</v>
      </c>
      <c r="F42" s="2965"/>
      <c r="G42" s="2965"/>
      <c r="H42" s="2965"/>
      <c r="I42" s="2965"/>
      <c r="J42" s="2965"/>
    </row>
    <row r="43" spans="1:12">
      <c r="A43" s="2968" t="s">
        <v>3083</v>
      </c>
      <c r="B43" s="2965">
        <v>15</v>
      </c>
      <c r="C43" s="2965"/>
      <c r="D43" s="2965"/>
      <c r="E43" s="2965">
        <v>2049.1999999999998</v>
      </c>
      <c r="F43" s="2965"/>
      <c r="G43" s="2965"/>
      <c r="H43" s="2965"/>
      <c r="I43" s="2965"/>
      <c r="J43" s="2965"/>
      <c r="L43" s="2956"/>
    </row>
    <row r="44" spans="1:12">
      <c r="A44" s="2968" t="s">
        <v>3083</v>
      </c>
      <c r="B44" s="2965">
        <v>16</v>
      </c>
      <c r="C44" s="2965"/>
      <c r="D44" s="2965"/>
      <c r="E44" s="2965">
        <v>1510.9</v>
      </c>
      <c r="F44" s="2965"/>
      <c r="G44" s="2965"/>
      <c r="H44" s="2965"/>
      <c r="I44" s="2965"/>
      <c r="J44" s="2965"/>
    </row>
    <row r="45" spans="1:12">
      <c r="A45" s="2968" t="s">
        <v>3083</v>
      </c>
      <c r="B45" s="2965">
        <v>21</v>
      </c>
      <c r="C45" s="2965"/>
      <c r="D45" s="2965"/>
      <c r="E45" s="2982">
        <v>2049.1999999999998</v>
      </c>
      <c r="F45" s="2965"/>
      <c r="G45" s="2965"/>
      <c r="H45" s="2965"/>
      <c r="I45" s="2965"/>
      <c r="J45" s="2965"/>
    </row>
    <row r="46" spans="1:12">
      <c r="A46" s="2968" t="s">
        <v>3083</v>
      </c>
      <c r="B46" s="2965">
        <v>22</v>
      </c>
      <c r="C46" s="2965"/>
      <c r="D46" s="2965"/>
      <c r="E46" s="2965">
        <v>1907.8</v>
      </c>
      <c r="F46" s="2965"/>
      <c r="G46" s="2965"/>
      <c r="H46" s="2965"/>
      <c r="I46" s="2965"/>
      <c r="J46" s="2965"/>
    </row>
    <row r="47" spans="1:12">
      <c r="A47" s="2968" t="s">
        <v>3083</v>
      </c>
      <c r="B47" s="2965" t="s">
        <v>3086</v>
      </c>
      <c r="C47" s="2965"/>
      <c r="D47" s="2965"/>
      <c r="E47" s="2982">
        <v>3530.8</v>
      </c>
      <c r="F47" s="2965"/>
      <c r="G47" s="2965"/>
      <c r="H47" s="2965"/>
      <c r="I47" s="2965"/>
      <c r="J47" s="2965"/>
    </row>
    <row r="48" spans="1:12">
      <c r="A48" s="2968" t="s">
        <v>3083</v>
      </c>
      <c r="B48" s="2965">
        <v>28</v>
      </c>
      <c r="C48" s="2965"/>
      <c r="D48" s="2965"/>
      <c r="E48" s="2965">
        <v>1765.4</v>
      </c>
      <c r="F48" s="2965"/>
      <c r="G48" s="2965"/>
      <c r="H48" s="2965"/>
      <c r="I48" s="2965"/>
      <c r="J48" s="2965"/>
    </row>
    <row r="49" spans="1:10">
      <c r="A49" s="2968" t="s">
        <v>3083</v>
      </c>
      <c r="B49" s="2965">
        <v>29</v>
      </c>
      <c r="C49" s="2965"/>
      <c r="D49" s="2965"/>
      <c r="E49" s="2965">
        <v>1474.6</v>
      </c>
      <c r="F49" s="2965"/>
      <c r="G49" s="2965"/>
      <c r="H49" s="2965"/>
      <c r="I49" s="2965"/>
      <c r="J49" s="2965"/>
    </row>
    <row r="50" spans="1:10">
      <c r="A50" s="2968" t="s">
        <v>3083</v>
      </c>
      <c r="B50" s="2965">
        <v>30</v>
      </c>
      <c r="C50" s="2965"/>
      <c r="D50" s="2965"/>
      <c r="E50" s="2965">
        <v>1035.0999999999999</v>
      </c>
      <c r="F50" s="2965"/>
      <c r="G50" s="2965"/>
      <c r="H50" s="2965"/>
      <c r="I50" s="2965"/>
      <c r="J50" s="2965"/>
    </row>
    <row r="51" spans="1:10">
      <c r="A51" s="2968" t="s">
        <v>3083</v>
      </c>
      <c r="B51" s="2965">
        <v>36</v>
      </c>
      <c r="C51" s="2965"/>
      <c r="D51" s="2965"/>
      <c r="E51" s="2965">
        <v>1318.6</v>
      </c>
      <c r="F51" s="2965"/>
      <c r="G51" s="2965"/>
      <c r="H51" s="2965"/>
      <c r="I51" s="2965"/>
      <c r="J51" s="2965"/>
    </row>
    <row r="52" spans="1:10">
      <c r="A52" s="2968" t="s">
        <v>3083</v>
      </c>
      <c r="B52" s="2965">
        <v>37</v>
      </c>
      <c r="C52" s="2965"/>
      <c r="D52" s="2965"/>
      <c r="E52" s="2965">
        <v>608.9</v>
      </c>
      <c r="F52" s="2965"/>
      <c r="G52" s="2965"/>
      <c r="H52" s="2965"/>
      <c r="I52" s="2965"/>
      <c r="J52" s="2965"/>
    </row>
    <row r="53" spans="1:10">
      <c r="A53" s="2968" t="s">
        <v>3083</v>
      </c>
      <c r="B53" s="2965">
        <v>38</v>
      </c>
      <c r="C53" s="2965"/>
      <c r="D53" s="2965"/>
      <c r="E53" s="2965">
        <v>892.7</v>
      </c>
      <c r="F53" s="2965"/>
      <c r="G53" s="2965"/>
      <c r="H53" s="2965"/>
      <c r="I53" s="2965"/>
      <c r="J53" s="2965"/>
    </row>
    <row r="54" spans="1:10">
      <c r="A54" s="2965"/>
      <c r="B54" s="2968" t="s">
        <v>3091</v>
      </c>
      <c r="C54" s="2965"/>
      <c r="D54" s="2965"/>
      <c r="E54" s="2965"/>
      <c r="F54" s="2965"/>
      <c r="G54" s="2965"/>
      <c r="H54" s="2965"/>
      <c r="I54" s="2965">
        <v>18934.599999999999</v>
      </c>
      <c r="J54" s="2965"/>
    </row>
    <row r="55" spans="1:10">
      <c r="A55" s="2965"/>
      <c r="B55" s="2968" t="s">
        <v>3092</v>
      </c>
      <c r="C55" s="2965"/>
      <c r="D55" s="2965"/>
      <c r="E55" s="2965"/>
      <c r="F55" s="2965"/>
      <c r="G55" s="2965"/>
      <c r="H55" s="2965"/>
      <c r="I55" s="2965">
        <v>14646.9</v>
      </c>
      <c r="J55" s="2965"/>
    </row>
    <row r="56" spans="1:10">
      <c r="A56" s="2974" t="s">
        <v>3133</v>
      </c>
      <c r="B56" s="2974"/>
      <c r="C56" s="2974">
        <f t="shared" ref="C56:J56" si="1">SUM(C23:C55)</f>
        <v>5622.49</v>
      </c>
      <c r="D56" s="2974">
        <f t="shared" si="1"/>
        <v>137985.56</v>
      </c>
      <c r="E56" s="2974">
        <f t="shared" si="1"/>
        <v>29235.869999999995</v>
      </c>
      <c r="F56" s="2974">
        <f t="shared" si="1"/>
        <v>1700.4199999999998</v>
      </c>
      <c r="G56" s="2974">
        <f t="shared" si="1"/>
        <v>339.96000000000004</v>
      </c>
      <c r="H56" s="2974">
        <f t="shared" si="1"/>
        <v>0</v>
      </c>
      <c r="I56" s="2974">
        <f t="shared" si="1"/>
        <v>33581.5</v>
      </c>
      <c r="J56" s="2974">
        <f t="shared" si="1"/>
        <v>196</v>
      </c>
    </row>
    <row r="57" spans="1:10">
      <c r="A57" s="2975" t="s">
        <v>3134</v>
      </c>
      <c r="B57" s="2976"/>
      <c r="C57" s="2976">
        <f t="shared" ref="C57:J57" si="2">C21+C56</f>
        <v>7870.6299999999992</v>
      </c>
      <c r="D57" s="2976">
        <f t="shared" si="2"/>
        <v>152671.5</v>
      </c>
      <c r="E57" s="2976">
        <f t="shared" si="2"/>
        <v>36966.439999999995</v>
      </c>
      <c r="F57" s="2976">
        <f t="shared" si="2"/>
        <v>1777.1399999999999</v>
      </c>
      <c r="G57" s="2976">
        <f t="shared" si="2"/>
        <v>570.62</v>
      </c>
      <c r="H57" s="2976">
        <f t="shared" si="2"/>
        <v>301.33999999999997</v>
      </c>
      <c r="I57" s="2976">
        <f t="shared" si="2"/>
        <v>67674.5</v>
      </c>
      <c r="J57" s="2976">
        <f t="shared" si="2"/>
        <v>196</v>
      </c>
    </row>
    <row r="60" spans="1:10">
      <c r="B60" s="2956" t="s">
        <v>3135</v>
      </c>
      <c r="C60">
        <f>C57+D57+E57+F57+G57+H57+J57</f>
        <v>200353.67</v>
      </c>
      <c r="D60" s="2956" t="s">
        <v>3137</v>
      </c>
      <c r="E60">
        <f>C57+D57+E57+G57+H57+J57</f>
        <v>198576.53</v>
      </c>
      <c r="F60" s="2956" t="s">
        <v>3218</v>
      </c>
      <c r="G60">
        <v>198330</v>
      </c>
    </row>
    <row r="61" spans="1:10">
      <c r="B61" s="2956" t="s">
        <v>3136</v>
      </c>
      <c r="C61">
        <f>I57</f>
        <v>67674.5</v>
      </c>
      <c r="F61" s="2956" t="s">
        <v>3219</v>
      </c>
      <c r="G61">
        <f>E60-G60</f>
        <v>246.52999999999884</v>
      </c>
    </row>
    <row r="62" spans="1:10">
      <c r="B62" s="2956" t="s">
        <v>3131</v>
      </c>
      <c r="C62">
        <f>C60+C61</f>
        <v>268028.17000000004</v>
      </c>
    </row>
    <row r="83" spans="1:20">
      <c r="A83" s="2960" t="s">
        <v>3076</v>
      </c>
      <c r="B83" s="2960" t="s">
        <v>3073</v>
      </c>
      <c r="C83" s="2960" t="s">
        <v>3074</v>
      </c>
      <c r="D83" s="2960" t="s">
        <v>3077</v>
      </c>
      <c r="E83" s="2960" t="s">
        <v>3075</v>
      </c>
      <c r="F83" s="2960" t="s">
        <v>3078</v>
      </c>
      <c r="G83" s="2960" t="s">
        <v>3079</v>
      </c>
      <c r="H83" s="2960" t="s">
        <v>3080</v>
      </c>
      <c r="I83" s="2960" t="s">
        <v>3081</v>
      </c>
      <c r="J83" s="2960" t="s">
        <v>3082</v>
      </c>
      <c r="K83" s="2960" t="s">
        <v>3084</v>
      </c>
      <c r="L83" s="2960" t="s">
        <v>3073</v>
      </c>
      <c r="M83" s="2960" t="s">
        <v>3074</v>
      </c>
      <c r="N83" s="2960" t="s">
        <v>3077</v>
      </c>
      <c r="O83" s="2960" t="s">
        <v>3075</v>
      </c>
      <c r="P83" s="2960" t="s">
        <v>3078</v>
      </c>
      <c r="Q83" s="2960" t="s">
        <v>3079</v>
      </c>
      <c r="R83" s="2960" t="s">
        <v>3080</v>
      </c>
      <c r="S83" s="2960" t="s">
        <v>3081</v>
      </c>
      <c r="T83" s="2960" t="s">
        <v>3082</v>
      </c>
    </row>
    <row r="84" spans="1:20">
      <c r="A84" s="2961"/>
      <c r="B84" s="2961">
        <v>1</v>
      </c>
      <c r="C84" s="2961">
        <v>499.14</v>
      </c>
      <c r="D84" s="2961">
        <v>14685.94</v>
      </c>
      <c r="E84" s="2961"/>
      <c r="F84" s="2961">
        <v>76.72</v>
      </c>
      <c r="G84" s="2960">
        <v>38.43</v>
      </c>
      <c r="H84" s="2960">
        <v>301.33999999999997</v>
      </c>
      <c r="I84" s="2961"/>
      <c r="J84" s="2961"/>
      <c r="K84" s="2961"/>
      <c r="L84" s="2961">
        <v>4</v>
      </c>
      <c r="M84" s="2961">
        <v>922.6</v>
      </c>
      <c r="N84" s="2961">
        <v>14227.2</v>
      </c>
      <c r="O84" s="2961"/>
      <c r="P84" s="2961">
        <v>205.8</v>
      </c>
      <c r="Q84" s="2961">
        <f>48.1+9+72+128.8</f>
        <v>257.89999999999998</v>
      </c>
      <c r="R84" s="2961"/>
      <c r="S84" s="2961"/>
      <c r="T84" s="2961"/>
    </row>
    <row r="85" spans="1:20">
      <c r="A85" s="2961"/>
      <c r="B85" s="2961">
        <v>2</v>
      </c>
      <c r="C85" s="2960">
        <v>857.1</v>
      </c>
      <c r="D85" s="2960">
        <v>14211.6</v>
      </c>
      <c r="E85" s="2961"/>
      <c r="F85" s="2960">
        <v>210.57</v>
      </c>
      <c r="G85" s="2961"/>
      <c r="H85" s="2961"/>
      <c r="I85" s="2961"/>
      <c r="J85" s="2961"/>
      <c r="K85" s="2961"/>
      <c r="L85" s="2961">
        <v>5</v>
      </c>
      <c r="M85" s="2961"/>
      <c r="N85" s="2961">
        <v>15137.8</v>
      </c>
      <c r="O85" s="2961"/>
      <c r="P85" s="2961">
        <v>205.8</v>
      </c>
      <c r="Q85" s="2961"/>
      <c r="R85" s="2961"/>
      <c r="S85" s="2961"/>
      <c r="T85" s="2961"/>
    </row>
    <row r="86" spans="1:20">
      <c r="A86" s="2961"/>
      <c r="B86" s="2961">
        <v>3</v>
      </c>
      <c r="C86" s="2960">
        <v>760.79</v>
      </c>
      <c r="D86" s="2960">
        <v>14681.6</v>
      </c>
      <c r="E86" s="2961"/>
      <c r="F86" s="2960">
        <v>212.95</v>
      </c>
      <c r="G86" s="2961"/>
      <c r="H86" s="2961"/>
      <c r="I86" s="2961"/>
      <c r="J86" s="2961"/>
      <c r="K86" s="2961"/>
      <c r="L86" s="2961">
        <v>6</v>
      </c>
      <c r="M86" s="2961"/>
      <c r="N86" s="2961">
        <v>15883.2</v>
      </c>
      <c r="O86" s="2961"/>
      <c r="P86" s="2961">
        <v>165.5</v>
      </c>
      <c r="Q86" s="2961"/>
      <c r="R86" s="2961"/>
      <c r="S86" s="2961"/>
      <c r="T86" s="2961"/>
    </row>
    <row r="87" spans="1:20">
      <c r="A87" s="2961"/>
      <c r="B87" s="2961">
        <v>9</v>
      </c>
      <c r="C87" s="2961"/>
      <c r="D87" s="2960">
        <v>15970.2</v>
      </c>
      <c r="E87" s="2961"/>
      <c r="F87" s="2960">
        <v>184.4</v>
      </c>
      <c r="G87" s="2961"/>
      <c r="H87" s="2961"/>
      <c r="I87" s="2961"/>
      <c r="J87" s="2961"/>
      <c r="K87" s="2961"/>
      <c r="L87" s="2961">
        <v>7</v>
      </c>
      <c r="M87" s="2961"/>
      <c r="N87" s="2961">
        <v>14900.8</v>
      </c>
      <c r="O87" s="2961"/>
      <c r="P87" s="2961">
        <v>165.5</v>
      </c>
      <c r="Q87" s="2961"/>
      <c r="R87" s="2961"/>
      <c r="S87" s="2961"/>
      <c r="T87" s="2961"/>
    </row>
    <row r="88" spans="1:20">
      <c r="A88" s="2961"/>
      <c r="B88" s="2961">
        <v>10</v>
      </c>
      <c r="C88" s="2961"/>
      <c r="D88" s="2960">
        <v>16479.66</v>
      </c>
      <c r="E88" s="2961"/>
      <c r="F88" s="2960">
        <v>184.4</v>
      </c>
      <c r="G88" s="2961"/>
      <c r="H88" s="2961"/>
      <c r="I88" s="2961"/>
      <c r="J88" s="2961"/>
      <c r="K88" s="2961"/>
      <c r="L88" s="2961">
        <v>8</v>
      </c>
      <c r="M88" s="2961"/>
      <c r="N88" s="2961">
        <v>16493.5</v>
      </c>
      <c r="O88" s="2961"/>
      <c r="P88" s="2961">
        <v>165.5</v>
      </c>
      <c r="Q88" s="2961"/>
      <c r="R88" s="2961"/>
      <c r="S88" s="2961"/>
      <c r="T88" s="2961"/>
    </row>
    <row r="89" spans="1:20">
      <c r="A89" s="2961"/>
      <c r="B89" s="2961">
        <v>11</v>
      </c>
      <c r="C89" s="2961"/>
      <c r="D89" s="2961"/>
      <c r="E89" s="2960">
        <v>480.6</v>
      </c>
      <c r="F89" s="2961"/>
      <c r="G89" s="2961"/>
      <c r="H89" s="2961"/>
      <c r="I89" s="2961"/>
      <c r="J89" s="2961"/>
      <c r="K89" s="2961"/>
      <c r="L89" s="2962" t="s">
        <v>3085</v>
      </c>
      <c r="M89" s="2961"/>
      <c r="N89" s="2961"/>
      <c r="O89" s="2961">
        <v>3022</v>
      </c>
      <c r="P89" s="2961"/>
      <c r="Q89" s="2961"/>
      <c r="R89" s="2961"/>
      <c r="S89" s="2961"/>
      <c r="T89" s="2961"/>
    </row>
    <row r="90" spans="1:20">
      <c r="A90" s="2961"/>
      <c r="B90" s="2961">
        <v>12</v>
      </c>
      <c r="C90" s="2961"/>
      <c r="D90" s="2961"/>
      <c r="E90" s="2960">
        <v>1067.3399999999999</v>
      </c>
      <c r="F90" s="2961"/>
      <c r="G90" s="2961"/>
      <c r="H90" s="2961"/>
      <c r="I90" s="2961"/>
      <c r="J90" s="2961"/>
      <c r="K90" s="2961"/>
      <c r="L90" s="2961">
        <v>15</v>
      </c>
      <c r="M90" s="2961"/>
      <c r="N90" s="2961"/>
      <c r="O90" s="2961">
        <v>2049.1999999999998</v>
      </c>
      <c r="P90" s="2961"/>
      <c r="Q90" s="2961"/>
      <c r="R90" s="2961"/>
      <c r="S90" s="2961"/>
      <c r="T90" s="2961"/>
    </row>
    <row r="91" spans="1:20">
      <c r="A91" s="2961"/>
      <c r="B91" s="2961">
        <v>13</v>
      </c>
      <c r="C91" s="2961"/>
      <c r="D91" s="2961"/>
      <c r="E91" s="2960">
        <v>1367.26</v>
      </c>
      <c r="F91" s="2961"/>
      <c r="G91" s="2960">
        <v>15.08</v>
      </c>
      <c r="H91" s="2961"/>
      <c r="I91" s="2961"/>
      <c r="J91" s="2961"/>
      <c r="K91" s="2961"/>
      <c r="L91" s="2961">
        <v>16</v>
      </c>
      <c r="M91" s="2961"/>
      <c r="N91" s="2961"/>
      <c r="O91" s="2961">
        <v>1510.9</v>
      </c>
      <c r="P91" s="2961"/>
      <c r="Q91" s="2961"/>
      <c r="R91" s="2961"/>
      <c r="S91" s="2961"/>
      <c r="T91" s="2961"/>
    </row>
    <row r="92" spans="1:20">
      <c r="A92" s="2961"/>
      <c r="B92" s="2961">
        <v>17</v>
      </c>
      <c r="C92" s="2961"/>
      <c r="D92" s="2961"/>
      <c r="E92" s="2960">
        <v>1360.53</v>
      </c>
      <c r="F92" s="2961"/>
      <c r="G92" s="2960">
        <v>15</v>
      </c>
      <c r="H92" s="2961"/>
      <c r="I92" s="2961"/>
      <c r="J92" s="2961"/>
      <c r="K92" s="2961"/>
      <c r="L92" s="2961"/>
      <c r="M92" s="2961"/>
      <c r="N92" s="2961"/>
      <c r="O92" s="2961"/>
      <c r="P92" s="2961"/>
      <c r="Q92" s="2961"/>
      <c r="R92" s="2961"/>
      <c r="S92" s="2961"/>
      <c r="T92" s="2961"/>
    </row>
    <row r="93" spans="1:20">
      <c r="A93" s="2961"/>
      <c r="B93" s="2961">
        <v>18</v>
      </c>
      <c r="C93" s="2961"/>
      <c r="D93" s="2961"/>
      <c r="E93" s="2960">
        <v>1067.3399999999999</v>
      </c>
      <c r="F93" s="2961"/>
      <c r="G93" s="2961"/>
      <c r="H93" s="2961"/>
      <c r="I93" s="2961"/>
      <c r="J93" s="2961"/>
      <c r="K93" s="2961"/>
      <c r="L93" s="2961">
        <v>21</v>
      </c>
      <c r="M93" s="2961"/>
      <c r="N93" s="2961"/>
      <c r="O93" s="2961">
        <v>2019.2</v>
      </c>
      <c r="P93" s="2961"/>
      <c r="Q93" s="2961"/>
      <c r="R93" s="2961"/>
      <c r="S93" s="2961"/>
      <c r="T93" s="2961"/>
    </row>
    <row r="94" spans="1:20">
      <c r="A94" s="2961"/>
      <c r="B94" s="2961">
        <v>19</v>
      </c>
      <c r="C94" s="2961"/>
      <c r="D94" s="2961"/>
      <c r="E94" s="2960">
        <v>593.12</v>
      </c>
      <c r="F94" s="2961"/>
      <c r="G94" s="2960">
        <v>30.12</v>
      </c>
      <c r="H94" s="2961"/>
      <c r="I94" s="2961"/>
      <c r="J94" s="2961"/>
      <c r="K94" s="2961"/>
      <c r="L94" s="2961">
        <v>22</v>
      </c>
      <c r="M94" s="2961"/>
      <c r="N94" s="2961"/>
      <c r="O94" s="2961">
        <v>1907.8</v>
      </c>
      <c r="P94" s="2961"/>
      <c r="Q94" s="2961"/>
      <c r="R94" s="2961"/>
      <c r="S94" s="2961"/>
      <c r="T94" s="2961"/>
    </row>
    <row r="95" spans="1:20">
      <c r="A95" s="2961"/>
      <c r="B95" s="2961">
        <v>24</v>
      </c>
      <c r="C95" s="2961"/>
      <c r="D95" s="2961"/>
      <c r="E95" s="2960">
        <v>1067.1400000000001</v>
      </c>
      <c r="F95" s="2961"/>
      <c r="G95" s="2960">
        <v>9.26</v>
      </c>
      <c r="H95" s="2961"/>
      <c r="I95" s="2961"/>
      <c r="J95" s="2961"/>
      <c r="K95" s="2961"/>
      <c r="L95" s="2963" t="s">
        <v>3086</v>
      </c>
      <c r="M95" s="2961"/>
      <c r="N95" s="2961"/>
      <c r="O95" s="2961">
        <v>2530.8000000000002</v>
      </c>
      <c r="P95" s="2961"/>
      <c r="Q95" s="2961"/>
      <c r="R95" s="2961"/>
      <c r="S95" s="2961"/>
      <c r="T95" s="2961"/>
    </row>
    <row r="96" spans="1:20">
      <c r="A96" s="2961"/>
      <c r="B96" s="2961">
        <v>25</v>
      </c>
      <c r="C96" s="2961"/>
      <c r="D96" s="2961"/>
      <c r="E96" s="2960">
        <v>1067.3399999999999</v>
      </c>
      <c r="F96" s="2961"/>
      <c r="G96" s="2961"/>
      <c r="H96" s="2961"/>
      <c r="I96" s="2961"/>
      <c r="J96" s="2961"/>
      <c r="K96" s="2961"/>
      <c r="L96" s="2961">
        <v>28</v>
      </c>
      <c r="M96" s="2961"/>
      <c r="N96" s="2961"/>
      <c r="O96" s="2961">
        <v>1765.4</v>
      </c>
      <c r="P96" s="2961"/>
      <c r="Q96" s="2961"/>
      <c r="R96" s="2961"/>
      <c r="S96" s="2961"/>
      <c r="T96" s="2961"/>
    </row>
    <row r="97" spans="1:20">
      <c r="A97" s="2961"/>
      <c r="B97" s="2961">
        <v>26</v>
      </c>
      <c r="C97" s="2961"/>
      <c r="D97" s="2961"/>
      <c r="E97" s="2960">
        <v>1067.3399999999999</v>
      </c>
      <c r="F97" s="2961"/>
      <c r="G97" s="2961"/>
      <c r="H97" s="2961"/>
      <c r="I97" s="2961"/>
      <c r="J97" s="2961"/>
      <c r="K97" s="2961"/>
      <c r="L97" s="2961">
        <v>29</v>
      </c>
      <c r="M97" s="2961"/>
      <c r="N97" s="2961"/>
      <c r="O97" s="2961">
        <v>1474.6</v>
      </c>
      <c r="P97" s="2961"/>
      <c r="Q97" s="2961"/>
      <c r="R97" s="2961"/>
      <c r="S97" s="2961"/>
      <c r="T97" s="2961"/>
    </row>
    <row r="98" spans="1:20">
      <c r="A98" s="2961"/>
      <c r="B98" s="2961">
        <v>27</v>
      </c>
      <c r="C98" s="2961"/>
      <c r="D98" s="2961"/>
      <c r="E98" s="2960">
        <v>1067.3399999999999</v>
      </c>
      <c r="F98" s="2961"/>
      <c r="G98" s="2961"/>
      <c r="H98" s="2961"/>
      <c r="I98" s="2961"/>
      <c r="J98" s="2961"/>
      <c r="K98" s="2961"/>
      <c r="L98" s="2961">
        <v>30</v>
      </c>
      <c r="M98" s="2961"/>
      <c r="N98" s="2961"/>
      <c r="O98" s="2961">
        <v>1035.0999999999999</v>
      </c>
      <c r="P98" s="2961"/>
      <c r="Q98" s="2961"/>
      <c r="R98" s="2961"/>
      <c r="S98" s="2961"/>
      <c r="T98" s="2961"/>
    </row>
    <row r="99" spans="1:20">
      <c r="A99" s="2961"/>
      <c r="B99" s="2961">
        <v>32</v>
      </c>
      <c r="C99" s="2961"/>
      <c r="D99" s="2961"/>
      <c r="E99" s="2960">
        <v>1067.1400000000001</v>
      </c>
      <c r="F99" s="2961"/>
      <c r="G99" s="2960">
        <v>9.26</v>
      </c>
      <c r="H99" s="2961"/>
      <c r="I99" s="2961"/>
      <c r="J99" s="2961"/>
      <c r="K99" s="2961"/>
      <c r="L99" s="2961"/>
      <c r="M99" s="2961"/>
      <c r="N99" s="2961"/>
      <c r="O99" s="2961"/>
      <c r="P99" s="2961"/>
      <c r="Q99" s="2961"/>
      <c r="R99" s="2961"/>
      <c r="S99" s="2961"/>
      <c r="T99" s="2961"/>
    </row>
    <row r="100" spans="1:20">
      <c r="A100" s="2961"/>
      <c r="B100" s="2961">
        <v>33</v>
      </c>
      <c r="C100" s="2961"/>
      <c r="D100" s="2961"/>
      <c r="E100" s="2960">
        <v>1067.3399999999999</v>
      </c>
      <c r="F100" s="2961"/>
      <c r="G100" s="2961"/>
      <c r="H100" s="2961"/>
      <c r="I100" s="2961"/>
      <c r="J100" s="2961"/>
      <c r="K100" s="2961"/>
      <c r="L100" s="2961">
        <v>36</v>
      </c>
      <c r="M100" s="2961"/>
      <c r="N100" s="2961"/>
      <c r="O100" s="2961">
        <v>1318.6</v>
      </c>
      <c r="P100" s="2961"/>
      <c r="Q100" s="2961"/>
      <c r="R100" s="2961"/>
      <c r="S100" s="2961"/>
      <c r="T100" s="2961"/>
    </row>
    <row r="101" spans="1:20">
      <c r="A101" s="2961"/>
      <c r="B101" s="2961">
        <v>34</v>
      </c>
      <c r="C101" s="2961"/>
      <c r="D101" s="2961"/>
      <c r="E101" s="2960">
        <v>1473.5</v>
      </c>
      <c r="F101" s="2961"/>
      <c r="G101" s="2960">
        <v>14.97</v>
      </c>
      <c r="H101" s="2961"/>
      <c r="I101" s="2961"/>
      <c r="J101" s="2961"/>
      <c r="K101" s="2961"/>
      <c r="L101" s="2961">
        <v>37</v>
      </c>
      <c r="M101" s="2961"/>
      <c r="N101" s="2961"/>
      <c r="O101" s="2961">
        <v>608.9</v>
      </c>
      <c r="P101" s="2961"/>
      <c r="Q101" s="2961"/>
      <c r="R101" s="2961"/>
      <c r="S101" s="2961"/>
      <c r="T101" s="2961"/>
    </row>
    <row r="102" spans="1:20">
      <c r="A102" s="2961"/>
      <c r="B102" s="2961">
        <v>35</v>
      </c>
      <c r="C102" s="2961"/>
      <c r="D102" s="2961"/>
      <c r="E102" s="2960">
        <v>1067.3399999999999</v>
      </c>
      <c r="F102" s="2961"/>
      <c r="G102" s="2961"/>
      <c r="H102" s="2961"/>
      <c r="I102" s="2961"/>
      <c r="J102" s="2961"/>
      <c r="K102" s="2961"/>
      <c r="L102" s="2961">
        <v>38</v>
      </c>
      <c r="M102" s="2961"/>
      <c r="N102" s="2961"/>
      <c r="O102" s="2961">
        <v>892.7</v>
      </c>
      <c r="P102" s="2961"/>
      <c r="Q102" s="2961"/>
      <c r="R102" s="2961"/>
      <c r="S102" s="2961"/>
      <c r="T102" s="2961"/>
    </row>
    <row r="103" spans="1:20">
      <c r="A103" s="2961"/>
      <c r="B103" s="2961">
        <v>39</v>
      </c>
      <c r="C103" s="2961"/>
      <c r="D103" s="2961"/>
      <c r="E103" s="2960">
        <v>920.57</v>
      </c>
      <c r="F103" s="2961"/>
      <c r="G103" s="2961"/>
      <c r="H103" s="2961"/>
      <c r="I103" s="2961"/>
      <c r="J103" s="2961"/>
      <c r="K103" s="2961"/>
      <c r="L103" s="2961"/>
      <c r="M103" s="2961"/>
      <c r="N103" s="2961"/>
      <c r="O103" s="2961"/>
      <c r="P103" s="2961"/>
      <c r="Q103" s="2961"/>
      <c r="R103" s="2961"/>
      <c r="S103" s="2961"/>
      <c r="T103" s="2961"/>
    </row>
    <row r="104" spans="1:20">
      <c r="A104" s="2961"/>
      <c r="B104" s="2961">
        <v>40</v>
      </c>
      <c r="C104" s="2961">
        <v>901</v>
      </c>
      <c r="D104" s="2961"/>
      <c r="E104" s="2961"/>
      <c r="F104" s="2961"/>
      <c r="G104" s="2961"/>
      <c r="H104" s="2961"/>
      <c r="I104" s="2961"/>
      <c r="J104" s="2961"/>
      <c r="K104" s="2961"/>
      <c r="L104" s="2961"/>
      <c r="M104" s="2961"/>
      <c r="N104" s="2961"/>
      <c r="O104" s="2961"/>
      <c r="P104" s="2961"/>
      <c r="Q104" s="2961"/>
      <c r="R104" s="2961"/>
      <c r="S104" s="2961"/>
      <c r="T104" s="2961"/>
    </row>
    <row r="105" spans="1:20">
      <c r="A105" s="2961"/>
      <c r="B105" s="2961">
        <v>41</v>
      </c>
      <c r="C105" s="2961">
        <v>2181</v>
      </c>
      <c r="D105" s="2961"/>
      <c r="E105" s="2961"/>
      <c r="F105" s="2961"/>
      <c r="G105" s="2961"/>
      <c r="H105" s="2961"/>
      <c r="I105" s="2961"/>
      <c r="J105" s="2961">
        <v>196</v>
      </c>
      <c r="K105" s="2961"/>
      <c r="L105" s="2961"/>
      <c r="M105" s="2961"/>
      <c r="N105" s="2961"/>
      <c r="O105" s="2961"/>
      <c r="P105" s="2961"/>
      <c r="Q105" s="2961"/>
      <c r="R105" s="2961"/>
      <c r="S105" s="2961"/>
      <c r="T105" s="2961"/>
    </row>
    <row r="106" spans="1:20">
      <c r="A106" s="2961"/>
      <c r="B106" s="2961">
        <v>42</v>
      </c>
      <c r="C106" s="2961">
        <v>749</v>
      </c>
      <c r="D106" s="2961"/>
      <c r="E106" s="2961"/>
      <c r="F106" s="2961"/>
      <c r="G106" s="2961">
        <v>168</v>
      </c>
      <c r="H106" s="2961"/>
      <c r="I106" s="2961"/>
      <c r="J106" s="2961"/>
      <c r="K106" s="2961"/>
      <c r="L106" s="2961"/>
      <c r="M106" s="2961"/>
      <c r="N106" s="2961"/>
      <c r="O106" s="2961"/>
      <c r="P106" s="2961"/>
      <c r="Q106" s="2961"/>
      <c r="R106" s="2961"/>
      <c r="S106" s="2961"/>
      <c r="T106" s="2961"/>
    </row>
    <row r="107" spans="1:20">
      <c r="A107" s="2961"/>
      <c r="B107" s="2960" t="s">
        <v>3087</v>
      </c>
      <c r="C107" s="2961"/>
      <c r="D107" s="2961"/>
      <c r="E107" s="2961"/>
      <c r="F107" s="2961"/>
      <c r="G107" s="2961"/>
      <c r="H107" s="2961"/>
      <c r="I107" s="2961">
        <v>34093</v>
      </c>
      <c r="J107" s="2961"/>
      <c r="K107" s="2961"/>
      <c r="L107" s="2961"/>
      <c r="M107" s="2961"/>
      <c r="N107" s="2961"/>
      <c r="O107" s="2961"/>
      <c r="P107" s="2961"/>
      <c r="Q107" s="2961"/>
      <c r="R107" s="2961"/>
      <c r="S107" s="2961"/>
      <c r="T107" s="2961"/>
    </row>
    <row r="108" spans="1:20">
      <c r="A108" s="2961"/>
      <c r="B108" s="2960" t="s">
        <v>3088</v>
      </c>
      <c r="C108" s="2961">
        <f>SUM(C84:C107)</f>
        <v>5948.03</v>
      </c>
      <c r="D108" s="2961">
        <f t="shared" ref="D108:J108" si="3">SUM(D84:D107)</f>
        <v>76029</v>
      </c>
      <c r="E108" s="2961">
        <f t="shared" si="3"/>
        <v>15801.24</v>
      </c>
      <c r="F108" s="2961">
        <f t="shared" si="3"/>
        <v>869.04</v>
      </c>
      <c r="G108" s="2961">
        <f t="shared" si="3"/>
        <v>300.12</v>
      </c>
      <c r="H108" s="2961">
        <f t="shared" si="3"/>
        <v>301.33999999999997</v>
      </c>
      <c r="I108" s="2961">
        <f t="shared" si="3"/>
        <v>34093</v>
      </c>
      <c r="J108" s="2961">
        <f t="shared" si="3"/>
        <v>196</v>
      </c>
      <c r="K108" s="2961"/>
      <c r="L108" s="2961"/>
      <c r="M108" s="2961"/>
      <c r="N108" s="2961"/>
      <c r="O108" s="2961"/>
      <c r="P108" s="2961"/>
      <c r="Q108" s="2961"/>
      <c r="R108" s="2961"/>
      <c r="S108" s="2961"/>
      <c r="T108" s="2961"/>
    </row>
    <row r="109" spans="1:20" ht="27">
      <c r="A109" s="2964" t="s">
        <v>3089</v>
      </c>
      <c r="B109" s="2965">
        <v>4</v>
      </c>
      <c r="C109" s="2965">
        <v>922.6</v>
      </c>
      <c r="D109" s="2965">
        <v>14227.2</v>
      </c>
      <c r="E109" s="2965"/>
      <c r="F109" s="2965">
        <v>205.8</v>
      </c>
      <c r="G109" s="2965">
        <f>48.1+9+72+128.8</f>
        <v>257.89999999999998</v>
      </c>
      <c r="H109" s="2965"/>
      <c r="I109" s="2965"/>
      <c r="J109" s="2965"/>
      <c r="K109" s="2965"/>
    </row>
    <row r="110" spans="1:20">
      <c r="A110" s="2965"/>
      <c r="B110" s="2965">
        <v>5</v>
      </c>
      <c r="C110" s="2965"/>
      <c r="D110" s="2965">
        <v>15137.8</v>
      </c>
      <c r="E110" s="2965"/>
      <c r="F110" s="2965">
        <v>205.8</v>
      </c>
      <c r="G110" s="2965"/>
      <c r="H110" s="2965"/>
      <c r="I110" s="2965"/>
      <c r="J110" s="2965"/>
      <c r="K110" s="2965"/>
    </row>
    <row r="111" spans="1:20">
      <c r="A111" s="2965"/>
      <c r="B111" s="2965">
        <v>6</v>
      </c>
      <c r="C111" s="2965"/>
      <c r="D111" s="2965">
        <v>15883.2</v>
      </c>
      <c r="E111" s="2965"/>
      <c r="F111" s="2965">
        <v>165.5</v>
      </c>
      <c r="G111" s="2965"/>
      <c r="H111" s="2965"/>
      <c r="I111" s="2965"/>
      <c r="J111" s="2965"/>
      <c r="K111" s="2965"/>
    </row>
    <row r="112" spans="1:20">
      <c r="A112" s="2965"/>
      <c r="B112" s="2965">
        <v>7</v>
      </c>
      <c r="C112" s="2965"/>
      <c r="D112" s="2965">
        <v>14900.8</v>
      </c>
      <c r="E112" s="2965"/>
      <c r="F112" s="2965">
        <v>165.5</v>
      </c>
      <c r="G112" s="2965"/>
      <c r="H112" s="2965"/>
      <c r="I112" s="2965"/>
      <c r="J112" s="2965"/>
      <c r="K112" s="2965"/>
    </row>
    <row r="113" spans="1:19">
      <c r="A113" s="2965"/>
      <c r="B113" s="2965">
        <v>8</v>
      </c>
      <c r="C113" s="2965"/>
      <c r="D113" s="2965">
        <v>16493.5</v>
      </c>
      <c r="E113" s="2965"/>
      <c r="F113" s="2965">
        <v>165.5</v>
      </c>
      <c r="G113" s="2965"/>
      <c r="H113" s="2965"/>
      <c r="I113" s="2965"/>
      <c r="J113" s="2965"/>
      <c r="K113" s="2965"/>
    </row>
    <row r="114" spans="1:19">
      <c r="A114" s="2965"/>
      <c r="B114" s="2966" t="s">
        <v>3085</v>
      </c>
      <c r="C114" s="2965"/>
      <c r="D114" s="2965"/>
      <c r="E114" s="2965">
        <v>3022</v>
      </c>
      <c r="F114" s="2965"/>
      <c r="G114" s="2965"/>
      <c r="H114" s="2965"/>
      <c r="I114" s="2965"/>
      <c r="J114" s="2965"/>
      <c r="K114" s="2965"/>
    </row>
    <row r="115" spans="1:19">
      <c r="A115" s="2965"/>
      <c r="B115" s="2965">
        <v>15</v>
      </c>
      <c r="C115" s="2965"/>
      <c r="D115" s="2965"/>
      <c r="E115" s="2965">
        <v>2049.1999999999998</v>
      </c>
      <c r="F115" s="2965"/>
      <c r="G115" s="2965"/>
      <c r="H115" s="2965"/>
      <c r="I115" s="2965"/>
      <c r="J115" s="2965"/>
      <c r="K115" s="2965"/>
      <c r="L115" s="2956" t="s">
        <v>3090</v>
      </c>
      <c r="M115">
        <v>7939</v>
      </c>
      <c r="N115" s="3064">
        <v>189903</v>
      </c>
      <c r="O115" s="3064"/>
      <c r="P115">
        <v>1779</v>
      </c>
      <c r="Q115">
        <v>265</v>
      </c>
      <c r="R115">
        <v>300</v>
      </c>
      <c r="S115">
        <v>67657</v>
      </c>
    </row>
    <row r="116" spans="1:19">
      <c r="A116" s="2965"/>
      <c r="B116" s="2965">
        <v>16</v>
      </c>
      <c r="C116" s="2965"/>
      <c r="D116" s="2965"/>
      <c r="E116" s="2965">
        <v>1510.9</v>
      </c>
      <c r="F116" s="2965"/>
      <c r="G116" s="2965"/>
      <c r="H116" s="2965"/>
      <c r="I116" s="2965"/>
      <c r="J116" s="2965"/>
      <c r="K116" s="2965"/>
    </row>
    <row r="117" spans="1:19">
      <c r="A117" s="2965"/>
      <c r="B117" s="2965"/>
      <c r="C117" s="2965"/>
      <c r="D117" s="2965"/>
      <c r="E117" s="2965"/>
      <c r="F117" s="2965"/>
      <c r="G117" s="2965"/>
      <c r="H117" s="2965"/>
      <c r="I117" s="2965"/>
      <c r="J117" s="2965"/>
      <c r="K117" s="2965"/>
    </row>
    <row r="118" spans="1:19">
      <c r="A118" s="2965"/>
      <c r="B118" s="2965">
        <v>21</v>
      </c>
      <c r="C118" s="2965"/>
      <c r="D118" s="2965"/>
      <c r="E118" s="2965">
        <v>2019.2</v>
      </c>
      <c r="F118" s="2965"/>
      <c r="G118" s="2965"/>
      <c r="H118" s="2965"/>
      <c r="I118" s="2965"/>
      <c r="J118" s="2965"/>
      <c r="K118" s="2965"/>
    </row>
    <row r="119" spans="1:19">
      <c r="A119" s="2965"/>
      <c r="B119" s="2965">
        <v>22</v>
      </c>
      <c r="C119" s="2965"/>
      <c r="D119" s="2965"/>
      <c r="E119" s="2965">
        <v>1907.8</v>
      </c>
      <c r="F119" s="2965"/>
      <c r="G119" s="2965"/>
      <c r="H119" s="2965"/>
      <c r="I119" s="2965"/>
      <c r="J119" s="2965"/>
      <c r="K119" s="2965"/>
    </row>
    <row r="120" spans="1:19">
      <c r="A120" s="2965"/>
      <c r="B120" s="2967" t="s">
        <v>3086</v>
      </c>
      <c r="C120" s="2965"/>
      <c r="D120" s="2965"/>
      <c r="E120" s="2965">
        <v>2530.8000000000002</v>
      </c>
      <c r="F120" s="2965"/>
      <c r="G120" s="2965"/>
      <c r="H120" s="2965"/>
      <c r="I120" s="2965"/>
      <c r="J120" s="2965"/>
      <c r="K120" s="2965"/>
    </row>
    <row r="121" spans="1:19">
      <c r="A121" s="2965"/>
      <c r="B121" s="2965">
        <v>28</v>
      </c>
      <c r="C121" s="2965"/>
      <c r="D121" s="2965"/>
      <c r="E121" s="2965">
        <v>1765.4</v>
      </c>
      <c r="F121" s="2965"/>
      <c r="G121" s="2965"/>
      <c r="H121" s="2965"/>
      <c r="I121" s="2965"/>
      <c r="J121" s="2965"/>
      <c r="K121" s="2965"/>
    </row>
    <row r="122" spans="1:19">
      <c r="A122" s="2965"/>
      <c r="B122" s="2965">
        <v>29</v>
      </c>
      <c r="C122" s="2965"/>
      <c r="D122" s="2965"/>
      <c r="E122" s="2965">
        <v>1474.6</v>
      </c>
      <c r="F122" s="2965"/>
      <c r="G122" s="2965"/>
      <c r="H122" s="2965"/>
      <c r="I122" s="2965"/>
      <c r="J122" s="2965"/>
      <c r="K122" s="2965"/>
    </row>
    <row r="123" spans="1:19">
      <c r="A123" s="2965"/>
      <c r="B123" s="2965">
        <v>30</v>
      </c>
      <c r="C123" s="2965"/>
      <c r="D123" s="2965"/>
      <c r="E123" s="2965">
        <v>1035.0999999999999</v>
      </c>
      <c r="F123" s="2965"/>
      <c r="G123" s="2965"/>
      <c r="H123" s="2965"/>
      <c r="I123" s="2965"/>
      <c r="J123" s="2965"/>
      <c r="K123" s="2965"/>
    </row>
    <row r="124" spans="1:19">
      <c r="A124" s="2965"/>
      <c r="B124" s="2965"/>
      <c r="C124" s="2965"/>
      <c r="D124" s="2965"/>
      <c r="E124" s="2965"/>
      <c r="F124" s="2965"/>
      <c r="G124" s="2965"/>
      <c r="H124" s="2965"/>
      <c r="I124" s="2965"/>
      <c r="J124" s="2965"/>
      <c r="K124" s="2965"/>
    </row>
    <row r="125" spans="1:19">
      <c r="A125" s="2965"/>
      <c r="B125" s="2965">
        <v>36</v>
      </c>
      <c r="C125" s="2965"/>
      <c r="D125" s="2965"/>
      <c r="E125" s="2965">
        <v>1318.6</v>
      </c>
      <c r="F125" s="2965"/>
      <c r="G125" s="2965"/>
      <c r="H125" s="2965"/>
      <c r="I125" s="2965"/>
      <c r="J125" s="2965"/>
      <c r="K125" s="2965"/>
    </row>
    <row r="126" spans="1:19">
      <c r="A126" s="2965"/>
      <c r="B126" s="2965">
        <v>37</v>
      </c>
      <c r="C126" s="2965"/>
      <c r="D126" s="2965"/>
      <c r="E126" s="2965">
        <v>608.9</v>
      </c>
      <c r="F126" s="2965"/>
      <c r="G126" s="2965"/>
      <c r="H126" s="2965"/>
      <c r="I126" s="2965"/>
      <c r="J126" s="2965"/>
      <c r="K126" s="2965"/>
    </row>
    <row r="127" spans="1:19">
      <c r="A127" s="2965"/>
      <c r="B127" s="2965">
        <v>38</v>
      </c>
      <c r="C127" s="2965"/>
      <c r="D127" s="2965"/>
      <c r="E127" s="2965">
        <v>892.7</v>
      </c>
      <c r="F127" s="2965"/>
      <c r="G127" s="2965"/>
      <c r="H127" s="2965"/>
      <c r="I127" s="2965"/>
      <c r="J127" s="2965"/>
      <c r="K127" s="2965"/>
    </row>
    <row r="128" spans="1:19">
      <c r="A128" s="2965"/>
      <c r="B128" s="2968" t="s">
        <v>3091</v>
      </c>
      <c r="C128" s="2965"/>
      <c r="D128" s="2965"/>
      <c r="E128" s="2965"/>
      <c r="F128" s="2965"/>
      <c r="G128" s="2965"/>
      <c r="H128" s="2965"/>
      <c r="I128" s="2965">
        <v>18934.599999999999</v>
      </c>
      <c r="J128" s="2965"/>
      <c r="K128" s="2965"/>
    </row>
    <row r="129" spans="1:13">
      <c r="A129" s="2965"/>
      <c r="B129" s="2968" t="s">
        <v>3092</v>
      </c>
      <c r="C129" s="2965"/>
      <c r="D129" s="2965"/>
      <c r="E129" s="2965"/>
      <c r="F129" s="2965"/>
      <c r="G129" s="2965"/>
      <c r="H129" s="2965"/>
      <c r="I129" s="2965">
        <v>14646.9</v>
      </c>
      <c r="J129" s="2965"/>
      <c r="K129" s="2965"/>
    </row>
    <row r="130" spans="1:13">
      <c r="B130" s="2956" t="s">
        <v>3088</v>
      </c>
      <c r="C130">
        <f>SUM(C109:C129)</f>
        <v>922.6</v>
      </c>
      <c r="D130">
        <f t="shared" ref="D130:J130" si="4">SUM(D109:D129)</f>
        <v>76642.5</v>
      </c>
      <c r="E130">
        <f t="shared" si="4"/>
        <v>20135.2</v>
      </c>
      <c r="F130">
        <f t="shared" si="4"/>
        <v>908.1</v>
      </c>
      <c r="G130">
        <f t="shared" si="4"/>
        <v>257.89999999999998</v>
      </c>
      <c r="H130">
        <f t="shared" si="4"/>
        <v>0</v>
      </c>
      <c r="I130">
        <f t="shared" si="4"/>
        <v>33581.5</v>
      </c>
      <c r="J130">
        <f t="shared" si="4"/>
        <v>0</v>
      </c>
    </row>
    <row r="131" spans="1:13">
      <c r="B131" s="2956" t="s">
        <v>3093</v>
      </c>
      <c r="C131">
        <f>C108+C130</f>
        <v>6870.63</v>
      </c>
      <c r="D131">
        <f t="shared" ref="D131:J131" si="5">D108+D130</f>
        <v>152671.5</v>
      </c>
      <c r="E131">
        <f t="shared" si="5"/>
        <v>35936.44</v>
      </c>
      <c r="F131">
        <f t="shared" si="5"/>
        <v>1777.1399999999999</v>
      </c>
      <c r="G131">
        <f t="shared" si="5"/>
        <v>558.02</v>
      </c>
      <c r="H131">
        <f t="shared" si="5"/>
        <v>301.33999999999997</v>
      </c>
      <c r="I131">
        <f t="shared" si="5"/>
        <v>67674.5</v>
      </c>
      <c r="J131">
        <f t="shared" si="5"/>
        <v>196</v>
      </c>
      <c r="K131">
        <f>F131+G131+H131+J131</f>
        <v>2832.5</v>
      </c>
    </row>
    <row r="132" spans="1:13">
      <c r="B132" s="2956" t="s">
        <v>3094</v>
      </c>
      <c r="C132">
        <v>7939</v>
      </c>
      <c r="D132" s="3064">
        <v>189903</v>
      </c>
      <c r="E132" s="3064"/>
      <c r="F132">
        <v>1779</v>
      </c>
      <c r="G132">
        <f>48+265</f>
        <v>313</v>
      </c>
      <c r="H132">
        <v>300</v>
      </c>
      <c r="I132">
        <v>67657</v>
      </c>
      <c r="J132">
        <f>100+40</f>
        <v>140</v>
      </c>
      <c r="K132">
        <f>F132+G132+H132+J132</f>
        <v>2532</v>
      </c>
    </row>
    <row r="133" spans="1:13">
      <c r="K133">
        <f>K131-K132</f>
        <v>300.5</v>
      </c>
    </row>
    <row r="140" spans="1:13">
      <c r="D140" s="2969"/>
      <c r="E140" s="2969"/>
    </row>
    <row r="142" spans="1:13">
      <c r="B142" s="2956" t="s">
        <v>3095</v>
      </c>
      <c r="C142" s="2956" t="s">
        <v>3096</v>
      </c>
      <c r="D142" s="2956" t="s">
        <v>3097</v>
      </c>
      <c r="E142" s="2956" t="s">
        <v>3098</v>
      </c>
      <c r="F142" s="2956" t="s">
        <v>3099</v>
      </c>
      <c r="G142" s="2956" t="s">
        <v>3100</v>
      </c>
      <c r="H142" s="2956" t="s">
        <v>3101</v>
      </c>
      <c r="I142" s="2956" t="s">
        <v>3102</v>
      </c>
      <c r="J142" s="2956" t="s">
        <v>3103</v>
      </c>
      <c r="K142" s="2956" t="s">
        <v>3104</v>
      </c>
      <c r="L142" s="2956" t="s">
        <v>3105</v>
      </c>
      <c r="M142" s="2956" t="s">
        <v>3106</v>
      </c>
    </row>
    <row r="143" spans="1:13">
      <c r="B143">
        <v>2180.5</v>
      </c>
      <c r="C143">
        <v>5657.3</v>
      </c>
      <c r="D143">
        <v>189316.7</v>
      </c>
      <c r="E143">
        <v>1722.8</v>
      </c>
      <c r="F143">
        <v>38.9</v>
      </c>
      <c r="G143" s="2956">
        <v>300</v>
      </c>
      <c r="H143" s="2956">
        <v>195.6</v>
      </c>
      <c r="I143" s="2956">
        <v>48.1</v>
      </c>
      <c r="J143" s="2956">
        <v>9</v>
      </c>
      <c r="K143" s="2956">
        <v>292.8</v>
      </c>
      <c r="L143" s="2956">
        <v>346.8</v>
      </c>
      <c r="M143" s="2956">
        <v>67674.2</v>
      </c>
    </row>
    <row r="145" spans="4:5">
      <c r="D145" s="2956" t="s">
        <v>3107</v>
      </c>
      <c r="E145" s="2956" t="s">
        <v>3108</v>
      </c>
    </row>
    <row r="146" spans="4:5">
      <c r="D146">
        <f>14696.3+14227.2+14696.2+14227.2+15137.8+15883.2+14900.8+16493.5+15983.9+16493.5</f>
        <v>152739.6</v>
      </c>
      <c r="E146">
        <f>D143-D146</f>
        <v>36577.100000000006</v>
      </c>
    </row>
  </sheetData>
  <mergeCells count="2">
    <mergeCell ref="N115:O115"/>
    <mergeCell ref="D132:E13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4" t="s">
        <v>1933</v>
      </c>
      <c r="B2" s="3074"/>
      <c r="C2" s="3074"/>
      <c r="D2" s="963" t="s">
        <v>1909</v>
      </c>
      <c r="E2" s="2220" t="s">
        <v>1910</v>
      </c>
      <c r="F2" s="1388"/>
      <c r="G2" s="2221"/>
      <c r="H2" s="2222"/>
      <c r="I2" s="2223" t="s">
        <v>1934</v>
      </c>
      <c r="J2" s="1388"/>
      <c r="K2" s="1388"/>
      <c r="L2" s="1388"/>
      <c r="M2" s="1388"/>
      <c r="N2" s="1423"/>
      <c r="O2" s="1388"/>
      <c r="P2" s="1388"/>
    </row>
    <row r="3" spans="1:16" ht="15.75" thickBot="1">
      <c r="A3" s="3075" t="s">
        <v>1907</v>
      </c>
      <c r="B3" s="3075"/>
      <c r="C3" s="3075"/>
      <c r="D3" s="46">
        <f>'数据-基础表'!AY6</f>
        <v>18569.88</v>
      </c>
      <c r="E3" s="46">
        <f>'数据-基础表'!AZ5</f>
        <v>59366.369999999995</v>
      </c>
      <c r="F3" s="1388"/>
      <c r="G3" s="1395"/>
      <c r="H3" s="1243" t="s">
        <v>1908</v>
      </c>
      <c r="I3" s="55">
        <f>ROUND('数据-基础表'!B3/'数据-基础表'!A3,2)</f>
        <v>3.2</v>
      </c>
      <c r="J3" s="1388"/>
      <c r="K3" s="1388"/>
      <c r="L3" s="1388"/>
      <c r="M3" s="1388"/>
      <c r="N3" s="1423"/>
      <c r="O3" s="1388"/>
      <c r="P3" s="1388"/>
    </row>
    <row r="4" spans="1:16" ht="15">
      <c r="A4" s="3076"/>
      <c r="B4" s="3077"/>
      <c r="C4" s="3078"/>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79" t="s">
        <v>1912</v>
      </c>
      <c r="C5" s="3079"/>
      <c r="D5" s="48">
        <f>ROUND($D$3*E5/$E$3,2)</f>
        <v>7011.91</v>
      </c>
      <c r="E5" s="49">
        <f>SUMIF('数据-基础表'!$11:$11,"住宅",'数据-基础表'!$5:$5)</f>
        <v>22416.510000000002</v>
      </c>
      <c r="F5" s="1388"/>
      <c r="G5" s="1395"/>
      <c r="H5" s="1243" t="s">
        <v>1908</v>
      </c>
      <c r="I5" s="55">
        <f>ROUND(E31/D31,2)</f>
        <v>3.2</v>
      </c>
      <c r="J5" s="1388"/>
      <c r="K5" s="1388"/>
      <c r="L5" s="1388"/>
      <c r="M5" s="1388"/>
      <c r="N5" s="1388"/>
      <c r="O5" s="1388"/>
      <c r="P5" s="1388"/>
    </row>
    <row r="6" spans="1:16" ht="15" thickBot="1">
      <c r="A6" s="2227"/>
      <c r="B6" s="3079" t="s">
        <v>1913</v>
      </c>
      <c r="C6" s="3079"/>
      <c r="D6" s="48">
        <f>ROUND($D$3*E6/$E$3,2)</f>
        <v>11557.97</v>
      </c>
      <c r="E6" s="49">
        <f>E3-E5</f>
        <v>36949.859999999993</v>
      </c>
      <c r="F6" s="1388"/>
      <c r="G6" s="2228" t="s">
        <v>1914</v>
      </c>
      <c r="H6" s="1395" t="s">
        <v>1915</v>
      </c>
      <c r="I6" s="935">
        <f>ROUND(F31/D31,2)</f>
        <v>1.36</v>
      </c>
      <c r="J6" s="1388"/>
      <c r="K6" s="1388"/>
      <c r="L6" s="1388"/>
      <c r="M6" s="1388"/>
      <c r="N6" s="1388"/>
      <c r="O6" s="1388"/>
      <c r="P6" s="1388"/>
    </row>
    <row r="7" spans="1:16" ht="15">
      <c r="A7" s="3071"/>
      <c r="B7" s="3072"/>
      <c r="C7" s="3073"/>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7715.14</v>
      </c>
      <c r="E8" s="51">
        <f>SUMIF('数据-基础表'!BB10:BK10,"地上",'数据-基础表'!BB5:BK5)</f>
        <v>24664.65</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10664.34</v>
      </c>
      <c r="E13" s="51">
        <f>SUMPRODUCT(('数据-基础表'!BB10:BK10="地下")*('数据-基础表'!BB11:BK11="车库")*('数据-基础表'!BB5:BK5))</f>
        <v>34093</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18379.48</v>
      </c>
      <c r="E16" s="53">
        <f>SUM(E8:E15)</f>
        <v>58757.65</v>
      </c>
      <c r="F16" s="1388"/>
      <c r="G16" s="2230"/>
      <c r="H16" s="2233" t="s">
        <v>1937</v>
      </c>
      <c r="I16" s="2234"/>
      <c r="J16" s="1388"/>
      <c r="K16" s="3068" t="s">
        <v>1937</v>
      </c>
      <c r="L16" s="3069"/>
      <c r="M16" s="3069"/>
      <c r="N16" s="3069"/>
      <c r="O16" s="3069"/>
      <c r="P16" s="3070"/>
    </row>
    <row r="17" spans="1:19" ht="15">
      <c r="A17" s="2235" t="s">
        <v>1938</v>
      </c>
      <c r="B17" s="2236" t="s">
        <v>1939</v>
      </c>
      <c r="C17" s="2237" t="s">
        <v>1940</v>
      </c>
      <c r="D17" s="2238" t="s">
        <v>1928</v>
      </c>
      <c r="E17" s="2239" t="s">
        <v>1929</v>
      </c>
      <c r="F17" s="2240"/>
      <c r="G17" s="2241"/>
      <c r="H17" s="2242" t="s">
        <v>1941</v>
      </c>
      <c r="I17" s="2243" t="s">
        <v>1926</v>
      </c>
      <c r="J17" s="1388"/>
      <c r="K17" s="3065" t="s">
        <v>1942</v>
      </c>
      <c r="L17" s="3066"/>
      <c r="M17" s="3067"/>
      <c r="N17" s="3065" t="s">
        <v>1943</v>
      </c>
      <c r="O17" s="3066"/>
      <c r="P17" s="3067"/>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2418.13</v>
      </c>
      <c r="E19" s="56">
        <f t="shared" ref="E19:E26" si="1">SUM(F19:G19)</f>
        <v>7730.57</v>
      </c>
      <c r="F19" s="57">
        <f>'数据-基础表'!I13</f>
        <v>7730.57</v>
      </c>
      <c r="G19" s="58"/>
      <c r="H19" s="720">
        <f>ROUND($D$3*I19/$E$3,2)</f>
        <v>12.65</v>
      </c>
      <c r="I19" s="51">
        <f t="shared" ref="I19:I26" si="2">IF($I$17="自定义",P19,M19)</f>
        <v>40.44</v>
      </c>
      <c r="J19" s="1388"/>
      <c r="K19" s="1387">
        <f t="shared" ref="K19:K26" si="3">ROUND(E$28*E19/E$27,2)</f>
        <v>40.44</v>
      </c>
      <c r="L19" s="1243">
        <f t="shared" ref="L19:L26" si="4">ROUND(IF(COUNTIF(C19,"*住宅*")&gt;0,E$29*E19/E$32,0),2)</f>
        <v>0</v>
      </c>
      <c r="M19" s="1399">
        <f>K19+L19</f>
        <v>40.44</v>
      </c>
      <c r="N19" s="2254"/>
      <c r="O19" s="2255"/>
      <c r="P19" s="1399">
        <f>N19+O19</f>
        <v>0</v>
      </c>
      <c r="R19" s="1243">
        <f t="shared" ref="R19:S26" si="5">D19+H19</f>
        <v>2430.7800000000002</v>
      </c>
      <c r="S19" s="1244">
        <f t="shared" si="5"/>
        <v>7771.0099999999993</v>
      </c>
    </row>
    <row r="20" spans="1:19">
      <c r="A20" s="2256"/>
      <c r="B20" s="50" t="s">
        <v>1955</v>
      </c>
      <c r="C20" s="2253" t="str">
        <f>'数据-基础表'!C14</f>
        <v>高层</v>
      </c>
      <c r="D20" s="48">
        <f t="shared" ref="D20:D26" si="6">ROUND($D$3*E20/$E$3,2)</f>
        <v>4593.78</v>
      </c>
      <c r="E20" s="56">
        <f t="shared" si="1"/>
        <v>14685.94</v>
      </c>
      <c r="F20" s="57">
        <f>'数据-基础表'!K14</f>
        <v>14685.94</v>
      </c>
      <c r="G20" s="58"/>
      <c r="H20" s="720">
        <f t="shared" ref="H20:H26" si="7">ROUND($D$3*I20/$E$3,2)</f>
        <v>24.03</v>
      </c>
      <c r="I20" s="51">
        <f t="shared" si="2"/>
        <v>76.83</v>
      </c>
      <c r="J20" s="1388"/>
      <c r="K20" s="1387">
        <f t="shared" si="3"/>
        <v>76.83</v>
      </c>
      <c r="L20" s="1243">
        <f t="shared" si="4"/>
        <v>0</v>
      </c>
      <c r="M20" s="1399">
        <f t="shared" ref="M20:M26" si="8">K20+L20</f>
        <v>76.83</v>
      </c>
      <c r="N20" s="2254"/>
      <c r="O20" s="2255"/>
      <c r="P20" s="1399">
        <f t="shared" ref="P20:P26" si="9">N20+O20</f>
        <v>0</v>
      </c>
      <c r="R20" s="1243">
        <f t="shared" si="5"/>
        <v>4617.8099999999995</v>
      </c>
      <c r="S20" s="1244">
        <f t="shared" si="5"/>
        <v>14762.77</v>
      </c>
    </row>
    <row r="21" spans="1:19">
      <c r="A21" s="2256"/>
      <c r="B21" s="50" t="s">
        <v>1955</v>
      </c>
      <c r="C21" s="2253" t="str">
        <f>'数据-基础表'!C15</f>
        <v>商业</v>
      </c>
      <c r="D21" s="48">
        <f t="shared" si="6"/>
        <v>703.22</v>
      </c>
      <c r="E21" s="56">
        <f t="shared" si="1"/>
        <v>2248.14</v>
      </c>
      <c r="F21" s="57">
        <f>'数据-基础表'!M15</f>
        <v>2248.14</v>
      </c>
      <c r="G21" s="58"/>
      <c r="H21" s="720">
        <f t="shared" si="7"/>
        <v>3.68</v>
      </c>
      <c r="I21" s="51">
        <f t="shared" si="2"/>
        <v>11.76</v>
      </c>
      <c r="J21" s="1388"/>
      <c r="K21" s="1387">
        <f t="shared" si="3"/>
        <v>11.76</v>
      </c>
      <c r="L21" s="1243">
        <f t="shared" si="4"/>
        <v>0</v>
      </c>
      <c r="M21" s="1399">
        <f t="shared" si="8"/>
        <v>11.76</v>
      </c>
      <c r="N21" s="2254"/>
      <c r="O21" s="2255"/>
      <c r="P21" s="1399">
        <f t="shared" si="9"/>
        <v>0</v>
      </c>
      <c r="R21" s="1243">
        <f t="shared" si="5"/>
        <v>706.9</v>
      </c>
      <c r="S21" s="1244">
        <f t="shared" si="5"/>
        <v>2259.9</v>
      </c>
    </row>
    <row r="22" spans="1:19">
      <c r="A22" s="2256"/>
      <c r="B22" s="50" t="s">
        <v>1955</v>
      </c>
      <c r="C22" s="60" t="str">
        <f>'数据-基础表'!C16</f>
        <v>地下车库</v>
      </c>
      <c r="D22" s="48">
        <f t="shared" si="6"/>
        <v>10664.34</v>
      </c>
      <c r="E22" s="56">
        <f t="shared" si="1"/>
        <v>34093</v>
      </c>
      <c r="F22" s="61"/>
      <c r="G22" s="62">
        <f>'数据-基础表'!O16</f>
        <v>34093</v>
      </c>
      <c r="H22" s="720">
        <f t="shared" si="7"/>
        <v>55.79</v>
      </c>
      <c r="I22" s="51">
        <f t="shared" si="2"/>
        <v>178.35</v>
      </c>
      <c r="J22" s="1388"/>
      <c r="K22" s="1387">
        <f t="shared" si="3"/>
        <v>178.35</v>
      </c>
      <c r="L22" s="1243">
        <f t="shared" si="4"/>
        <v>0</v>
      </c>
      <c r="M22" s="1399">
        <f t="shared" si="8"/>
        <v>178.35</v>
      </c>
      <c r="N22" s="2254"/>
      <c r="O22" s="2255"/>
      <c r="P22" s="1399">
        <f t="shared" si="9"/>
        <v>0</v>
      </c>
      <c r="R22" s="1243">
        <f t="shared" si="5"/>
        <v>10720.130000000001</v>
      </c>
      <c r="S22" s="1244">
        <f t="shared" si="5"/>
        <v>34271.35</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18379.47</v>
      </c>
      <c r="E27" s="1390">
        <f>IF(SUM(E19:E26)='数据-基础表'!BA5,SUM(E19:E26),IF(F27="地上面积有误","面积有误","地下面积有误"))</f>
        <v>58757.65</v>
      </c>
      <c r="F27" s="1389">
        <f>IF(SUM(F19:F26)=E8,SUM(F19:F26),"地上面积有误")</f>
        <v>24664.65</v>
      </c>
      <c r="G27" s="1391">
        <f>SUM(G19:G26)</f>
        <v>34093</v>
      </c>
      <c r="H27" s="1392">
        <f>SUM(H19:H26)</f>
        <v>96.15</v>
      </c>
      <c r="I27" s="1393">
        <f>SUM(I19:I26)</f>
        <v>307.38</v>
      </c>
      <c r="J27" s="1388"/>
      <c r="K27" s="1396">
        <f>SUM(K19:K26)</f>
        <v>307.38</v>
      </c>
      <c r="L27" s="1397">
        <f>SUM(L19:L26)</f>
        <v>0</v>
      </c>
      <c r="M27" s="1400">
        <f>SUM(M19:M26)</f>
        <v>307.38</v>
      </c>
      <c r="N27" s="1396">
        <f t="shared" ref="N27:O27" si="10">SUM(N19:N26)</f>
        <v>0</v>
      </c>
      <c r="O27" s="1397">
        <f t="shared" si="10"/>
        <v>0</v>
      </c>
      <c r="P27" s="1398">
        <f>SUM(P19:P26)</f>
        <v>0</v>
      </c>
      <c r="R27" s="1245" t="str">
        <f>IF(SUM(R19:R26)=$D$3,SUM(R19:R26),SUM(R19:R26)&amp;"误差"&amp;ROUND(SUM(R19:R26)-$D$3,2))</f>
        <v>18475.62误差-94.26</v>
      </c>
      <c r="S27" s="1243" t="str">
        <f>IF(SUM(S19:S26)=$E$3,SUM(S19:S26),SUM(S19:S26)&amp;"误差"&amp;ROUND(SUM(S19:S26)-E3,2))</f>
        <v>59065.03误差-301.34</v>
      </c>
    </row>
    <row r="28" spans="1:19">
      <c r="A28" s="2256"/>
      <c r="B28" s="50" t="s">
        <v>1957</v>
      </c>
      <c r="C28" s="1255" t="s">
        <v>1958</v>
      </c>
      <c r="D28" s="48">
        <f>ROUND($D$3*E28/$E$3,2)</f>
        <v>96.15</v>
      </c>
      <c r="E28" s="56">
        <f>SUM(F28:G28)</f>
        <v>307.38</v>
      </c>
      <c r="F28" s="64">
        <f>'数据-基础表'!BQ5+'数据-基础表'!BS5</f>
        <v>307.38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94.26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190.41000000000003</v>
      </c>
      <c r="E30" s="1389">
        <f>SUM(E28:E29)</f>
        <v>608.72</v>
      </c>
      <c r="F30" s="1389">
        <f>SUM(F28:F29)</f>
        <v>608.72</v>
      </c>
      <c r="G30" s="1391">
        <f>SUM(G28:G29)</f>
        <v>0</v>
      </c>
      <c r="H30" s="1388"/>
      <c r="I30" s="1388"/>
      <c r="J30" s="1388"/>
      <c r="K30" s="1388"/>
      <c r="L30" s="1388"/>
      <c r="M30" s="1388"/>
      <c r="N30" s="1388"/>
      <c r="O30" s="1388"/>
      <c r="P30" s="1388"/>
    </row>
    <row r="31" spans="1:19" ht="15.75" thickBot="1">
      <c r="A31" s="2262"/>
      <c r="B31" s="2263"/>
      <c r="C31" s="1003" t="s">
        <v>1960</v>
      </c>
      <c r="D31" s="726">
        <f>D27+D30</f>
        <v>18569.88</v>
      </c>
      <c r="E31" s="726">
        <f>E27+E30</f>
        <v>59366.37</v>
      </c>
      <c r="F31" s="727">
        <f>F27+F30</f>
        <v>25273.370000000003</v>
      </c>
      <c r="G31" s="728">
        <f>G27+G30</f>
        <v>34093</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43433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3138</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3116</v>
      </c>
      <c r="D6" s="1047">
        <f>SUMIF(项目基本情况!D$12:I$12,C6,项目基本情况!D$14:I$14)</f>
        <v>70</v>
      </c>
      <c r="E6" s="1044">
        <f>IF(B6="","",SUMIF(项目基本情况!D$12:I$12,C6,项目基本情况!D$13:I$13))</f>
        <v>68849</v>
      </c>
      <c r="F6" s="72">
        <f>SUMIF(项目基本情况!D$12:I$12,C6,项目基本情况!D$15:I$15)</f>
        <v>69.63</v>
      </c>
      <c r="G6" s="73">
        <f>IF(ISERROR(ROUND(POWER(1+H6,D6-F6)*(POWER(1+H6,F6)-1)/(POWER(1+H6,D6)-1),3)),0,ROUND(POWER(1+H6,D6-F6)*(POWER(1+H6,F6)-1)/(POWER(1+H6,D6)-1),3))</f>
        <v>0.999</v>
      </c>
      <c r="H6" s="2983">
        <v>0.05</v>
      </c>
      <c r="I6" s="2983">
        <v>5.5E-2</v>
      </c>
      <c r="J6" s="799">
        <v>8.5000000000000006E-2</v>
      </c>
      <c r="K6" s="1247">
        <f>SUMIF('数据-汇总表'!C$19:C$33,A6,'数据-汇总表'!E$19:E$33)</f>
        <v>7730.57</v>
      </c>
      <c r="L6" s="800">
        <v>2200</v>
      </c>
      <c r="M6" s="75">
        <f t="shared" ref="M6:M14" si="0">ROUND(K6*L6/10000,0)</f>
        <v>1701</v>
      </c>
      <c r="N6" s="798">
        <f>面积!D9</f>
        <v>0.54</v>
      </c>
      <c r="O6" s="75">
        <f>IF($N$5="成新度","——",ROUND(M6*N6,0))</f>
        <v>919</v>
      </c>
      <c r="P6" s="76">
        <f>IF($N$5="成新度","——",M6-O6)</f>
        <v>782</v>
      </c>
      <c r="Q6" s="801">
        <v>0.15</v>
      </c>
      <c r="R6" s="77">
        <f ca="1">SUMIF('数据-汇总表'!C$19:C$33,A6,'数据-汇总表'!R$19:R$27)</f>
        <v>2430.7800000000002</v>
      </c>
      <c r="S6" s="54">
        <f>IF('数据-汇总表'!$I$17="按面积比例",SUMIF('数据-汇总表'!C$19:C$33,A6,'数据-汇总表'!K$19:K$33),SUMIF('数据-汇总表'!C$19:C$33,A6,'数据-汇总表'!N$19:N$33))</f>
        <v>40.44</v>
      </c>
      <c r="T6" s="1439">
        <f>ROUND($L$14*S6/10000,0)</f>
        <v>9</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17007254</v>
      </c>
      <c r="AQ6" s="55">
        <f>ROUND($L$14*$N$14*S6/10000,0)</f>
        <v>4</v>
      </c>
      <c r="AR6" s="55">
        <f>ROUND($L$14*(1-$N$14)*S6/10000,0)</f>
        <v>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3116</v>
      </c>
      <c r="D7" s="1047">
        <f>SUMIF(项目基本情况!D$12:I$12,C7,项目基本情况!D$14:I$14)</f>
        <v>70</v>
      </c>
      <c r="E7" s="1044">
        <f>IF(B7="","",SUMIF(项目基本情况!D$12:I$12,C7,项目基本情况!D$13:I$13))</f>
        <v>68849</v>
      </c>
      <c r="F7" s="72">
        <f>SUMIF(项目基本情况!D$12:I$12,C7,项目基本情况!D$15:I$15)</f>
        <v>69.63</v>
      </c>
      <c r="G7" s="73">
        <f t="shared" ref="G7:G11" si="2">IF(ISERROR(ROUND(POWER(1+H7,D7-F7)*(POWER(1+H7,F7)-1)/(POWER(1+H7,D7)-1),3)),0,ROUND(POWER(1+H7,D7-F7)*(POWER(1+H7,F7)-1)/(POWER(1+H7,D7)-1),3))</f>
        <v>0.999</v>
      </c>
      <c r="H7" s="2983">
        <v>0.05</v>
      </c>
      <c r="I7" s="2983">
        <v>5.5E-2</v>
      </c>
      <c r="J7" s="799">
        <v>8.5000000000000006E-2</v>
      </c>
      <c r="K7" s="1247">
        <f>SUMIF('数据-汇总表'!C$19:C$33,A7,'数据-汇总表'!E$19:E$33)</f>
        <v>14685.94</v>
      </c>
      <c r="L7" s="800">
        <v>2300</v>
      </c>
      <c r="M7" s="75">
        <f t="shared" si="0"/>
        <v>3378</v>
      </c>
      <c r="N7" s="798">
        <f>面积!H3</f>
        <v>0.15</v>
      </c>
      <c r="O7" s="75">
        <f t="shared" ref="O7:O14" si="3">IF($N$5="成新度","——",ROUND(M7*N7,0))</f>
        <v>507</v>
      </c>
      <c r="P7" s="76">
        <f t="shared" ref="P7:P14" si="4">IF($N$5="成新度","——",M7-O7)</f>
        <v>2871</v>
      </c>
      <c r="Q7" s="801">
        <v>0.1</v>
      </c>
      <c r="R7" s="77">
        <f ca="1">SUMIF('数据-汇总表'!C$19:C$33,A7,'数据-汇总表'!R$19:R$27)</f>
        <v>4617.8099999999995</v>
      </c>
      <c r="S7" s="54">
        <f>IF('数据-汇总表'!$I$17="按面积比例",SUMIF('数据-汇总表'!C$19:C$33,A7,'数据-汇总表'!K$19:K$33),SUMIF('数据-汇总表'!C$19:C$33,A7,'数据-汇总表'!N$19:N$33))</f>
        <v>76.83</v>
      </c>
      <c r="T7" s="1439">
        <f t="shared" ref="T7:T13" si="5">ROUND($L$14*S7/10000,0)</f>
        <v>17</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33777662</v>
      </c>
      <c r="AQ7" s="55">
        <f t="shared" ref="AQ7:AQ13" si="10">ROUND($L$14*$N$14*S7/10000,0)</f>
        <v>7</v>
      </c>
      <c r="AR7" s="55">
        <f t="shared" ref="AR7:AR13" si="11">ROUND($L$14*(1-$N$14)*S7/10000,0)</f>
        <v>10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39.61</v>
      </c>
      <c r="G8" s="73">
        <f t="shared" si="2"/>
        <v>0.997</v>
      </c>
      <c r="H8" s="799">
        <v>5.5E-2</v>
      </c>
      <c r="I8" s="799">
        <v>0.06</v>
      </c>
      <c r="J8" s="799">
        <v>8.5000000000000006E-2</v>
      </c>
      <c r="K8" s="1247">
        <f>SUMIF('数据-汇总表'!C$19:C$33,A8,'数据-汇总表'!E$19:E$33)</f>
        <v>2248.14</v>
      </c>
      <c r="L8" s="800">
        <v>2300</v>
      </c>
      <c r="M8" s="75">
        <f>ROUND(K8*L8/10000,0)</f>
        <v>517</v>
      </c>
      <c r="N8" s="798">
        <f>面积!L4</f>
        <v>0.5</v>
      </c>
      <c r="O8" s="75">
        <f t="shared" si="3"/>
        <v>259</v>
      </c>
      <c r="P8" s="76">
        <f t="shared" si="4"/>
        <v>258</v>
      </c>
      <c r="Q8" s="801">
        <v>0.2</v>
      </c>
      <c r="R8" s="77">
        <f ca="1">SUMIF('数据-汇总表'!C$19:C$33,A8,'数据-汇总表'!R$19:R$27)</f>
        <v>706.9</v>
      </c>
      <c r="S8" s="54">
        <f>IF('数据-汇总表'!$I$17="按面积比例",SUMIF('数据-汇总表'!C$19:C$33,A8,'数据-汇总表'!K$19:K$33),SUMIF('数据-汇总表'!C$19:C$33,A8,'数据-汇总表'!N$19:N$33))</f>
        <v>11.76</v>
      </c>
      <c r="T8" s="1439">
        <f t="shared" si="5"/>
        <v>3</v>
      </c>
      <c r="U8" s="802">
        <v>3</v>
      </c>
      <c r="V8" s="803">
        <v>0.03</v>
      </c>
      <c r="W8" s="803">
        <v>0.1</v>
      </c>
      <c r="X8" s="1257"/>
      <c r="Y8" s="80">
        <v>1</v>
      </c>
      <c r="Z8" s="81"/>
      <c r="AA8" s="74"/>
      <c r="AB8" s="74"/>
      <c r="AC8" s="1257"/>
      <c r="AD8" s="82"/>
      <c r="AE8" s="1258">
        <f t="shared" ca="1" si="6"/>
        <v>38.61</v>
      </c>
      <c r="AF8" s="1799"/>
      <c r="AG8" s="144">
        <f t="shared" si="7"/>
        <v>0</v>
      </c>
      <c r="AH8" s="804"/>
      <c r="AI8" s="85">
        <v>365</v>
      </c>
      <c r="AJ8" s="86"/>
      <c r="AK8" s="87">
        <v>1.4999999999999999E-2</v>
      </c>
      <c r="AL8" s="87">
        <v>1.5E-3</v>
      </c>
      <c r="AM8" s="87">
        <v>0.01</v>
      </c>
      <c r="AN8" s="2302" t="s">
        <v>3139</v>
      </c>
      <c r="AO8" s="55">
        <f t="shared" ca="1" si="8"/>
        <v>3729</v>
      </c>
      <c r="AP8" s="2303">
        <f t="shared" si="9"/>
        <v>0</v>
      </c>
      <c r="AQ8" s="55">
        <f t="shared" si="10"/>
        <v>1</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3121</v>
      </c>
      <c r="D9" s="1047">
        <f>SUMIF(项目基本情况!D$12:I$12,C9,项目基本情况!D$14:I$14)</f>
        <v>50</v>
      </c>
      <c r="E9" s="1044">
        <f>IF(B9="","",SUMIF(项目基本情况!D$12:I$12,C9,项目基本情况!D$13:I$13))</f>
        <v>61544</v>
      </c>
      <c r="F9" s="72">
        <f>SUMIF(项目基本情况!D$12:I$12,C9,项目基本情况!D$15:I$15)</f>
        <v>49.61</v>
      </c>
      <c r="G9" s="73">
        <f t="shared" si="2"/>
        <v>0.998</v>
      </c>
      <c r="H9" s="799">
        <v>4.4999999999999998E-2</v>
      </c>
      <c r="I9" s="799">
        <v>0.05</v>
      </c>
      <c r="J9" s="799">
        <v>8.5000000000000006E-2</v>
      </c>
      <c r="K9" s="1247">
        <f>SUMIF('数据-汇总表'!C$19:C$33,A9,'数据-汇总表'!E$19:E$33)</f>
        <v>34093</v>
      </c>
      <c r="L9" s="800">
        <v>2200</v>
      </c>
      <c r="M9" s="75">
        <f t="shared" si="0"/>
        <v>7500</v>
      </c>
      <c r="N9" s="798">
        <f>面积!P2</f>
        <v>0.6</v>
      </c>
      <c r="O9" s="75">
        <f t="shared" si="3"/>
        <v>4500</v>
      </c>
      <c r="P9" s="76">
        <f t="shared" si="4"/>
        <v>3000</v>
      </c>
      <c r="Q9" s="90">
        <v>0.03</v>
      </c>
      <c r="R9" s="77">
        <f ca="1">SUMIF('数据-汇总表'!C$19:C$33,A9,'数据-汇总表'!R$19:R$27)</f>
        <v>10720.130000000001</v>
      </c>
      <c r="S9" s="54">
        <f>IF('数据-汇总表'!$I$17="按面积比例",SUMIF('数据-汇总表'!C$19:C$33,A9,'数据-汇总表'!K$19:K$33),SUMIF('数据-汇总表'!C$19:C$33,A9,'数据-汇总表'!N$19:N$33))</f>
        <v>178.35</v>
      </c>
      <c r="T9" s="1439">
        <f t="shared" si="5"/>
        <v>39</v>
      </c>
      <c r="U9" s="802">
        <v>500</v>
      </c>
      <c r="V9" s="803">
        <v>0.03</v>
      </c>
      <c r="W9" s="803">
        <v>0.05</v>
      </c>
      <c r="X9" s="1257"/>
      <c r="Y9" s="80">
        <v>1</v>
      </c>
      <c r="Z9" s="81"/>
      <c r="AA9" s="74"/>
      <c r="AB9" s="74"/>
      <c r="AC9" s="1257"/>
      <c r="AD9" s="82"/>
      <c r="AE9" s="1258">
        <f t="shared" ca="1" si="6"/>
        <v>48.61</v>
      </c>
      <c r="AF9" s="1799"/>
      <c r="AG9" s="144">
        <f t="shared" si="7"/>
        <v>0</v>
      </c>
      <c r="AH9" s="83">
        <f>ROUND(K9/30,0)</f>
        <v>1136</v>
      </c>
      <c r="AI9" s="85">
        <v>12</v>
      </c>
      <c r="AJ9" s="86"/>
      <c r="AK9" s="87">
        <v>1.4999999999999999E-2</v>
      </c>
      <c r="AL9" s="87">
        <v>1.5E-3</v>
      </c>
      <c r="AM9" s="87">
        <v>0.01</v>
      </c>
      <c r="AN9" s="2302" t="s">
        <v>3140</v>
      </c>
      <c r="AO9" s="55">
        <f t="shared" ca="1" si="8"/>
        <v>10780</v>
      </c>
      <c r="AP9" s="2303">
        <f t="shared" si="9"/>
        <v>0</v>
      </c>
      <c r="AQ9" s="55">
        <f t="shared" si="10"/>
        <v>16</v>
      </c>
      <c r="AR9" s="55">
        <f t="shared" si="11"/>
        <v>24</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307.38</v>
      </c>
      <c r="L14" s="800">
        <v>2200</v>
      </c>
      <c r="M14" s="75">
        <f t="shared" si="0"/>
        <v>68</v>
      </c>
      <c r="N14" s="798">
        <v>0.4</v>
      </c>
      <c r="O14" s="75">
        <f t="shared" si="3"/>
        <v>27</v>
      </c>
      <c r="P14" s="76">
        <f t="shared" si="4"/>
        <v>41</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0.998</v>
      </c>
      <c r="H16" s="97">
        <f>ROUND(SUMPRODUCT(H6:H13,K6:K13)/SUMPRODUCT((H6:H13&gt;0)*(K6:K13)),3)</f>
        <v>4.7E-2</v>
      </c>
      <c r="I16" s="98"/>
      <c r="J16" s="98"/>
      <c r="K16" s="99">
        <f>SUM(K6:K15)</f>
        <v>59366.369999999995</v>
      </c>
      <c r="L16" s="100">
        <f>ROUND(M16*10000/SUM(K6:K14),0)</f>
        <v>2229</v>
      </c>
      <c r="M16" s="100">
        <f>SUM(M6:M14)</f>
        <v>13164</v>
      </c>
      <c r="N16" s="101">
        <f>ROUND(SUMPRODUCT(M6:M14,N6:N14)/M16,3)</f>
        <v>0.47199999999999998</v>
      </c>
      <c r="O16" s="100">
        <f>SUM(O6:O14)</f>
        <v>6212</v>
      </c>
      <c r="P16" s="100">
        <f>SUM(P6:P14)</f>
        <v>6952</v>
      </c>
      <c r="Q16" s="102">
        <f>ROUND(SUMPRODUCT(Q6:Q13,K6:K13)/SUMPRODUCT((Q6:Q13&gt;0)*(K6:K13)),2)</f>
        <v>7.0000000000000007E-2</v>
      </c>
      <c r="R16" s="1251">
        <f ca="1">SUM(R6:R13)</f>
        <v>18475.620000000003</v>
      </c>
      <c r="S16" s="103">
        <f>SUM(S6:S13)</f>
        <v>307.38</v>
      </c>
      <c r="T16" s="104">
        <f>IF(SUMIF(T6:T13,"&lt;9E307")=M14,SUMIF(T6:T13,"&lt;9E307"),"有误，请检查")</f>
        <v>68</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89</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89</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1"/>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4">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0" t="s">
        <v>2078</v>
      </c>
      <c r="B1" s="3081"/>
      <c r="C1" s="3081"/>
      <c r="D1" s="3081"/>
      <c r="E1" s="3081"/>
      <c r="F1" s="3081"/>
      <c r="G1" s="308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733" customWidth="1"/>
    <col min="2" max="9" width="15.75" style="1733" customWidth="1"/>
    <col min="10" max="16384" width="9" style="1733"/>
  </cols>
  <sheetData>
    <row r="1" spans="1:10" ht="16.5">
      <c r="A1" s="1738" t="s">
        <v>1365</v>
      </c>
      <c r="B1" s="1738">
        <f>SUM(B14:B23)</f>
        <v>59366.369999999995</v>
      </c>
      <c r="C1" s="1737"/>
      <c r="D1" s="1737"/>
      <c r="E1" s="1737"/>
      <c r="F1" s="1737"/>
      <c r="G1" s="1735"/>
    </row>
    <row r="2" spans="1:10" ht="16.5">
      <c r="A2" s="1738" t="s">
        <v>1353</v>
      </c>
      <c r="B2" s="1738">
        <f>SUM(C14:C23)</f>
        <v>18569.88</v>
      </c>
      <c r="C2" s="1737"/>
      <c r="D2" s="1737"/>
      <c r="E2" s="1737"/>
      <c r="F2" s="1737"/>
      <c r="G2" s="1735"/>
    </row>
    <row r="3" spans="1:10" ht="16.5">
      <c r="A3" s="1738" t="s">
        <v>1362</v>
      </c>
      <c r="B3" s="1739">
        <f>项目基本情况!D3</f>
        <v>43433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26168</v>
      </c>
      <c r="C5" s="1738">
        <f ca="1">ROUND(B5*10000/$B$1,0)</f>
        <v>4408</v>
      </c>
      <c r="D5" s="1738">
        <f ca="1">ROUND(B5*10000/$B$2,0)</f>
        <v>14092</v>
      </c>
      <c r="E5" s="1737"/>
      <c r="F5" s="1735"/>
      <c r="G5" s="1735"/>
    </row>
    <row r="6" spans="1:10" ht="16.5">
      <c r="A6" s="1738" t="s">
        <v>1356</v>
      </c>
      <c r="B6" s="1738">
        <f ca="1">SUM(G14:G23)</f>
        <v>26168</v>
      </c>
      <c r="C6" s="1738">
        <f ca="1">ROUND(B6*10000/$B$1,0)</f>
        <v>4408</v>
      </c>
      <c r="D6" s="1738">
        <f ca="1">ROUND(B6*10000/$B$2,0)</f>
        <v>14092</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59366.369999999995</v>
      </c>
      <c r="C14" s="1736">
        <f>结果表!C118</f>
        <v>18569.88</v>
      </c>
      <c r="D14" s="1736">
        <f ca="1">结果表!H118</f>
        <v>26168</v>
      </c>
      <c r="E14" s="1736">
        <f ca="1">ROUND(D14*10000/B14,0)</f>
        <v>4408</v>
      </c>
      <c r="F14" s="1736">
        <f ca="1">ROUND(D14*10000/C14,0)</f>
        <v>14092</v>
      </c>
      <c r="G14" s="1736">
        <f ca="1">结果表!D122</f>
        <v>26168</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H102" sqref="H102"/>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3052</v>
      </c>
      <c r="H1" s="2415" t="str">
        <f>IF(G1="现房","——","估价对象范围")</f>
        <v>估价对象范围</v>
      </c>
      <c r="I1" s="2416" t="s">
        <v>3141</v>
      </c>
    </row>
    <row r="2" spans="1:12" ht="21.75" customHeight="1" thickBot="1">
      <c r="A2" s="3115" t="str">
        <f>项目基本情况!S2</f>
        <v>广东省惠州市惠城区小金口街道办事处汤泉片区（规划编号：B05-08）出让国有建设用地使用权及在建建筑物房地产</v>
      </c>
      <c r="B2" s="3116"/>
      <c r="C2" s="3116"/>
      <c r="D2" s="3116"/>
      <c r="E2" s="3116"/>
      <c r="F2" s="3116"/>
      <c r="G2" s="3116"/>
      <c r="H2" s="3116"/>
      <c r="I2" s="3117"/>
    </row>
    <row r="3" spans="1:12" ht="12.75">
      <c r="A3" s="3119" t="s">
        <v>2108</v>
      </c>
      <c r="B3" s="3120"/>
      <c r="C3" s="3120"/>
      <c r="D3" s="3120"/>
      <c r="E3" s="3120"/>
      <c r="F3" s="3120"/>
      <c r="G3" s="3120"/>
      <c r="H3" s="3120"/>
      <c r="I3" s="3120"/>
    </row>
    <row r="4" spans="1:12" ht="14.25">
      <c r="A4" s="2419" t="s">
        <v>2109</v>
      </c>
      <c r="B4" s="2420" t="s">
        <v>2110</v>
      </c>
      <c r="C4" s="2421" t="s">
        <v>3142</v>
      </c>
      <c r="D4" s="2421" t="s">
        <v>3143</v>
      </c>
      <c r="E4" s="3112" t="s">
        <v>2111</v>
      </c>
      <c r="F4" s="3113"/>
      <c r="G4" s="3113"/>
      <c r="H4" s="3113"/>
      <c r="I4" s="312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2112</v>
      </c>
      <c r="B5" s="3032">
        <v>25</v>
      </c>
      <c r="C5" s="3098"/>
      <c r="D5" s="3118"/>
      <c r="E5" s="137" t="s">
        <v>2113</v>
      </c>
      <c r="F5" s="2423"/>
      <c r="G5" s="2423"/>
      <c r="H5" s="2423"/>
      <c r="I5" s="1826"/>
    </row>
    <row r="6" spans="1:12" ht="12.75">
      <c r="A6" s="3095"/>
      <c r="B6" s="3032"/>
      <c r="C6" s="3099"/>
      <c r="D6" s="3118"/>
      <c r="E6" s="137" t="s">
        <v>2114</v>
      </c>
      <c r="F6" s="2423"/>
      <c r="G6" s="2423"/>
      <c r="H6" s="2423"/>
      <c r="I6" s="1826"/>
    </row>
    <row r="7" spans="1:12" ht="12.75">
      <c r="A7" s="3095"/>
      <c r="B7" s="3032"/>
      <c r="C7" s="3100"/>
      <c r="D7" s="3118"/>
      <c r="E7" s="137" t="s">
        <v>2115</v>
      </c>
      <c r="F7" s="2423"/>
      <c r="G7" s="2423"/>
      <c r="H7" s="2423"/>
      <c r="I7" s="1826"/>
    </row>
    <row r="8" spans="1:12" ht="12.75">
      <c r="A8" s="3095" t="s">
        <v>2116</v>
      </c>
      <c r="B8" s="3032">
        <v>15</v>
      </c>
      <c r="C8" s="3098"/>
      <c r="D8" s="3118"/>
      <c r="E8" s="137" t="s">
        <v>2117</v>
      </c>
      <c r="F8" s="2423"/>
      <c r="G8" s="2423"/>
      <c r="H8" s="2423"/>
      <c r="I8" s="1826"/>
    </row>
    <row r="9" spans="1:12" ht="12.75">
      <c r="A9" s="3095"/>
      <c r="B9" s="3032"/>
      <c r="C9" s="3100"/>
      <c r="D9" s="3118"/>
      <c r="E9" s="137" t="s">
        <v>2118</v>
      </c>
      <c r="F9" s="2423"/>
      <c r="G9" s="2423"/>
      <c r="H9" s="2423"/>
      <c r="I9" s="1826"/>
    </row>
    <row r="10" spans="1:12" ht="12.75">
      <c r="A10" s="3095" t="s">
        <v>2119</v>
      </c>
      <c r="B10" s="3032">
        <v>15</v>
      </c>
      <c r="C10" s="3098"/>
      <c r="D10" s="3118"/>
      <c r="E10" s="137" t="s">
        <v>2120</v>
      </c>
      <c r="F10" s="2423"/>
      <c r="G10" s="2423"/>
      <c r="H10" s="2423"/>
      <c r="I10" s="1826"/>
    </row>
    <row r="11" spans="1:12" ht="12.75">
      <c r="A11" s="3095"/>
      <c r="B11" s="3032"/>
      <c r="C11" s="3100"/>
      <c r="D11" s="3118"/>
      <c r="E11" s="137" t="s">
        <v>2121</v>
      </c>
      <c r="F11" s="2423"/>
      <c r="G11" s="2423"/>
      <c r="H11" s="2423"/>
      <c r="I11" s="1826"/>
    </row>
    <row r="12" spans="1:12" ht="12.75">
      <c r="A12" s="3095" t="s">
        <v>2122</v>
      </c>
      <c r="B12" s="3032">
        <v>15</v>
      </c>
      <c r="C12" s="3098"/>
      <c r="D12" s="3118"/>
      <c r="E12" s="137" t="s">
        <v>2123</v>
      </c>
      <c r="F12" s="2423"/>
      <c r="G12" s="2423"/>
      <c r="H12" s="2423"/>
      <c r="I12" s="1826"/>
    </row>
    <row r="13" spans="1:12" ht="12.75">
      <c r="A13" s="3095"/>
      <c r="B13" s="3032"/>
      <c r="C13" s="3100"/>
      <c r="D13" s="3118"/>
      <c r="E13" s="137" t="s">
        <v>2124</v>
      </c>
      <c r="F13" s="2423"/>
      <c r="G13" s="2423"/>
      <c r="H13" s="2423"/>
      <c r="I13" s="1826"/>
    </row>
    <row r="14" spans="1:12" ht="12.75">
      <c r="A14" s="3095" t="s">
        <v>2125</v>
      </c>
      <c r="B14" s="3032">
        <v>30</v>
      </c>
      <c r="C14" s="3098">
        <v>5</v>
      </c>
      <c r="D14" s="3118">
        <v>5</v>
      </c>
      <c r="E14" s="137" t="s">
        <v>2126</v>
      </c>
      <c r="F14" s="2423"/>
      <c r="G14" s="2423"/>
      <c r="H14" s="2423"/>
      <c r="I14" s="1826"/>
    </row>
    <row r="15" spans="1:12" ht="12.75">
      <c r="A15" s="3095"/>
      <c r="B15" s="3032"/>
      <c r="C15" s="3099"/>
      <c r="D15" s="3118"/>
      <c r="E15" s="137" t="s">
        <v>2127</v>
      </c>
      <c r="F15" s="2423"/>
      <c r="G15" s="2423"/>
      <c r="H15" s="2423"/>
      <c r="I15" s="1826"/>
    </row>
    <row r="16" spans="1:12" ht="12.75">
      <c r="A16" s="3095"/>
      <c r="B16" s="3032"/>
      <c r="C16" s="3100"/>
      <c r="D16" s="3118"/>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59366.369999999995</v>
      </c>
      <c r="M18" s="2422">
        <f>IF(C1="",'数据-汇总表'!E3,SUMIF(项目类型,C1,'数据-汇总表'!E17:E26))</f>
        <v>59366.369999999995</v>
      </c>
    </row>
    <row r="19" spans="1:35" ht="15">
      <c r="A19" s="2428" t="s">
        <v>2134</v>
      </c>
      <c r="B19" s="2429" t="s">
        <v>2135</v>
      </c>
      <c r="C19" s="140">
        <f ca="1">SUMIF(INDIRECT("'"&amp;C4&amp;"'"&amp;"!A:A"),结果表!B19,INDIRECT("'"&amp;C4&amp;"'"&amp;"!B:B"))</f>
        <v>26801</v>
      </c>
      <c r="D19" s="141">
        <f ca="1">SUMIF(INDIRECT("'"&amp;D4&amp;"'"&amp;"!A:A"),结果表!B19,INDIRECT("'"&amp;D4&amp;"'"&amp;"!B:B"))</f>
        <v>25534</v>
      </c>
      <c r="E19" s="2428" t="s">
        <v>2136</v>
      </c>
      <c r="F19" s="2429" t="s">
        <v>2135</v>
      </c>
      <c r="G19" s="142">
        <f ca="1">ROUND(C19*$C$18+D19*$D$18,0)</f>
        <v>26168</v>
      </c>
      <c r="H19" s="2430" t="s">
        <v>2137</v>
      </c>
      <c r="I19" s="135"/>
      <c r="K19" s="2422" t="s">
        <v>2138</v>
      </c>
      <c r="L19" s="2422">
        <f>IF(C1="",'数据-汇总表'!D3,SUMIF(项目类型,C1,'数据-汇总表'!D17:D26)+SUMIF(项目类型,C1,'数据-汇总表'!H17:H27))</f>
        <v>18569.88</v>
      </c>
      <c r="M19" s="2422">
        <f>IF(C1="",'数据-汇总表'!D3,SUMIF(项目类型,C1,'数据-汇总表'!D17:D26))</f>
        <v>18569.88</v>
      </c>
    </row>
    <row r="20" spans="1:35" ht="15">
      <c r="A20" s="2431"/>
      <c r="B20" s="1243" t="s">
        <v>2139</v>
      </c>
      <c r="C20" s="143">
        <f ca="1">SUMIF(INDIRECT("'"&amp;C4&amp;"'"&amp;"!A:A"),结果表!B20,INDIRECT("'"&amp;C4&amp;"'"&amp;"!B:B"))</f>
        <v>4515</v>
      </c>
      <c r="D20" s="144">
        <f ca="1">SUMIF(INDIRECT("'"&amp;D4&amp;"'"&amp;"!A:A"),结果表!B20,INDIRECT("'"&amp;D4&amp;"'"&amp;"!B:B"))</f>
        <v>4301</v>
      </c>
      <c r="E20" s="2431"/>
      <c r="F20" s="1243" t="s">
        <v>2139</v>
      </c>
      <c r="G20" s="145">
        <f ca="1">ROUND(C20*$C$18+D20*$D$18,0)</f>
        <v>4408</v>
      </c>
      <c r="H20" s="976" t="s">
        <v>2140</v>
      </c>
      <c r="I20" s="135"/>
    </row>
    <row r="21" spans="1:35" ht="15" customHeight="1" thickBot="1">
      <c r="A21" s="996"/>
      <c r="B21" s="2432" t="s">
        <v>2141</v>
      </c>
      <c r="C21" s="786">
        <f ca="1">ROUND(C19*10000/L19,0)</f>
        <v>14433</v>
      </c>
      <c r="D21" s="787">
        <f ca="1">ROUND(D19*10000/L19,0)</f>
        <v>13750</v>
      </c>
      <c r="E21" s="996"/>
      <c r="F21" s="2432" t="s">
        <v>2141</v>
      </c>
      <c r="G21" s="146">
        <f ca="1">ROUND(G19*10000/L19,0)</f>
        <v>14092</v>
      </c>
      <c r="H21" s="2433" t="s">
        <v>2140</v>
      </c>
      <c r="I21" s="135"/>
    </row>
    <row r="22" spans="1:35" ht="15" thickBot="1">
      <c r="A22" s="2274" t="s">
        <v>2142</v>
      </c>
      <c r="B22" s="2434"/>
      <c r="C22" s="2435"/>
      <c r="D22" s="788">
        <f ca="1">IF(C19&lt;D19,D19/C19-1,C19/D19-1)</f>
        <v>4.9620114357327383E-2</v>
      </c>
      <c r="E22" s="135"/>
      <c r="F22" s="135"/>
      <c r="G22" s="135"/>
      <c r="H22" s="135"/>
      <c r="I22" s="135"/>
    </row>
    <row r="23" spans="1:35" ht="13.5" thickBot="1">
      <c r="A23" s="2412"/>
      <c r="B23" s="2412"/>
      <c r="C23" s="2412"/>
      <c r="D23" s="2412"/>
      <c r="E23" s="135"/>
      <c r="F23" s="135"/>
      <c r="G23" s="135"/>
      <c r="H23" s="135"/>
      <c r="I23" s="135"/>
    </row>
    <row r="24" spans="1:35" ht="14.25">
      <c r="A24" s="3089" t="s">
        <v>2143</v>
      </c>
      <c r="B24" s="2429" t="s">
        <v>2135</v>
      </c>
      <c r="C24" s="142">
        <f>IF(B30=0,0,D30)</f>
        <v>0</v>
      </c>
      <c r="D24" s="2436"/>
      <c r="E24" s="135"/>
      <c r="F24" s="135"/>
      <c r="G24" s="135"/>
      <c r="H24" s="135"/>
      <c r="I24" s="135"/>
    </row>
    <row r="25" spans="1:35" ht="14.25">
      <c r="A25" s="3090"/>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3021</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26168</v>
      </c>
      <c r="D32" s="2443" t="s">
        <v>2150</v>
      </c>
      <c r="E32" s="135"/>
      <c r="F32" s="135"/>
      <c r="G32" s="135"/>
      <c r="H32" s="135"/>
      <c r="I32" s="135"/>
    </row>
    <row r="33" spans="1:15" ht="15">
      <c r="A33" s="953" t="s">
        <v>2151</v>
      </c>
      <c r="B33" s="2444"/>
      <c r="C33" s="2445" t="s">
        <v>3144</v>
      </c>
      <c r="D33" s="2446" t="s">
        <v>3142</v>
      </c>
      <c r="E33" s="2447" t="s">
        <v>2152</v>
      </c>
      <c r="F33" s="2448" t="str">
        <f>IF(D32="楼面单价","取值（单价）","取值（总价）")</f>
        <v>取值（总价）</v>
      </c>
      <c r="G33" s="135"/>
      <c r="H33" s="135"/>
      <c r="I33" s="135"/>
    </row>
    <row r="34" spans="1:15" ht="15">
      <c r="A34" s="2449"/>
      <c r="B34" s="2450" t="s">
        <v>2153</v>
      </c>
      <c r="C34" s="154">
        <f ca="1">IF(C33="自定义",F34,C32-C35)</f>
        <v>17873</v>
      </c>
      <c r="D34" s="1051">
        <f ca="1">IF(C33="自定义",ROUND(C34/C32,3),IF(C33="收益比率",SUMIF(INDIRECT("'"&amp;D33&amp;"'"&amp;"!b:b"),"土地收益比率",INDIRECT("'"&amp;D33&amp;"'"&amp;"!c:c")),SUMIF(INDIRECT("'"&amp;D33&amp;"'"&amp;"!b:b"),"土地成本比率",INDIRECT("'"&amp;D33&amp;"'"&amp;"!c:c"))))</f>
        <v>0.68300000000000005</v>
      </c>
      <c r="E34" s="2451" t="s">
        <v>2154</v>
      </c>
      <c r="F34" s="1731"/>
      <c r="G34" s="135"/>
      <c r="H34" s="135"/>
      <c r="I34" s="135"/>
    </row>
    <row r="35" spans="1:15" ht="15.75" thickBot="1">
      <c r="A35" s="2452"/>
      <c r="B35" s="2453" t="s">
        <v>2155</v>
      </c>
      <c r="C35" s="1437">
        <f ca="1">IF(C33="自定义",F35,ROUND(C32*D35,0))</f>
        <v>8295</v>
      </c>
      <c r="D35" s="1438">
        <f ca="1">IF(C33="自定义",ROUND(C35/C32,3),IF(C33="收益比率",SUMIF(INDIRECT("'"&amp;D33&amp;"'"&amp;"!b:b"),"建筑物收益比率",INDIRECT("'"&amp;D33&amp;"'"&amp;"!c:c")),SUMIF(INDIRECT("'"&amp;D33&amp;"'"&amp;"!b:b"),"建筑物成本比率",INDIRECT("'"&amp;D33&amp;"'"&amp;"!c:c"))))</f>
        <v>0.317</v>
      </c>
      <c r="E35" s="2454" t="s">
        <v>2156</v>
      </c>
      <c r="F35" s="160"/>
      <c r="G35" s="135"/>
      <c r="H35" s="135"/>
      <c r="I35" s="135"/>
    </row>
    <row r="36" spans="1:15" ht="15.75" thickBot="1">
      <c r="A36" s="3107" t="s">
        <v>2157</v>
      </c>
      <c r="B36" s="2455" t="s">
        <v>2158</v>
      </c>
      <c r="C36" s="151">
        <v>129000</v>
      </c>
      <c r="D36" s="2456" t="s">
        <v>3145</v>
      </c>
      <c r="E36" s="2457"/>
      <c r="F36" s="2458"/>
      <c r="G36" s="135"/>
      <c r="H36" s="135"/>
      <c r="I36" s="135"/>
    </row>
    <row r="37" spans="1:15" ht="15.75" thickBot="1">
      <c r="A37" s="3108"/>
      <c r="B37" s="2260" t="s">
        <v>2159</v>
      </c>
      <c r="C37" s="153"/>
      <c r="D37" s="1388"/>
      <c r="E37" s="1388"/>
      <c r="F37" s="2458"/>
      <c r="G37" s="135"/>
      <c r="H37" s="135"/>
      <c r="I37" s="135"/>
    </row>
    <row r="38" spans="1:15" ht="15.75" thickBot="1">
      <c r="A38" s="3109"/>
      <c r="B38" s="2459" t="s">
        <v>2160</v>
      </c>
      <c r="C38" s="724"/>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2987"/>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086" t="s">
        <v>2171</v>
      </c>
      <c r="B45" s="3087"/>
      <c r="C45" s="3088"/>
      <c r="D45" s="161">
        <f ca="1">ROUND(H101*F45,0)</f>
        <v>26168</v>
      </c>
      <c r="E45" s="162" t="s">
        <v>2172</v>
      </c>
      <c r="F45" s="163">
        <v>1</v>
      </c>
      <c r="G45" s="164" t="s">
        <v>2173</v>
      </c>
      <c r="H45" s="135"/>
      <c r="I45" s="135"/>
      <c r="J45" s="3146" t="s">
        <v>2174</v>
      </c>
      <c r="K45" s="3146"/>
      <c r="L45" s="3146"/>
      <c r="M45" s="3146"/>
      <c r="N45" s="3146"/>
      <c r="O45" s="3146"/>
    </row>
    <row r="46" spans="1:15" ht="14.25" customHeight="1">
      <c r="A46" s="3083" t="s">
        <v>2175</v>
      </c>
      <c r="B46" s="3084"/>
      <c r="C46" s="3084"/>
      <c r="D46" s="3084"/>
      <c r="E46" s="3084"/>
      <c r="F46" s="3084"/>
      <c r="G46" s="3085"/>
      <c r="H46" s="2474"/>
      <c r="I46" s="165"/>
      <c r="J46" s="1804">
        <v>1</v>
      </c>
      <c r="K46" s="3146" t="s">
        <v>2176</v>
      </c>
      <c r="L46" s="3146"/>
      <c r="M46" s="3166"/>
      <c r="N46" s="3166"/>
      <c r="O46" s="3166"/>
    </row>
    <row r="47" spans="1:15" ht="12" customHeight="1">
      <c r="A47" s="166" t="s">
        <v>2177</v>
      </c>
      <c r="B47" s="167"/>
      <c r="C47" s="168"/>
      <c r="D47" s="169" t="s">
        <v>2178</v>
      </c>
      <c r="E47" s="24" t="s">
        <v>2179</v>
      </c>
      <c r="F47" s="170" t="s">
        <v>2180</v>
      </c>
      <c r="G47" s="171" t="s">
        <v>2181</v>
      </c>
      <c r="H47" s="2474"/>
      <c r="I47" s="165"/>
      <c r="J47" s="1804">
        <v>2</v>
      </c>
      <c r="K47" s="3146" t="s">
        <v>2182</v>
      </c>
      <c r="L47" s="3146"/>
      <c r="M47" s="3167">
        <f>'数据-取费表'!B2</f>
        <v>43433</v>
      </c>
      <c r="N47" s="3167"/>
      <c r="O47" s="3167"/>
    </row>
    <row r="48" spans="1:15" ht="25.5">
      <c r="A48" s="3114" t="s">
        <v>2183</v>
      </c>
      <c r="B48" s="3097"/>
      <c r="C48" s="3097"/>
      <c r="D48" s="137">
        <f>IF(H48="情况1",0,IF(H48="情况2",D52,IF(H48="情况3",D53,IF(H48="情况4",D54))))</f>
        <v>0</v>
      </c>
      <c r="E48" s="1793" t="str">
        <f>IF(H48="情况4","(销售额-原购置价)×税（费）率","销售额×税（费）率")</f>
        <v>销售额×税（费）率</v>
      </c>
      <c r="F48" s="172" t="str">
        <f>IF(H48="情况1","免征",'数据-取费表'!B41)</f>
        <v>免征</v>
      </c>
      <c r="G48" s="2475" t="s">
        <v>2184</v>
      </c>
      <c r="H48" s="2476" t="s">
        <v>2185</v>
      </c>
      <c r="I48" s="2474"/>
      <c r="J48" s="1804">
        <v>3</v>
      </c>
      <c r="K48" s="3146" t="s">
        <v>2186</v>
      </c>
      <c r="L48" s="3146"/>
      <c r="M48" s="3168">
        <f ca="1">H101</f>
        <v>26168</v>
      </c>
      <c r="N48" s="3168"/>
      <c r="O48" s="3168"/>
    </row>
    <row r="49" spans="1:35" ht="25.5" customHeight="1">
      <c r="A49" s="173" t="s">
        <v>2187</v>
      </c>
      <c r="B49" s="3082" t="s">
        <v>2188</v>
      </c>
      <c r="C49" s="3082"/>
      <c r="D49" s="174">
        <v>0</v>
      </c>
      <c r="E49" s="23" t="s">
        <v>2189</v>
      </c>
      <c r="F49" s="28" t="s">
        <v>34</v>
      </c>
      <c r="G49" s="3152"/>
      <c r="H49" s="135"/>
      <c r="I49" s="2477"/>
      <c r="J49" s="1804">
        <v>4</v>
      </c>
      <c r="K49" s="3146" t="str">
        <f>IF(项目基本情况!E8="房地产抵押价值","房地产抵押价值","抵押担保权已注销时的房地产抵押价值")</f>
        <v>房地产抵押价值</v>
      </c>
      <c r="L49" s="3146"/>
      <c r="M49" s="3168">
        <f ca="1">IF(项目基本情况!E8="房地产抵押价值",H107,H109)</f>
        <v>26168</v>
      </c>
      <c r="N49" s="3168"/>
      <c r="O49" s="3168"/>
    </row>
    <row r="50" spans="1:35" ht="25.5" customHeight="1">
      <c r="A50" s="175"/>
      <c r="B50" s="3082" t="s">
        <v>2190</v>
      </c>
      <c r="C50" s="3082"/>
      <c r="D50" s="176"/>
      <c r="E50" s="31"/>
      <c r="F50" s="177"/>
      <c r="G50" s="3153"/>
      <c r="H50" s="135"/>
      <c r="I50" s="2477"/>
      <c r="J50" s="3146" t="s">
        <v>2191</v>
      </c>
      <c r="K50" s="3146"/>
      <c r="L50" s="3146"/>
      <c r="M50" s="3146"/>
      <c r="N50" s="3146"/>
      <c r="O50" s="3146"/>
    </row>
    <row r="51" spans="1:35" ht="12" customHeight="1">
      <c r="A51" s="178"/>
      <c r="B51" s="3082" t="s">
        <v>2192</v>
      </c>
      <c r="C51" s="3082"/>
      <c r="D51" s="179"/>
      <c r="E51" s="30"/>
      <c r="F51" s="177"/>
      <c r="G51" s="3154"/>
      <c r="H51" s="135"/>
      <c r="I51" s="2477"/>
      <c r="J51" s="2478" t="s">
        <v>2193</v>
      </c>
      <c r="K51" s="3146" t="s">
        <v>2194</v>
      </c>
      <c r="L51" s="3146"/>
      <c r="M51" s="2478" t="s">
        <v>2195</v>
      </c>
      <c r="N51" s="2478" t="s">
        <v>2196</v>
      </c>
      <c r="O51" s="2478" t="s">
        <v>2197</v>
      </c>
    </row>
    <row r="52" spans="1:35" ht="24" customHeight="1">
      <c r="A52" s="180" t="s">
        <v>2198</v>
      </c>
      <c r="B52" s="3082" t="s">
        <v>2199</v>
      </c>
      <c r="C52" s="3082"/>
      <c r="D52" s="179">
        <f ca="1">ROUND(D45*'数据-取费表'!B41/(1+'数据-取费表'!C42),0)</f>
        <v>1396</v>
      </c>
      <c r="E52" s="11" t="s">
        <v>2200</v>
      </c>
      <c r="F52" s="181">
        <f>'数据-取费表'!B41</f>
        <v>5.6000000000000001E-2</v>
      </c>
      <c r="G52" s="2479"/>
      <c r="H52" s="135"/>
      <c r="I52" s="2477"/>
      <c r="J52" s="1804">
        <v>1</v>
      </c>
      <c r="K52" s="3147" t="s">
        <v>2201</v>
      </c>
      <c r="L52" s="3147"/>
      <c r="M52" s="1746">
        <f>D48</f>
        <v>0</v>
      </c>
      <c r="N52" s="1804" t="str">
        <f>E48</f>
        <v>销售额×税（费）率</v>
      </c>
      <c r="O52" s="1747" t="str">
        <f>F48</f>
        <v>免征</v>
      </c>
    </row>
    <row r="53" spans="1:35" ht="12" customHeight="1">
      <c r="A53" s="180" t="s">
        <v>2202</v>
      </c>
      <c r="B53" s="3105" t="s">
        <v>2203</v>
      </c>
      <c r="C53" s="3106"/>
      <c r="D53" s="179">
        <f ca="1">ROUND(D45*'数据-取费表'!B41/(1+'数据-取费表'!C42),0)</f>
        <v>1396</v>
      </c>
      <c r="E53" s="11" t="s">
        <v>2200</v>
      </c>
      <c r="F53" s="181">
        <f>'数据-取费表'!B41</f>
        <v>5.6000000000000001E-2</v>
      </c>
      <c r="G53" s="2479"/>
      <c r="H53" s="135"/>
      <c r="I53" s="2477"/>
      <c r="J53" s="1804">
        <v>2</v>
      </c>
      <c r="K53" s="3147" t="s">
        <v>2204</v>
      </c>
      <c r="L53" s="3147"/>
      <c r="M53" s="1746">
        <f t="shared" ref="M53:O54" ca="1" si="0">D55</f>
        <v>13</v>
      </c>
      <c r="N53" s="1804" t="str">
        <f t="shared" si="0"/>
        <v>销售额×税（费）率</v>
      </c>
      <c r="O53" s="1747">
        <f t="shared" si="0"/>
        <v>5.0000000000000001E-4</v>
      </c>
    </row>
    <row r="54" spans="1:35" ht="12" customHeight="1">
      <c r="A54" s="180" t="s">
        <v>2205</v>
      </c>
      <c r="B54" s="3105" t="s">
        <v>2206</v>
      </c>
      <c r="C54" s="3106"/>
      <c r="D54" s="179">
        <f ca="1">C68</f>
        <v>1396</v>
      </c>
      <c r="E54" s="30" t="s">
        <v>2207</v>
      </c>
      <c r="F54" s="181">
        <f>'数据-取费表'!B41</f>
        <v>5.6000000000000001E-2</v>
      </c>
      <c r="G54" s="2479"/>
      <c r="H54" s="2480"/>
      <c r="I54" s="2477"/>
      <c r="J54" s="1804">
        <v>3</v>
      </c>
      <c r="K54" s="3147" t="s">
        <v>2208</v>
      </c>
      <c r="L54" s="3147"/>
      <c r="M54" s="1746">
        <f t="shared" ca="1" si="0"/>
        <v>14811</v>
      </c>
      <c r="N54" s="1804" t="str">
        <f t="shared" si="0"/>
        <v>增值额×税（费）率</v>
      </c>
      <c r="O54" s="1748" t="str">
        <f t="shared" si="0"/>
        <v>——</v>
      </c>
    </row>
    <row r="55" spans="1:35" ht="24" customHeight="1">
      <c r="A55" s="3096" t="s">
        <v>2209</v>
      </c>
      <c r="B55" s="3097"/>
      <c r="C55" s="3097"/>
      <c r="D55" s="182">
        <f ca="1">IF(H55="个人住宅",0,ROUND(D45*I55,0))</f>
        <v>13</v>
      </c>
      <c r="E55" s="11" t="s">
        <v>2210</v>
      </c>
      <c r="F55" s="181">
        <f>IF(H55="正常",I55,"免征")</f>
        <v>5.0000000000000001E-4</v>
      </c>
      <c r="G55" s="2479"/>
      <c r="H55" s="2476" t="s">
        <v>2211</v>
      </c>
      <c r="I55" s="183">
        <f>'数据-取费表'!B49</f>
        <v>5.0000000000000001E-4</v>
      </c>
      <c r="J55" s="1804" t="str">
        <f>IF(H59="非个人房产","",4)</f>
        <v/>
      </c>
      <c r="K55" s="3147" t="str">
        <f>IF(H59="非个人房产","——","个人所得税")</f>
        <v>——</v>
      </c>
      <c r="L55" s="3147"/>
      <c r="M55" s="1749" t="str">
        <f>D59</f>
        <v>——</v>
      </c>
      <c r="N55" s="1802" t="str">
        <f>E59</f>
        <v>——</v>
      </c>
      <c r="O55" s="1750" t="str">
        <f>F59</f>
        <v>——</v>
      </c>
    </row>
    <row r="56" spans="1:35" ht="24.75">
      <c r="A56" s="3096" t="s">
        <v>2212</v>
      </c>
      <c r="B56" s="3097"/>
      <c r="C56" s="3097"/>
      <c r="D56" s="182">
        <f ca="1">IF(H56="个人住宅",D57,D58)</f>
        <v>14811</v>
      </c>
      <c r="E56" s="11" t="s">
        <v>2213</v>
      </c>
      <c r="F56" s="181" t="str">
        <f>IF(H56="正常",F58,"免征")</f>
        <v>——</v>
      </c>
      <c r="G56" s="2481" t="s">
        <v>2214</v>
      </c>
      <c r="H56" s="2482" t="s">
        <v>2211</v>
      </c>
      <c r="I56" s="2483"/>
      <c r="J56" s="1804" t="str">
        <f>IF(项目基本情况!K6="上海银行",IF(J55="",4,J55+1),"")</f>
        <v/>
      </c>
      <c r="K56" s="3170" t="str">
        <f>IF(项目基本情况!K6="上海银行","其他处置费用","")</f>
        <v/>
      </c>
      <c r="L56" s="3171"/>
      <c r="M56" s="1746" t="str">
        <f>IF(项目基本情况!K6="上海银行",M69,"")</f>
        <v/>
      </c>
      <c r="N56" s="3173" t="str">
        <f>IF(项目基本情况!K6="上海银行","包含处置中涉及的律师、诉讼、拍卖、评估等费用","")</f>
        <v/>
      </c>
      <c r="O56" s="3174"/>
    </row>
    <row r="57" spans="1:35" ht="12.75">
      <c r="A57" s="180" t="s">
        <v>2187</v>
      </c>
      <c r="B57" s="3112" t="s">
        <v>2215</v>
      </c>
      <c r="C57" s="3121"/>
      <c r="D57" s="184">
        <v>0</v>
      </c>
      <c r="E57" s="23" t="s">
        <v>2189</v>
      </c>
      <c r="F57" s="152"/>
      <c r="G57" s="2479"/>
      <c r="H57" s="2483"/>
      <c r="I57" s="2483"/>
      <c r="J57" s="3147">
        <f>IF(AND(J55="",J56=""),4,IF(项目基本情况!K6="上海银行",结果表!J56+1,结果表!J55+1))</f>
        <v>4</v>
      </c>
      <c r="K57" s="3147" t="s">
        <v>2216</v>
      </c>
      <c r="L57" s="2484" t="s">
        <v>2217</v>
      </c>
      <c r="M57" s="1751"/>
      <c r="N57" s="1752">
        <f ca="1">SUMIF(M52:M56,"&lt;9e307")</f>
        <v>14824</v>
      </c>
      <c r="O57" s="2485"/>
      <c r="P57" s="1745">
        <f ca="1">N57/M49</f>
        <v>0.56649342708651784</v>
      </c>
    </row>
    <row r="58" spans="1:35" ht="24.75">
      <c r="A58" s="180" t="s">
        <v>2198</v>
      </c>
      <c r="B58" s="3112" t="s">
        <v>2218</v>
      </c>
      <c r="C58" s="3113"/>
      <c r="D58" s="182">
        <f ca="1">IF(H58="转让取得",C81,C97)</f>
        <v>14811</v>
      </c>
      <c r="E58" s="11" t="s">
        <v>2213</v>
      </c>
      <c r="F58" s="24" t="s">
        <v>34</v>
      </c>
      <c r="G58" s="2479"/>
      <c r="H58" s="2482" t="s">
        <v>2219</v>
      </c>
      <c r="I58" s="2483"/>
      <c r="J58" s="3147"/>
      <c r="K58" s="3147"/>
      <c r="L58" s="2484" t="s">
        <v>2220</v>
      </c>
      <c r="M58" s="1753"/>
      <c r="N58" s="2486" t="str">
        <f ca="1">NUMBERSTRING(INT(N57*10000),2)&amp;"元整"</f>
        <v>壹亿肆仟捌佰贰拾肆万元整</v>
      </c>
      <c r="O58" s="2487"/>
    </row>
    <row r="59" spans="1:35" ht="24.75" thickBot="1">
      <c r="A59" s="3150" t="s">
        <v>2221</v>
      </c>
      <c r="B59" s="3151"/>
      <c r="C59" s="3151"/>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48">
        <f>J57+1</f>
        <v>5</v>
      </c>
      <c r="K59" s="3147" t="s">
        <v>2223</v>
      </c>
      <c r="L59" s="1804" t="s">
        <v>2217</v>
      </c>
      <c r="M59" s="1754"/>
      <c r="N59" s="1755">
        <f ca="1">M49-N57</f>
        <v>11344</v>
      </c>
      <c r="O59" s="2489"/>
    </row>
    <row r="60" spans="1:35" ht="12" customHeight="1">
      <c r="A60" s="2490"/>
      <c r="B60" s="2412"/>
      <c r="C60" s="2412"/>
      <c r="D60" s="2412"/>
      <c r="E60" s="2159"/>
      <c r="F60" s="2483"/>
      <c r="G60" s="2483"/>
      <c r="H60" s="2491"/>
      <c r="I60" s="135"/>
      <c r="J60" s="3149"/>
      <c r="K60" s="3147"/>
      <c r="L60" s="2484" t="s">
        <v>2220</v>
      </c>
      <c r="M60" s="1753"/>
      <c r="N60" s="2486" t="str">
        <f ca="1">NUMBERSTRING(INT(N59*10000),2)&amp;"元整"</f>
        <v>壹亿壹仟叁佰肆拾肆万元整</v>
      </c>
      <c r="O60" s="2487"/>
    </row>
    <row r="61" spans="1:35" ht="13.5" thickBot="1">
      <c r="A61" s="3094" t="s">
        <v>2224</v>
      </c>
      <c r="B61" s="3094"/>
      <c r="C61" s="3094"/>
      <c r="D61" s="3094"/>
      <c r="E61" s="3094"/>
      <c r="F61" s="2483"/>
      <c r="G61" s="2483"/>
      <c r="H61" s="2491"/>
      <c r="I61" s="135"/>
      <c r="J61" s="1804">
        <f>J59+1</f>
        <v>6</v>
      </c>
      <c r="K61" s="3147" t="s">
        <v>2225</v>
      </c>
      <c r="L61" s="3147"/>
      <c r="M61" s="1756"/>
      <c r="N61" s="1757">
        <f ca="1">ROUND(N59*10000/'数据-汇总表'!E3,0)</f>
        <v>1911</v>
      </c>
      <c r="O61" s="2492"/>
    </row>
    <row r="62" spans="1:35" ht="12.75">
      <c r="A62" s="3110" t="s">
        <v>2226</v>
      </c>
      <c r="B62" s="3111"/>
      <c r="C62" s="1796"/>
      <c r="D62" s="1796" t="s">
        <v>2227</v>
      </c>
      <c r="E62" s="189" t="s">
        <v>2228</v>
      </c>
      <c r="F62" s="2483"/>
      <c r="G62" s="2483"/>
      <c r="H62" s="2491"/>
      <c r="I62" s="135"/>
    </row>
    <row r="63" spans="1:35" ht="12.75">
      <c r="A63" s="200" t="s">
        <v>775</v>
      </c>
      <c r="B63" s="190" t="s">
        <v>2229</v>
      </c>
      <c r="C63" s="191">
        <f ca="1">ROUND((C64+C65)/(1+'数据-取费表'!C42),0)</f>
        <v>24922</v>
      </c>
      <c r="D63" s="192"/>
      <c r="E63" s="193"/>
      <c r="F63" s="2483"/>
      <c r="G63" s="2483"/>
      <c r="H63" s="2491"/>
      <c r="I63" s="135"/>
      <c r="J63" s="3172" t="s">
        <v>2230</v>
      </c>
      <c r="K63" s="2493" t="s">
        <v>2231</v>
      </c>
      <c r="L63" s="1744">
        <f ca="1">IF(M49&gt;10000,M49*0.5%,IF(AND(M49&gt;1000,M49&lt;=10000),M49*1%,IF(AND(M49&gt;100,M49&lt;=1000),M49*3%,IF(AND(M49&gt;10,M49&lt;=100),M49*5%,M49*8%))))</f>
        <v>130.84</v>
      </c>
      <c r="M63" s="24">
        <f ca="1">ROUND(L63,1)</f>
        <v>130.80000000000001</v>
      </c>
      <c r="Z63" s="2417"/>
      <c r="AI63" s="2418"/>
    </row>
    <row r="64" spans="1:35" ht="14.25" customHeight="1">
      <c r="A64" s="194" t="s">
        <v>770</v>
      </c>
      <c r="B64" s="195" t="s">
        <v>2232</v>
      </c>
      <c r="C64" s="196">
        <f ca="1">D45</f>
        <v>26168</v>
      </c>
      <c r="D64" s="197" t="s">
        <v>32</v>
      </c>
      <c r="E64" s="198"/>
      <c r="F64" s="2483"/>
      <c r="G64" s="2483"/>
      <c r="H64" s="2491"/>
      <c r="I64" s="135"/>
      <c r="J64" s="3172"/>
      <c r="K64" s="2493" t="s">
        <v>2233</v>
      </c>
      <c r="L64" s="1744">
        <f ca="1">IF(M49&gt;2000,M49*0.5%,IF(AND(M49&gt;1000,M49&lt;=2000),M49*0.6%,IF(AND(M49&gt;500,M49&lt;=1000),M49*0.7%,IF(AND(M49&gt;200,M49&lt;=500),M49*0.8%,IF(AND(M49&gt;100,M49&lt;=200),M49*0.9%,IF(AND(M49&gt;50,M49&lt;=100),M49*1%,IF(AND(M49&gt;20,M49&lt;=50),M49*1.5%,IF(AND(M49&gt;10,M49&lt;=20),M49*2%,IF(AND(M49&gt;1,M49&lt;=10),M49*2.5%)))))))))</f>
        <v>130.84</v>
      </c>
      <c r="M64" s="24">
        <f t="shared" ref="M64:M65" ca="1" si="1">ROUND(L64,1)</f>
        <v>130.80000000000001</v>
      </c>
      <c r="N64" s="135" t="s">
        <v>2234</v>
      </c>
      <c r="Z64" s="2417"/>
      <c r="AI64" s="2418"/>
    </row>
    <row r="65" spans="1:35" ht="14.25" customHeight="1">
      <c r="A65" s="194" t="s">
        <v>771</v>
      </c>
      <c r="B65" s="195" t="s">
        <v>2235</v>
      </c>
      <c r="C65" s="199"/>
      <c r="D65" s="197"/>
      <c r="E65" s="198"/>
      <c r="F65" s="2483"/>
      <c r="G65" s="2483"/>
      <c r="H65" s="2491"/>
      <c r="I65" s="135"/>
      <c r="J65" s="3172"/>
      <c r="K65" s="2493" t="s">
        <v>2236</v>
      </c>
      <c r="L65" s="1744">
        <f ca="1">IF(M49&gt;1000,M49*0.1%,IF(AND(M49&gt;500,M49&lt;=1000),M49*0.5%,IF(AND(M49&gt;50,M49&lt;=500),M49*1%,IF(AND(M49&gt;1,M49&lt;=50),M49*1.5%))))</f>
        <v>26.167999999999999</v>
      </c>
      <c r="M65" s="24">
        <f t="shared" ca="1" si="1"/>
        <v>26.2</v>
      </c>
      <c r="N65" s="135" t="s">
        <v>2234</v>
      </c>
      <c r="Z65" s="2417"/>
      <c r="AI65" s="2418"/>
    </row>
    <row r="66" spans="1:35" ht="14.25" customHeight="1">
      <c r="A66" s="200" t="s">
        <v>772</v>
      </c>
      <c r="B66" s="201" t="s">
        <v>2237</v>
      </c>
      <c r="C66" s="202"/>
      <c r="D66" s="203" t="s">
        <v>32</v>
      </c>
      <c r="E66" s="1768" t="s">
        <v>1371</v>
      </c>
      <c r="F66" s="2483"/>
      <c r="G66" s="2483"/>
      <c r="H66" s="2491"/>
      <c r="I66" s="135"/>
      <c r="J66" s="3172"/>
      <c r="K66" s="2493" t="s">
        <v>2238</v>
      </c>
      <c r="L66" s="1744">
        <f ca="1">M49*0.5%</f>
        <v>130.84</v>
      </c>
      <c r="M66" s="24">
        <f ca="1">IF(L66&gt;0.5,0.5,ROUND(L66,0))</f>
        <v>0.5</v>
      </c>
      <c r="N66" s="135" t="s">
        <v>2239</v>
      </c>
      <c r="Z66" s="2417"/>
      <c r="AI66" s="2418"/>
    </row>
    <row r="67" spans="1:35" ht="14.25" customHeight="1">
      <c r="A67" s="200" t="s">
        <v>773</v>
      </c>
      <c r="B67" s="201" t="s">
        <v>2240</v>
      </c>
      <c r="C67" s="204">
        <f ca="1">C63-C66</f>
        <v>24922</v>
      </c>
      <c r="D67" s="197" t="s">
        <v>32</v>
      </c>
      <c r="E67" s="198"/>
      <c r="F67" s="2483"/>
      <c r="G67" s="2483"/>
      <c r="H67" s="2491"/>
      <c r="I67" s="135"/>
      <c r="J67" s="3172"/>
      <c r="K67" s="2493" t="s">
        <v>2241</v>
      </c>
      <c r="L67" s="1744">
        <f ca="1">IF(M49&gt;=10000,(8.25+(M49-10000)*0.01%),IF(AND(M49&gt;=8000,M49&lt;10000),(7.85+(M49-8000)*0.02%),IF(AND(M49&gt;=5000,M49&lt;8000),(6.65+(M49-5000)*0.04%),IF(AND(M49&gt;=2000,M49&lt;5000),(4.25+(PM49-2000)*0.08%),IF(AND(M49&gt;=1000,M49&lt;2000),(2.75+(M49-1000)*0.15%),IF(AND(M49&gt;=100,M49&lt;1000),(0.5+(M49-100)*0.25%),IF(AND(M49&gt;0,M49&lt;100),M49*0.5%)))))))</f>
        <v>9.8667999999999996</v>
      </c>
      <c r="M67" s="24">
        <f ca="1">ROUND(L67*0.9,1)</f>
        <v>8.9</v>
      </c>
      <c r="Z67" s="2417"/>
      <c r="AI67" s="2418"/>
    </row>
    <row r="68" spans="1:35" ht="14.25" customHeight="1" thickBot="1">
      <c r="A68" s="205" t="s">
        <v>774</v>
      </c>
      <c r="B68" s="206" t="s">
        <v>2242</v>
      </c>
      <c r="C68" s="207">
        <f ca="1">IF(C67&lt;=0,0,ROUND(C67*D68,0))</f>
        <v>1396</v>
      </c>
      <c r="D68" s="208">
        <f>'数据-取费表'!B41</f>
        <v>5.6000000000000001E-2</v>
      </c>
      <c r="E68" s="209"/>
      <c r="F68" s="2483"/>
      <c r="G68" s="2483"/>
      <c r="H68" s="2491"/>
      <c r="I68" s="135"/>
      <c r="J68" s="3172"/>
      <c r="K68" s="2493" t="s">
        <v>2243</v>
      </c>
      <c r="L68" s="1744">
        <f ca="1">IF(M49&gt;10000,M49*0.5%,IF(AND(M49&gt;5000,M49&lt;=10000),M49*1%,IF(AND(M49&gt;1000,M49&lt;=5000),M49*2%,IF(AND(M49&gt;200,M49&lt;=1000),M49*3%,M49*5%))))</f>
        <v>130.84</v>
      </c>
      <c r="M68" s="24">
        <f ca="1">ROUND(L68,1)</f>
        <v>130.80000000000001</v>
      </c>
      <c r="Z68" s="2417"/>
      <c r="AI68" s="2418"/>
    </row>
    <row r="69" spans="1:35" s="2440" customFormat="1" ht="16.5" customHeight="1">
      <c r="A69" s="2494"/>
      <c r="B69" s="2495"/>
      <c r="C69" s="2496"/>
      <c r="D69" s="2497"/>
      <c r="E69" s="2498"/>
      <c r="F69" s="2159"/>
      <c r="G69" s="2159"/>
      <c r="H69" s="2158"/>
      <c r="I69" s="2412"/>
      <c r="J69" s="3172"/>
      <c r="K69" s="2493" t="s">
        <v>2244</v>
      </c>
      <c r="L69" s="2499"/>
      <c r="M69" s="24">
        <f ca="1">ROUND(SUM(M63:M68),0)</f>
        <v>428</v>
      </c>
      <c r="N69" s="1745">
        <f ca="1">M69/M49</f>
        <v>1.6355854478752676E-2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1" t="s">
        <v>2245</v>
      </c>
      <c r="B70" s="3132"/>
      <c r="C70" s="3132"/>
      <c r="D70" s="3132"/>
      <c r="E70" s="3132"/>
      <c r="F70" s="3132"/>
      <c r="G70" s="3132"/>
      <c r="H70" s="31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0" t="s">
        <v>2226</v>
      </c>
      <c r="B71" s="3111"/>
      <c r="C71" s="1796"/>
      <c r="D71" s="1796"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24922</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150</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05" t="s">
        <v>2254</v>
      </c>
      <c r="F76" s="3082"/>
      <c r="G76" s="3082"/>
      <c r="H76" s="31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150</v>
      </c>
      <c r="D78" s="223">
        <f>'数据-取费表'!B43</f>
        <v>6.000000000000001E-3</v>
      </c>
      <c r="E78" s="3091" t="s">
        <v>2259</v>
      </c>
      <c r="F78" s="3092"/>
      <c r="G78" s="3092"/>
      <c r="H78" s="310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24772</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165.14666666666668</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14811</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1" t="s">
        <v>2263</v>
      </c>
      <c r="B83" s="3132"/>
      <c r="C83" s="3132"/>
      <c r="D83" s="3132"/>
      <c r="E83" s="3132"/>
      <c r="F83" s="3132"/>
      <c r="G83" s="3132"/>
      <c r="H83" s="31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0" t="s">
        <v>2226</v>
      </c>
      <c r="B84" s="3111"/>
      <c r="C84" s="1796"/>
      <c r="D84" s="1796"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24922</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150</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2"/>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091" t="s">
        <v>2272</v>
      </c>
      <c r="F91" s="3092"/>
      <c r="G91" s="3092"/>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091" t="s">
        <v>2276</v>
      </c>
      <c r="F92" s="3092"/>
      <c r="G92" s="3092"/>
      <c r="H92" s="310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150</v>
      </c>
      <c r="D93" s="223">
        <f>'数据-取费表'!B43</f>
        <v>6.000000000000001E-3</v>
      </c>
      <c r="E93" s="3091" t="s">
        <v>2259</v>
      </c>
      <c r="F93" s="3092"/>
      <c r="G93" s="3092"/>
      <c r="H93" s="310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02" t="s">
        <v>2280</v>
      </c>
      <c r="F94" s="3103"/>
      <c r="G94" s="3103"/>
      <c r="H94" s="310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24772</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165.14666666666668</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14811</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76" t="s">
        <v>2282</v>
      </c>
      <c r="B100" s="3077"/>
      <c r="C100" s="3077"/>
      <c r="D100" s="3093"/>
      <c r="E100" s="3077" t="s">
        <v>2283</v>
      </c>
      <c r="F100" s="3077"/>
      <c r="G100" s="3077"/>
      <c r="H100" s="3093"/>
      <c r="I100" s="135"/>
    </row>
    <row r="101" spans="1:35" ht="18.75" customHeight="1">
      <c r="A101" s="3155" t="s">
        <v>2284</v>
      </c>
      <c r="B101" s="3156"/>
      <c r="C101" s="733" t="str">
        <f>C4</f>
        <v>成本法</v>
      </c>
      <c r="D101" s="734" t="str">
        <f>D4</f>
        <v>假设开发法</v>
      </c>
      <c r="E101" s="3169" t="s">
        <v>2285</v>
      </c>
      <c r="F101" s="3123"/>
      <c r="G101" s="2514" t="s">
        <v>2286</v>
      </c>
      <c r="H101" s="1041">
        <f ca="1">H118</f>
        <v>26168</v>
      </c>
      <c r="I101" s="135"/>
    </row>
    <row r="102" spans="1:35" ht="18.75" customHeight="1">
      <c r="A102" s="3125" t="s">
        <v>2287</v>
      </c>
      <c r="B102" s="2514" t="s">
        <v>2286</v>
      </c>
      <c r="C102" s="733">
        <f ca="1">C19</f>
        <v>26801</v>
      </c>
      <c r="D102" s="734">
        <f ca="1">D19</f>
        <v>25534</v>
      </c>
      <c r="E102" s="3169"/>
      <c r="F102" s="3123"/>
      <c r="G102" s="2514" t="s">
        <v>2288</v>
      </c>
      <c r="H102" s="368">
        <f ca="1">I118</f>
        <v>4408</v>
      </c>
      <c r="I102" s="135"/>
    </row>
    <row r="103" spans="1:35" ht="42.75" customHeight="1">
      <c r="A103" s="3125"/>
      <c r="B103" s="2514" t="s">
        <v>2288</v>
      </c>
      <c r="C103" s="735">
        <f ca="1">C20</f>
        <v>4515</v>
      </c>
      <c r="D103" s="736">
        <f ca="1">D20</f>
        <v>4301</v>
      </c>
      <c r="E103" s="3164" t="s">
        <v>2289</v>
      </c>
      <c r="F103" s="3165"/>
      <c r="G103" s="2515" t="s">
        <v>2290</v>
      </c>
      <c r="H103" s="1041">
        <f>IF(D36="正常操作",H104+H105+H106,H105+H106)</f>
        <v>0</v>
      </c>
      <c r="I103" s="135"/>
    </row>
    <row r="104" spans="1:35" ht="18.75" customHeight="1">
      <c r="A104" s="3125" t="s">
        <v>2291</v>
      </c>
      <c r="B104" s="2516" t="s">
        <v>2286</v>
      </c>
      <c r="C104" s="737">
        <f ca="1">H118</f>
        <v>26168</v>
      </c>
      <c r="D104" s="738"/>
      <c r="E104" s="2260" t="s">
        <v>2292</v>
      </c>
      <c r="F104" s="2251"/>
      <c r="G104" s="2515" t="s">
        <v>2290</v>
      </c>
      <c r="H104" s="1042" t="str">
        <f>IF(D36="同一抵押权人同一抵押物续贷",C36&amp;"（未扣减，详见特别提示）",C36)</f>
        <v>129000（未扣减，详见特别提示）</v>
      </c>
      <c r="I104" s="135"/>
    </row>
    <row r="105" spans="1:35" ht="18.75" customHeight="1" thickBot="1">
      <c r="A105" s="3126"/>
      <c r="B105" s="2517" t="s">
        <v>2288</v>
      </c>
      <c r="C105" s="739">
        <f ca="1">I118</f>
        <v>4408</v>
      </c>
      <c r="D105" s="740"/>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0</v>
      </c>
      <c r="I106" s="135"/>
    </row>
    <row r="107" spans="1:35" ht="18.75" customHeight="1">
      <c r="A107" s="135"/>
      <c r="B107" s="135"/>
      <c r="C107" s="135"/>
      <c r="D107" s="135"/>
      <c r="E107" s="3122" t="str">
        <f>IF(项目基本情况!E8="已注销","——","3.房地产抵押价值")</f>
        <v>3.房地产抵押价值</v>
      </c>
      <c r="F107" s="3123"/>
      <c r="G107" s="2514" t="s">
        <v>2286</v>
      </c>
      <c r="H107" s="1041">
        <f ca="1">IF(E107="——","——",H101-H103)</f>
        <v>26168</v>
      </c>
      <c r="I107" s="135"/>
    </row>
    <row r="108" spans="1:35" ht="18.75" customHeight="1" thickBot="1">
      <c r="A108" s="135"/>
      <c r="B108" s="135"/>
      <c r="C108" s="135"/>
      <c r="D108" s="135"/>
      <c r="E108" s="3122"/>
      <c r="F108" s="3123"/>
      <c r="G108" s="2514" t="s">
        <v>2288</v>
      </c>
      <c r="H108" s="368">
        <f ca="1">ROUND(H107*10000/'数据-汇总表'!E3,0)</f>
        <v>4408</v>
      </c>
      <c r="I108" s="135"/>
    </row>
    <row r="109" spans="1:35" ht="18.75" hidden="1" customHeight="1">
      <c r="A109" s="135"/>
      <c r="B109" s="135"/>
      <c r="C109" s="135"/>
      <c r="D109" s="135"/>
      <c r="E109" s="3122" t="str">
        <f>IF(项目基本情况!E8="已注销及未注销","4.抵押担保权已注销时的房地产抵押价值",IF(项目基本情况!E8="已注销","3.抵押担保权已注销时的房地产抵押价值","——"))</f>
        <v>——</v>
      </c>
      <c r="F109" s="3123"/>
      <c r="G109" s="2514" t="s">
        <v>2286</v>
      </c>
      <c r="H109" s="345" t="str">
        <f>IF(E109="——","——",H101-H105-H106)</f>
        <v>——</v>
      </c>
      <c r="I109" s="135"/>
    </row>
    <row r="110" spans="1:35" ht="18.75" hidden="1" customHeight="1">
      <c r="A110" s="135"/>
      <c r="B110" s="135"/>
      <c r="C110" s="135"/>
      <c r="D110" s="135"/>
      <c r="E110" s="3122"/>
      <c r="F110" s="3123"/>
      <c r="G110" s="2514" t="s">
        <v>2288</v>
      </c>
      <c r="H110" s="368" t="str">
        <f>IF(H109="——","——",ROUND(H109*10000/'数据-汇总表'!E3,0))</f>
        <v>——</v>
      </c>
      <c r="I110" s="135"/>
    </row>
    <row r="111" spans="1:35" ht="18.75" hidden="1" customHeight="1">
      <c r="A111" s="135"/>
      <c r="B111" s="135"/>
      <c r="C111" s="135"/>
      <c r="D111" s="135"/>
      <c r="E111" s="3157" t="str">
        <f>IF(项目基本情况!E9="抵押净值",IF(OR(项目基本情况!E8="已注销",项目基本情况!E8="房地产抵押价值"),"4.抵押净值","5.抵押净值"),"——")</f>
        <v>——</v>
      </c>
      <c r="F111" s="3158"/>
      <c r="G111" s="2514" t="s">
        <v>2286</v>
      </c>
      <c r="H111" s="1041" t="str">
        <f>IF(E111="——","——",N59)</f>
        <v>——</v>
      </c>
      <c r="I111" s="135"/>
    </row>
    <row r="112" spans="1:35" ht="18.75" hidden="1" customHeight="1" thickBot="1">
      <c r="A112" s="135"/>
      <c r="B112" s="135"/>
      <c r="C112" s="135"/>
      <c r="D112" s="135"/>
      <c r="E112" s="3159"/>
      <c r="F112" s="3160"/>
      <c r="G112" s="2519" t="s">
        <v>2288</v>
      </c>
      <c r="H112" s="787" t="str">
        <f>IF(E111="——","——",N61)</f>
        <v>——</v>
      </c>
      <c r="I112" s="135"/>
    </row>
    <row r="113" spans="1:11" ht="18.75" customHeight="1">
      <c r="A113" s="135"/>
      <c r="B113" s="135"/>
      <c r="C113" s="135"/>
      <c r="D113" s="135"/>
      <c r="E113" s="3127" t="s">
        <v>2294</v>
      </c>
      <c r="F113" s="3127"/>
      <c r="G113" s="3127"/>
      <c r="H113" s="3127"/>
      <c r="I113" s="135"/>
    </row>
    <row r="114" spans="1:11" ht="3.75" customHeight="1">
      <c r="A114" s="2412"/>
      <c r="B114" s="2412"/>
      <c r="C114" s="2412"/>
      <c r="D114" s="2412"/>
      <c r="E114" s="2490"/>
      <c r="F114" s="2490"/>
      <c r="G114" s="2490"/>
      <c r="H114" s="2490"/>
      <c r="I114" s="2412"/>
    </row>
    <row r="115" spans="1:11" ht="18.75" customHeight="1">
      <c r="A115" s="3140" t="s">
        <v>2296</v>
      </c>
      <c r="B115" s="3141"/>
      <c r="C115" s="3141"/>
      <c r="D115" s="3141"/>
      <c r="E115" s="3141"/>
      <c r="F115" s="3141"/>
      <c r="G115" s="3141"/>
      <c r="H115" s="3141"/>
      <c r="I115" s="3142"/>
    </row>
    <row r="116" spans="1:11" ht="27" customHeight="1">
      <c r="A116" s="3032" t="s">
        <v>2297</v>
      </c>
      <c r="B116" s="3128" t="s">
        <v>3147</v>
      </c>
      <c r="C116" s="3128" t="s">
        <v>3146</v>
      </c>
      <c r="D116" s="3144" t="s">
        <v>2298</v>
      </c>
      <c r="E116" s="3145"/>
      <c r="F116" s="3136" t="s">
        <v>2299</v>
      </c>
      <c r="G116" s="3136"/>
      <c r="H116" s="3032" t="s">
        <v>2300</v>
      </c>
      <c r="I116" s="3032"/>
    </row>
    <row r="117" spans="1:11" ht="18.75" customHeight="1">
      <c r="A117" s="3032"/>
      <c r="B117" s="3129"/>
      <c r="C117" s="3129"/>
      <c r="D117" s="1790" t="s">
        <v>2301</v>
      </c>
      <c r="E117" s="1790" t="s">
        <v>2302</v>
      </c>
      <c r="F117" s="1790" t="s">
        <v>2301</v>
      </c>
      <c r="G117" s="1790" t="s">
        <v>2303</v>
      </c>
      <c r="H117" s="1790" t="s">
        <v>2301</v>
      </c>
      <c r="I117" s="1790" t="s">
        <v>2303</v>
      </c>
    </row>
    <row r="118" spans="1:11" ht="24.75" customHeight="1">
      <c r="A118" s="2520" t="str">
        <f>项目基本情况!S2</f>
        <v>广东省惠州市惠城区小金口街道办事处汤泉片区（规划编号：B05-08）出让国有建设用地使用权及在建建筑物房地产</v>
      </c>
      <c r="B118" s="1790">
        <f>M18</f>
        <v>59366.369999999995</v>
      </c>
      <c r="C118" s="1790">
        <f>M19</f>
        <v>18569.88</v>
      </c>
      <c r="D118" s="1790">
        <f ca="1">ROUND(IF(D32="总价",C34,E118*B118/10000),0)</f>
        <v>17873</v>
      </c>
      <c r="E118" s="1790">
        <f ca="1">ROUND(IF(C33="自定义",IF(D32="楼面单价",C34,D118*10000/B118),I118-G118),0)</f>
        <v>3011</v>
      </c>
      <c r="F118" s="1790">
        <f ca="1">ROUND(IF(D32="总价",C35,G118*B118/10000),0)</f>
        <v>8295</v>
      </c>
      <c r="G118" s="1790">
        <f ca="1">ROUND(IF(D32="楼面单价",C35,F118*10000/B118),0)</f>
        <v>1397</v>
      </c>
      <c r="H118" s="1790">
        <f ca="1">ROUND(IF(D32="总价",C32,I118*B118/10000),0)</f>
        <v>26168</v>
      </c>
      <c r="I118" s="1790">
        <f ca="1">ROUND(IF(D32="楼面单价",C32,H118*10000/B118),0)</f>
        <v>4408</v>
      </c>
    </row>
    <row r="119" spans="1:11" ht="18.75" customHeight="1">
      <c r="A119" s="3032" t="s">
        <v>2304</v>
      </c>
      <c r="B119" s="3032"/>
      <c r="C119" s="3032"/>
      <c r="D119" s="3133" t="str">
        <f ca="1">NUMBERSTRING(INT(D118*10000),2)&amp;"元整"</f>
        <v>壹亿柒仟捌佰柒拾叁万元整</v>
      </c>
      <c r="E119" s="3135"/>
      <c r="F119" s="3133" t="str">
        <f ca="1">NUMBERSTRING(INT(F118*10000),2)&amp;"元整"</f>
        <v>捌仟贰佰玖拾伍万元整</v>
      </c>
      <c r="G119" s="3135"/>
      <c r="H119" s="3133" t="str">
        <f ca="1">NUMBERSTRING(INT(H118*10000),2)&amp;"元整"</f>
        <v>贰亿陆仟壹佰陆拾捌万元整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7" t="str">
        <f>IF(D120=0,"故，本次评估不存在"&amp;A120,"故，本次评估"&amp;A120&amp;"为人民币"&amp;D120&amp;"万元整。")</f>
        <v>故，本次评估不存在估价师知悉的法定优先受偿款</v>
      </c>
    </row>
    <row r="121" spans="1:11" ht="18.75" customHeight="1">
      <c r="A121" s="3137" t="s">
        <v>2304</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房地产抵押价值</v>
      </c>
      <c r="B122" s="3124"/>
      <c r="C122" s="3124"/>
      <c r="D122" s="3161">
        <f ca="1">H107</f>
        <v>26168</v>
      </c>
      <c r="E122" s="3162"/>
      <c r="F122" s="3162"/>
      <c r="G122" s="3162"/>
      <c r="H122" s="3162"/>
      <c r="I122" s="3163"/>
    </row>
    <row r="123" spans="1:11" ht="18.75" customHeight="1">
      <c r="A123" s="3032" t="s">
        <v>2304</v>
      </c>
      <c r="B123" s="3032"/>
      <c r="C123" s="3032"/>
      <c r="D123" s="3133" t="str">
        <f ca="1">NUMBERSTRING(INT(D122*10000),2)&amp;"元整"</f>
        <v>贰亿陆仟壹佰陆拾捌万元整</v>
      </c>
      <c r="E123" s="3134"/>
      <c r="F123" s="3134"/>
      <c r="G123" s="3134"/>
      <c r="H123" s="3134"/>
      <c r="I123" s="3135"/>
    </row>
    <row r="124" spans="1:11" ht="18.75" hidden="1" customHeight="1">
      <c r="A124" s="3124" t="str">
        <f>IF(项目基本情况!B9="房地产市场价值","",MID(E109,3,LEN(E109)-2))</f>
        <v/>
      </c>
      <c r="B124" s="3124"/>
      <c r="C124" s="3124"/>
      <c r="D124" s="3161" t="str">
        <f>H109</f>
        <v>——</v>
      </c>
      <c r="E124" s="3162"/>
      <c r="F124" s="3162"/>
      <c r="G124" s="3162"/>
      <c r="H124" s="3162"/>
      <c r="I124" s="3163"/>
    </row>
    <row r="125" spans="1:11" ht="18.75" hidden="1" customHeight="1">
      <c r="A125" s="3032" t="s">
        <v>2304</v>
      </c>
      <c r="B125" s="3032"/>
      <c r="C125" s="3032"/>
      <c r="D125" s="3133" t="e">
        <f>NUMBERSTRING(INT(D124*10000),2)&amp;"元整"</f>
        <v>#VALUE!</v>
      </c>
      <c r="E125" s="3134"/>
      <c r="F125" s="3134"/>
      <c r="G125" s="3134"/>
      <c r="H125" s="3134"/>
      <c r="I125" s="3135"/>
    </row>
    <row r="126" spans="1:11" ht="18.75" hidden="1" customHeight="1">
      <c r="A126" s="3124" t="str">
        <f>IF(项目基本情况!B9="房地产市场价值","",MID(E111,3,LEN(E111)-2))</f>
        <v/>
      </c>
      <c r="B126" s="3124"/>
      <c r="C126" s="3124"/>
      <c r="D126" s="3161" t="str">
        <f>H111</f>
        <v>——</v>
      </c>
      <c r="E126" s="3162"/>
      <c r="F126" s="3162"/>
      <c r="G126" s="3162"/>
      <c r="H126" s="3162"/>
      <c r="I126" s="3163"/>
    </row>
    <row r="127" spans="1:11" ht="18.75" hidden="1" customHeight="1">
      <c r="A127" s="3032" t="s">
        <v>2304</v>
      </c>
      <c r="B127" s="3032"/>
      <c r="C127" s="3032"/>
      <c r="D127" s="3133" t="e">
        <f>NUMBERSTRING(INT(D126*10000),2)&amp;"元整"</f>
        <v>#VALUE!</v>
      </c>
      <c r="E127" s="3134"/>
      <c r="F127" s="3134"/>
      <c r="G127" s="3134"/>
      <c r="H127" s="3134"/>
      <c r="I127" s="3135"/>
    </row>
    <row r="128" spans="1:11" ht="21.75" customHeight="1">
      <c r="A128" s="3143" t="s">
        <v>2305</v>
      </c>
      <c r="B128" s="3143"/>
      <c r="C128" s="3143"/>
      <c r="D128" s="3143"/>
      <c r="E128" s="3143"/>
      <c r="F128" s="3143"/>
      <c r="G128" s="3143"/>
      <c r="H128" s="3143"/>
      <c r="I128" s="3143"/>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2308</v>
      </c>
      <c r="G135" s="2538"/>
      <c r="H135" s="2538"/>
      <c r="I135" s="2539" t="s">
        <v>2309</v>
      </c>
    </row>
    <row r="136" spans="1:35" ht="21.75" customHeight="1">
      <c r="A136" s="792"/>
      <c r="B136" s="2540" t="s">
        <v>2310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2311</v>
      </c>
    </row>
    <row r="139" spans="1:35" ht="21.75" customHeight="1">
      <c r="A139" s="792"/>
      <c r="B139" s="2540" t="s">
        <v>2312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2311</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88" t="str">
        <f>项目基本情况!B1</f>
        <v>广东省惠州市惠城区小金口街道办事处汤泉片区（规划编号：B05-08）出让国有建设用地使用权及在建建筑物房地产抵押价值预评估</v>
      </c>
      <c r="C37" s="2988"/>
      <c r="D37" s="2988"/>
      <c r="E37" s="2988"/>
      <c r="F37" s="2988"/>
      <c r="G37" s="2988"/>
      <c r="H37" s="2988"/>
      <c r="I37" s="2988"/>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D20" sqref="D2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2313</v>
      </c>
      <c r="B1" s="1932"/>
      <c r="C1" s="239"/>
      <c r="D1" s="239"/>
      <c r="E1" s="239"/>
      <c r="F1" s="239"/>
      <c r="G1" s="1375">
        <f>MATCH(B1,'数据-取费表'!A6:A16,0)+5</f>
        <v>10</v>
      </c>
    </row>
    <row r="2" spans="1:9" s="241" customFormat="1" ht="18" customHeight="1">
      <c r="A2" s="242" t="s">
        <v>2314</v>
      </c>
      <c r="B2" s="243">
        <f ca="1">IF(D2="——",C52,C52-E2)</f>
        <v>26801</v>
      </c>
      <c r="C2" s="240" t="s">
        <v>2315</v>
      </c>
      <c r="D2" s="2543" t="s">
        <v>70</v>
      </c>
      <c r="E2" s="1436" t="e">
        <f ca="1">SUMIF(INDIRECT("'"&amp;G2&amp;"'"&amp;"!A:A"),"承租人权益价值",INDIRECT("'"&amp;G2&amp;"'"&amp;"!c:c"))</f>
        <v>#REF!</v>
      </c>
      <c r="F2" s="2544" t="s">
        <v>2315</v>
      </c>
      <c r="G2" s="2545"/>
    </row>
    <row r="3" spans="1:9" s="241" customFormat="1" ht="18" customHeight="1" thickBot="1">
      <c r="A3" s="244" t="s">
        <v>2316</v>
      </c>
      <c r="B3" s="245">
        <f ca="1">ROUND(B2*10000/(IF(B1="",'数据-汇总表'!E3,INDIRECT("'数据-取费表'!k"&amp;$G$1))),0)</f>
        <v>4515</v>
      </c>
      <c r="C3" s="240" t="s">
        <v>2317</v>
      </c>
      <c r="D3" s="240"/>
      <c r="E3" s="240"/>
      <c r="F3" s="240"/>
      <c r="G3" s="240"/>
    </row>
    <row r="4" spans="1:9" s="249" customFormat="1" ht="15.75">
      <c r="A4" s="246" t="s">
        <v>2318</v>
      </c>
      <c r="B4" s="247"/>
      <c r="C4" s="247"/>
      <c r="D4" s="247"/>
      <c r="E4" s="247"/>
      <c r="F4" s="247"/>
      <c r="G4" s="248"/>
    </row>
    <row r="5" spans="1:9" s="255" customFormat="1" ht="13.5" customHeight="1">
      <c r="A5" s="296" t="s">
        <v>2319</v>
      </c>
      <c r="B5" s="251" t="s">
        <v>2320</v>
      </c>
      <c r="C5" s="252">
        <f>C6+C7+C8</f>
        <v>15533</v>
      </c>
      <c r="D5" s="252" t="s">
        <v>2321</v>
      </c>
      <c r="E5" s="253" t="s">
        <v>2322</v>
      </c>
      <c r="F5" s="253" t="s">
        <v>2323</v>
      </c>
      <c r="G5" s="254"/>
    </row>
    <row r="6" spans="1:9" s="255" customFormat="1" ht="13.5" customHeight="1">
      <c r="A6" s="945" t="s">
        <v>2324</v>
      </c>
      <c r="B6" s="256" t="s">
        <v>2325</v>
      </c>
      <c r="C6" s="257">
        <f>'土地比较法-住宅、综合'!B2</f>
        <v>15073</v>
      </c>
      <c r="D6" s="258"/>
      <c r="E6" s="259"/>
      <c r="F6" s="259"/>
      <c r="G6" s="260"/>
    </row>
    <row r="7" spans="1:9" s="255" customFormat="1" ht="13.5" customHeight="1">
      <c r="A7" s="945" t="s">
        <v>2326</v>
      </c>
      <c r="B7" s="256" t="s">
        <v>2327</v>
      </c>
      <c r="C7" s="261">
        <f>ROUND(C6*F7,0)</f>
        <v>460</v>
      </c>
      <c r="D7" s="261"/>
      <c r="E7" s="259"/>
      <c r="F7" s="262">
        <f>'数据-取费表'!B48+'数据-取费表'!B49</f>
        <v>3.0499999999999999E-2</v>
      </c>
      <c r="G7" s="260"/>
    </row>
    <row r="8" spans="1:9" s="264" customFormat="1">
      <c r="A8" s="945" t="s">
        <v>2328</v>
      </c>
      <c r="B8" s="2985" t="s">
        <v>2329</v>
      </c>
      <c r="C8" s="2986">
        <f>IF(G8="已包含在土地购买价格中","0",IF(B1="",'数据-取费表'!B29,IF(G9="全部缴纳",C9+C10,H9)))</f>
        <v>0</v>
      </c>
      <c r="D8" s="263"/>
      <c r="E8" s="261"/>
      <c r="F8" s="262"/>
      <c r="G8" s="2546" t="s">
        <v>3178</v>
      </c>
    </row>
    <row r="9" spans="1:9" s="255" customFormat="1" ht="13.5" customHeight="1">
      <c r="A9" s="946" t="s">
        <v>800</v>
      </c>
      <c r="B9" s="265" t="s">
        <v>2330</v>
      </c>
      <c r="C9" s="266">
        <f ca="1">ROUND(D9*E9/10000,0)</f>
        <v>200</v>
      </c>
      <c r="D9" s="1028">
        <f ca="1">IF(B1="",'数据-汇总表'!E5,IF(INDIRECT("'数据-取费表'!c"&amp;$G$1)="住宅",INDIRECT("'数据-取费表'!k"&amp;$G$1),0))</f>
        <v>22416.510000000002</v>
      </c>
      <c r="E9" s="266">
        <f>'数据-取费表'!B27</f>
        <v>89</v>
      </c>
      <c r="F9" s="262"/>
      <c r="G9" s="2547" t="s">
        <v>3217</v>
      </c>
      <c r="H9" s="1386"/>
      <c r="I9" s="2548" t="s">
        <v>2331</v>
      </c>
    </row>
    <row r="10" spans="1:9" s="255" customFormat="1" ht="13.5" customHeight="1">
      <c r="A10" s="946" t="s">
        <v>801</v>
      </c>
      <c r="B10" s="265" t="s">
        <v>2332</v>
      </c>
      <c r="C10" s="266">
        <f ca="1">ROUND(D10*E10/10000,0)</f>
        <v>329</v>
      </c>
      <c r="D10" s="1028">
        <f ca="1">IF(B1="",'数据-汇总表'!E6,IF(INDIRECT("'数据-取费表'!c"&amp;$G$1)="住宅",INDIRECT("'数据-取费表'!s"&amp;$G$1),INDIRECT("'数据-取费表'!k"&amp;$G$1)+INDIRECT("'数据-取费表'!s"&amp;$G$1)))</f>
        <v>36949.859999999993</v>
      </c>
      <c r="E10" s="266">
        <f>'数据-取费表'!B28</f>
        <v>89</v>
      </c>
      <c r="F10" s="262"/>
      <c r="G10" s="267"/>
    </row>
    <row r="11" spans="1:9" s="255" customFormat="1" ht="13.5" hidden="1" customHeight="1">
      <c r="A11" s="268" t="s">
        <v>7</v>
      </c>
      <c r="B11" s="256" t="s">
        <v>2333</v>
      </c>
      <c r="C11" s="252"/>
      <c r="D11" s="1030"/>
      <c r="E11" s="259"/>
      <c r="F11" s="259"/>
      <c r="G11" s="260"/>
    </row>
    <row r="12" spans="1:9" s="255" customFormat="1" ht="13.5" hidden="1" customHeight="1">
      <c r="A12" s="268" t="s">
        <v>8</v>
      </c>
      <c r="B12" s="256" t="s">
        <v>2334</v>
      </c>
      <c r="C12" s="252">
        <v>0</v>
      </c>
      <c r="D12" s="1030"/>
      <c r="E12" s="269"/>
      <c r="F12" s="262">
        <v>3.0499999999999999E-2</v>
      </c>
      <c r="G12" s="260"/>
    </row>
    <row r="13" spans="1:9" s="255" customFormat="1" ht="13.5" hidden="1" customHeight="1">
      <c r="A13" s="268" t="s">
        <v>9</v>
      </c>
      <c r="B13" s="256" t="s">
        <v>2335</v>
      </c>
      <c r="C13" s="252"/>
      <c r="D13" s="1030"/>
      <c r="E13" s="259"/>
      <c r="F13" s="259"/>
      <c r="G13" s="260"/>
    </row>
    <row r="14" spans="1:9" s="255" customFormat="1" ht="13.5" hidden="1" customHeight="1">
      <c r="A14" s="268" t="s">
        <v>10</v>
      </c>
      <c r="B14" s="256" t="s">
        <v>2336</v>
      </c>
      <c r="C14" s="252"/>
      <c r="D14" s="1030"/>
      <c r="E14" s="259"/>
      <c r="F14" s="259"/>
      <c r="G14" s="260" t="s">
        <v>2337</v>
      </c>
    </row>
    <row r="15" spans="1:9" s="255" customFormat="1" ht="13.5" hidden="1" customHeight="1">
      <c r="A15" s="268" t="s">
        <v>11</v>
      </c>
      <c r="B15" s="256" t="s">
        <v>2338</v>
      </c>
      <c r="C15" s="261"/>
      <c r="D15" s="1030"/>
      <c r="E15" s="259"/>
      <c r="F15" s="259"/>
      <c r="G15" s="260" t="s">
        <v>2339</v>
      </c>
    </row>
    <row r="16" spans="1:9" s="255" customFormat="1" ht="13.5" hidden="1" customHeight="1">
      <c r="A16" s="268" t="s">
        <v>12</v>
      </c>
      <c r="B16" s="256" t="s">
        <v>2336</v>
      </c>
      <c r="C16" s="261"/>
      <c r="D16" s="1030"/>
      <c r="E16" s="259"/>
      <c r="F16" s="259"/>
      <c r="G16" s="260"/>
    </row>
    <row r="17" spans="1:7" s="255" customFormat="1" ht="13.5" hidden="1" customHeight="1">
      <c r="A17" s="268" t="s">
        <v>13</v>
      </c>
      <c r="B17" s="256" t="s">
        <v>2340</v>
      </c>
      <c r="C17" s="270"/>
      <c r="D17" s="1031"/>
      <c r="E17" s="270"/>
      <c r="F17" s="270"/>
      <c r="G17" s="260" t="s">
        <v>2339</v>
      </c>
    </row>
    <row r="18" spans="1:7" s="255" customFormat="1" ht="13.5" hidden="1" customHeight="1">
      <c r="A18" s="268" t="s">
        <v>14</v>
      </c>
      <c r="B18" s="256" t="s">
        <v>2341</v>
      </c>
      <c r="C18" s="261">
        <v>0</v>
      </c>
      <c r="D18" s="1030"/>
      <c r="E18" s="259"/>
      <c r="F18" s="262">
        <v>3.0499999999999999E-2</v>
      </c>
      <c r="G18" s="260" t="s">
        <v>2342</v>
      </c>
    </row>
    <row r="19" spans="1:7" s="264" customFormat="1" ht="13.5" customHeight="1">
      <c r="A19" s="296" t="s">
        <v>2343</v>
      </c>
      <c r="B19" s="251" t="s">
        <v>2344</v>
      </c>
      <c r="C19" s="252" t="str">
        <f>IF(G19="已包含在土地取得成本中","0",ROUND(D19*E19/10000,0))</f>
        <v>0</v>
      </c>
      <c r="D19" s="1032">
        <f ca="1">D9+D10</f>
        <v>59366.369999999995</v>
      </c>
      <c r="E19" s="252">
        <f>'数据-取费表'!B31</f>
        <v>200</v>
      </c>
      <c r="F19" s="272"/>
      <c r="G19" s="2546" t="s">
        <v>3179</v>
      </c>
    </row>
    <row r="20" spans="1:7" s="255" customFormat="1" ht="13.5" customHeight="1">
      <c r="A20" s="296" t="s">
        <v>2345</v>
      </c>
      <c r="B20" s="251" t="s">
        <v>2346</v>
      </c>
      <c r="C20" s="273">
        <f>ROUND((C5+C19)*F20,0)</f>
        <v>311</v>
      </c>
      <c r="D20" s="273"/>
      <c r="E20" s="273"/>
      <c r="F20" s="274">
        <f>'数据-取费表'!B37</f>
        <v>0.02</v>
      </c>
      <c r="G20" s="275" t="s">
        <v>2347</v>
      </c>
    </row>
    <row r="21" spans="1:7" s="255" customFormat="1" ht="13.5" customHeight="1">
      <c r="A21" s="296" t="s">
        <v>2348</v>
      </c>
      <c r="B21" s="251" t="s">
        <v>2349</v>
      </c>
      <c r="C21" s="276">
        <f>F21</f>
        <v>0.01</v>
      </c>
      <c r="D21" s="277" t="s">
        <v>2350</v>
      </c>
      <c r="E21" s="273"/>
      <c r="F21" s="274">
        <f>'数据-取费表'!B38</f>
        <v>0.01</v>
      </c>
      <c r="G21" s="275" t="s">
        <v>2351</v>
      </c>
    </row>
    <row r="22" spans="1:7" s="255" customFormat="1" ht="13.5" customHeight="1">
      <c r="A22" s="296" t="s">
        <v>2352</v>
      </c>
      <c r="B22" s="251" t="s">
        <v>2353</v>
      </c>
      <c r="C22" s="1350">
        <f ca="1">ROUND(SUM(C23:C25),0)</f>
        <v>745</v>
      </c>
      <c r="D22" s="276">
        <f ca="1">C26</f>
        <v>2.0000000000000001E-4</v>
      </c>
      <c r="E22" s="277" t="s">
        <v>2350</v>
      </c>
      <c r="F22" s="278">
        <f ca="1">'数据-取费表'!B40</f>
        <v>4.7500000000000001E-2</v>
      </c>
      <c r="G22" s="275" t="str">
        <f>IF('数据-取费表'!B22&lt;=1,"单利计息","复利计息")</f>
        <v>复利计息</v>
      </c>
    </row>
    <row r="23" spans="1:7" s="255" customFormat="1" ht="13.5" customHeight="1">
      <c r="A23" s="947" t="s">
        <v>2354</v>
      </c>
      <c r="B23" s="256" t="s">
        <v>2355</v>
      </c>
      <c r="C23" s="1351">
        <f ca="1">ROUND(IF('数据-取费表'!B22&lt;=1,C5*F22*'数据-取费表'!B23,C5*(POWER((1+F22),'数据-取费表'!B23)-1)),0)</f>
        <v>738</v>
      </c>
      <c r="D23" s="279"/>
      <c r="E23" s="279"/>
      <c r="F23" s="280"/>
      <c r="G23" s="281" t="s">
        <v>2356</v>
      </c>
    </row>
    <row r="24" spans="1:7" s="255" customFormat="1" ht="13.5" customHeight="1">
      <c r="A24" s="947" t="s">
        <v>2357</v>
      </c>
      <c r="B24" s="256" t="s">
        <v>2358</v>
      </c>
      <c r="C24" s="1351">
        <f ca="1">ROUND(IF('数据-取费表'!B22&lt;=1,C19*F22*('数据-取费表'!B19/2+'数据-取费表'!B21),C19*(POWER((1+F22),('数据-取费表'!B19/2+'数据-取费表'!B21))-1)),0)</f>
        <v>0</v>
      </c>
      <c r="D24" s="279"/>
      <c r="E24" s="279"/>
      <c r="F24" s="280"/>
      <c r="G24" s="281" t="s">
        <v>2359</v>
      </c>
    </row>
    <row r="25" spans="1:7" s="255" customFormat="1" ht="24">
      <c r="A25" s="947" t="s">
        <v>2360</v>
      </c>
      <c r="B25" s="256" t="s">
        <v>2361</v>
      </c>
      <c r="C25" s="1351">
        <f ca="1">ROUND(IF('数据-取费表'!B22&lt;=1,C20*F22*'数据-取费表'!B23/2,C20*(POWER((1+F22),'数据-取费表'!B23/2)-1)),0)</f>
        <v>7</v>
      </c>
      <c r="D25" s="279"/>
      <c r="E25" s="282"/>
      <c r="F25" s="280"/>
      <c r="G25" s="283" t="s">
        <v>2362</v>
      </c>
    </row>
    <row r="26" spans="1:7" s="255" customFormat="1">
      <c r="A26" s="947" t="s">
        <v>795</v>
      </c>
      <c r="B26" s="256" t="s">
        <v>2363</v>
      </c>
      <c r="C26" s="279">
        <f ca="1">ROUND(IF('数据-取费表'!B22&lt;=1,F21*F22*'数据-取费表'!B23/2,F21*(POWER((1+F22),'数据-取费表'!B23/2)-1)),4)</f>
        <v>2.0000000000000001E-4</v>
      </c>
      <c r="D26" s="279"/>
      <c r="E26" s="282"/>
      <c r="F26" s="280"/>
      <c r="G26" s="284"/>
    </row>
    <row r="27" spans="1:7" s="255" customFormat="1" ht="24.75">
      <c r="A27" s="296" t="s">
        <v>2364</v>
      </c>
      <c r="B27" s="285" t="s">
        <v>2365</v>
      </c>
      <c r="C27" s="286">
        <f ca="1">C28</f>
        <v>555</v>
      </c>
      <c r="D27" s="276">
        <f ca="1">C29</f>
        <v>4.0000000000000002E-4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ROUND((C5+C19+C20)*F27*'数据-取费表'!B21/'数据-取费表'!B20,0)</f>
        <v>555</v>
      </c>
      <c r="D28" s="276"/>
      <c r="E28" s="277"/>
      <c r="F28" s="287"/>
      <c r="G28" s="288"/>
    </row>
    <row r="29" spans="1:7" s="255" customFormat="1" ht="13.5" customHeight="1">
      <c r="A29" s="947" t="s">
        <v>792</v>
      </c>
      <c r="B29" s="289" t="s">
        <v>2369</v>
      </c>
      <c r="C29" s="279">
        <f ca="1">ROUND(C21*F27*'数据-取费表'!B21/'数据-取费表'!B20,4)</f>
        <v>4.0000000000000002E-4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18314</v>
      </c>
      <c r="D31" s="271"/>
      <c r="E31" s="252"/>
      <c r="F31" s="291"/>
      <c r="G31" s="275" t="s">
        <v>2374</v>
      </c>
    </row>
    <row r="32" spans="1:7" s="249" customFormat="1" ht="15.75">
      <c r="A32" s="293" t="s">
        <v>2375</v>
      </c>
      <c r="B32" s="294"/>
      <c r="C32" s="294"/>
      <c r="D32" s="294"/>
      <c r="E32" s="294"/>
      <c r="F32" s="294"/>
      <c r="G32" s="295"/>
    </row>
    <row r="33" spans="1:7" s="255" customFormat="1" ht="13.5" customHeight="1">
      <c r="A33" s="296" t="s">
        <v>782</v>
      </c>
      <c r="B33" s="251" t="s">
        <v>2376</v>
      </c>
      <c r="C33" s="297">
        <f ca="1">SUM(C34:C38)</f>
        <v>7122</v>
      </c>
      <c r="D33" s="273"/>
      <c r="E33" s="253"/>
      <c r="F33" s="282"/>
      <c r="G33" s="275"/>
    </row>
    <row r="34" spans="1:7" s="299" customFormat="1" ht="13.5" customHeight="1">
      <c r="A34" s="947" t="s">
        <v>791</v>
      </c>
      <c r="B34" s="256" t="s">
        <v>2377</v>
      </c>
      <c r="C34" s="261">
        <f ca="1">IF(B1="",IF(F34=100%,'数据-取费表'!M16,'数据-取费表'!O16),IF(F34=100%,INDIRECT("'数据-取费表'!m"&amp;$G$1)+INDIRECT("'数据-取费表'!t"&amp;$G$1),INDIRECT("'数据-取费表'!o"&amp;$G$1)+INDIRECT("'数据-取费表'!aq"&amp;$G$1)))</f>
        <v>6212</v>
      </c>
      <c r="D34" s="258"/>
      <c r="E34" s="261"/>
      <c r="F34" s="298">
        <f ca="1">IF('数据-取费表'!B24=0,1,IF(B1="",'数据-取费表'!N16,INDIRECT("'数据-取费表'!n"&amp;$G$1)))</f>
        <v>0.47199999999999998</v>
      </c>
      <c r="G34" s="260" t="s">
        <v>2378</v>
      </c>
    </row>
    <row r="35" spans="1:7" ht="13.5" customHeight="1">
      <c r="A35" s="947" t="s">
        <v>796</v>
      </c>
      <c r="B35" s="256" t="s">
        <v>2379</v>
      </c>
      <c r="C35" s="261">
        <f ca="1">ROUND(C34*F35,0)</f>
        <v>186</v>
      </c>
      <c r="D35" s="261"/>
      <c r="E35" s="261"/>
      <c r="F35" s="300">
        <f>'数据-取费表'!B33</f>
        <v>0.03</v>
      </c>
      <c r="G35" s="260" t="s">
        <v>2380</v>
      </c>
    </row>
    <row r="36" spans="1:7" ht="24">
      <c r="A36" s="947" t="s">
        <v>797</v>
      </c>
      <c r="B36" s="256" t="s">
        <v>2381</v>
      </c>
      <c r="C36" s="261">
        <f ca="1">ROUND(IF(B1="",SUMIF('数据-取费表'!C:C,"住宅",IF(F34=100%,'数据-取费表'!M:M,'数据-取费表'!O:O))*F36,IF(INDIRECT("'数据-取费表'!c"&amp;$G$1)="住宅",IF(F34=100%,INDIRECT("'数据-取费表'!m"&amp;$G$1)*F36,INDIRECT("'数据-取费表'!o"&amp;$G$1)*F36),0)),0)</f>
        <v>71</v>
      </c>
      <c r="D36" s="261"/>
      <c r="E36" s="261"/>
      <c r="F36" s="300">
        <f>'数据-取费表'!B34</f>
        <v>0.05</v>
      </c>
      <c r="G36" s="301" t="s">
        <v>2382</v>
      </c>
    </row>
    <row r="37" spans="1:7" s="299" customFormat="1" ht="13.5" customHeight="1">
      <c r="A37" s="947" t="s">
        <v>798</v>
      </c>
      <c r="B37" s="256" t="s">
        <v>2383</v>
      </c>
      <c r="C37" s="290">
        <f ca="1">ROUND(E37*D37*F34/10000,0)</f>
        <v>560</v>
      </c>
      <c r="D37" s="258">
        <f ca="1">D19</f>
        <v>59366.369999999995</v>
      </c>
      <c r="E37" s="290">
        <f>'数据-取费表'!B35</f>
        <v>200</v>
      </c>
      <c r="F37" s="300"/>
      <c r="G37" s="302" t="s">
        <v>2384</v>
      </c>
    </row>
    <row r="38" spans="1:7" ht="13.5" customHeight="1">
      <c r="A38" s="947" t="s">
        <v>799</v>
      </c>
      <c r="B38" s="256" t="s">
        <v>2385</v>
      </c>
      <c r="C38" s="261">
        <f ca="1">ROUND(C34*F38,0)</f>
        <v>93</v>
      </c>
      <c r="D38" s="261"/>
      <c r="E38" s="261"/>
      <c r="F38" s="300">
        <f>'数据-取费表'!B36</f>
        <v>1.4999999999999999E-2</v>
      </c>
      <c r="G38" s="260" t="s">
        <v>2380</v>
      </c>
    </row>
    <row r="39" spans="1:7" s="255" customFormat="1" ht="13.5" customHeight="1">
      <c r="A39" s="296" t="s">
        <v>2386</v>
      </c>
      <c r="B39" s="251" t="s">
        <v>2387</v>
      </c>
      <c r="C39" s="273">
        <f ca="1">ROUND(C33*F20,0)</f>
        <v>142</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170</v>
      </c>
      <c r="D41" s="276">
        <f ca="1">C44</f>
        <v>2.0000000000000001E-4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ROUND(IF('数据-取费表'!B22&lt;=1,C33*F22*'数据-取费表'!B21/2,C33*(POWER((1+F22),'数据-取费表'!B21/2)-1)),0)</f>
        <v>167</v>
      </c>
      <c r="D42" s="279"/>
      <c r="E42" s="279"/>
      <c r="F42" s="280"/>
      <c r="G42" s="3175" t="s">
        <v>2396</v>
      </c>
    </row>
    <row r="43" spans="1:7" ht="13.5" customHeight="1">
      <c r="A43" s="947" t="s">
        <v>792</v>
      </c>
      <c r="B43" s="256" t="s">
        <v>2397</v>
      </c>
      <c r="C43" s="279">
        <f ca="1">ROUND(IF('数据-取费表'!B22&lt;=1,C39*F22*'数据-取费表'!B21/2,C39*(POWER((1+F22),'数据-取费表'!B21/2)-1)),0)</f>
        <v>3</v>
      </c>
      <c r="D43" s="279"/>
      <c r="E43" s="279"/>
      <c r="F43" s="280"/>
      <c r="G43" s="3176"/>
    </row>
    <row r="44" spans="1:7" ht="13.5" customHeight="1">
      <c r="A44" s="947" t="s">
        <v>793</v>
      </c>
      <c r="B44" s="256" t="s">
        <v>2398</v>
      </c>
      <c r="C44" s="279">
        <f ca="1">ROUND(IF('数据-取费表'!B22&lt;=1,C40*F22*'数据-取费表'!B21/2,C40*(POWER((1+F22),'数据-取费表'!B21/2)-1)),4)</f>
        <v>2.0000000000000001E-4</v>
      </c>
      <c r="D44" s="279"/>
      <c r="E44" s="279"/>
      <c r="F44" s="280"/>
      <c r="G44" s="3177"/>
    </row>
    <row r="45" spans="1:7" s="255" customFormat="1" ht="13.5" customHeight="1">
      <c r="A45" s="296" t="s">
        <v>2399</v>
      </c>
      <c r="B45" s="285" t="s">
        <v>2365</v>
      </c>
      <c r="C45" s="286">
        <f ca="1">C46</f>
        <v>508</v>
      </c>
      <c r="D45" s="276">
        <f ca="1">C47</f>
        <v>6.9999999999999999E-4</v>
      </c>
      <c r="E45" s="277" t="s">
        <v>2391</v>
      </c>
      <c r="F45" s="287"/>
      <c r="G45" s="288" t="s">
        <v>2400</v>
      </c>
    </row>
    <row r="46" spans="1:7" s="255" customFormat="1" ht="13.5" customHeight="1">
      <c r="A46" s="947" t="s">
        <v>791</v>
      </c>
      <c r="B46" s="289" t="s">
        <v>2401</v>
      </c>
      <c r="C46" s="290">
        <f ca="1">ROUND((C33+C39)*F27,0)</f>
        <v>508</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1723">
        <f>ROUND(F30/(1+'数据-取费表'!C42),4)</f>
        <v>5.33E-2</v>
      </c>
      <c r="D48" s="277" t="s">
        <v>2391</v>
      </c>
      <c r="E48" s="273"/>
      <c r="F48" s="278"/>
      <c r="G48" s="275" t="s">
        <v>2404</v>
      </c>
    </row>
    <row r="49" spans="1:7" ht="16.5" customHeight="1">
      <c r="A49" s="296" t="s">
        <v>2370</v>
      </c>
      <c r="B49" s="251" t="s">
        <v>2405</v>
      </c>
      <c r="C49" s="273">
        <f ca="1">ROUND((C33+C39+C41+C45)/(1-C40-D41-D45-C48),0)</f>
        <v>8487</v>
      </c>
      <c r="D49" s="273"/>
      <c r="E49" s="273"/>
      <c r="F49" s="305"/>
      <c r="G49" s="275" t="s">
        <v>2406</v>
      </c>
    </row>
    <row r="50" spans="1:7" s="299" customFormat="1" ht="24">
      <c r="A50" s="296" t="s">
        <v>2407</v>
      </c>
      <c r="B50" s="251" t="s">
        <v>2408</v>
      </c>
      <c r="C50" s="273"/>
      <c r="D50" s="273"/>
      <c r="E50" s="273"/>
      <c r="F50" s="305">
        <f>IF('数据-取费表'!B24=0,'数据-取费表'!N16,1)</f>
        <v>1</v>
      </c>
      <c r="G50" s="288" t="s">
        <v>2409</v>
      </c>
    </row>
    <row r="51" spans="1:7" ht="16.5" customHeight="1">
      <c r="A51" s="296" t="s">
        <v>2410</v>
      </c>
      <c r="B51" s="251" t="s">
        <v>2411</v>
      </c>
      <c r="C51" s="273">
        <f ca="1">ROUND(C49*F50,0)</f>
        <v>8487</v>
      </c>
      <c r="D51" s="273"/>
      <c r="E51" s="273"/>
      <c r="F51" s="305"/>
      <c r="G51" s="275" t="s">
        <v>2412</v>
      </c>
    </row>
    <row r="52" spans="1:7" s="249" customFormat="1" ht="16.5" thickBot="1">
      <c r="A52" s="306" t="s">
        <v>2413</v>
      </c>
      <c r="B52" s="307"/>
      <c r="C52" s="308">
        <f ca="1">C31+C51</f>
        <v>26801</v>
      </c>
      <c r="D52" s="307"/>
      <c r="E52" s="307"/>
      <c r="F52" s="307"/>
      <c r="G52" s="309"/>
    </row>
    <row r="55" spans="1:7" ht="15">
      <c r="B55" s="311" t="s">
        <v>2414</v>
      </c>
      <c r="C55" s="312"/>
    </row>
    <row r="56" spans="1:7">
      <c r="B56" s="314" t="s">
        <v>1513</v>
      </c>
      <c r="C56" s="316">
        <f ca="1">1-C57</f>
        <v>0.68300000000000005</v>
      </c>
    </row>
    <row r="57" spans="1:7">
      <c r="B57" s="314" t="s">
        <v>1514</v>
      </c>
      <c r="C57" s="315">
        <f ca="1">ROUND(C51/C52,3)</f>
        <v>0.317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2313</v>
      </c>
      <c r="B1" s="1932"/>
      <c r="C1" s="2549" t="s">
        <v>2415</v>
      </c>
      <c r="D1" s="239"/>
      <c r="E1" s="239"/>
      <c r="F1" s="239"/>
      <c r="G1" s="1375">
        <f>MATCH(B1,'数据-取费表'!A6:A16,0)+5</f>
        <v>10</v>
      </c>
      <c r="H1" s="1278" t="str">
        <f>IF(ISERROR(FIND("住宅",B1)),"非住宅","住宅")</f>
        <v>非住宅</v>
      </c>
    </row>
    <row r="2" spans="1:8" s="241" customFormat="1" ht="18" customHeight="1">
      <c r="A2" s="242" t="s">
        <v>2314</v>
      </c>
      <c r="B2" s="243">
        <f ca="1">ROUND(IF(D2="——",C52/10000,C52/10000-E2),0)</f>
        <v>20699</v>
      </c>
      <c r="C2" s="240" t="s">
        <v>2315</v>
      </c>
      <c r="D2" s="2543" t="s">
        <v>70</v>
      </c>
      <c r="E2" s="1436" t="e">
        <f ca="1">SUMIF(INDIRECT("'"&amp;G2&amp;"'"&amp;"!A:A"),"承租人权益价值",INDIRECT("'"&amp;G2&amp;"'"&amp;"!c:c"))</f>
        <v>#REF!</v>
      </c>
      <c r="F2" s="2544" t="s">
        <v>2315</v>
      </c>
      <c r="G2" s="2545"/>
    </row>
    <row r="3" spans="1:8" s="241" customFormat="1" ht="18" customHeight="1" thickBot="1">
      <c r="A3" s="244" t="s">
        <v>2316</v>
      </c>
      <c r="B3" s="245">
        <f ca="1">ROUND(B2*10000/(IF(B1="",'数据-汇总表'!E3,INDIRECT("'数据-取费表'!k"&amp;$G$1))),0)</f>
        <v>3487</v>
      </c>
      <c r="C3" s="240" t="s">
        <v>2317</v>
      </c>
      <c r="D3" s="240"/>
      <c r="E3" s="240"/>
      <c r="F3" s="240"/>
      <c r="G3" s="240"/>
    </row>
    <row r="4" spans="1:8" s="249" customFormat="1" ht="15.75">
      <c r="A4" s="246" t="s">
        <v>2318</v>
      </c>
      <c r="B4" s="247"/>
      <c r="C4" s="247"/>
      <c r="D4" s="247"/>
      <c r="E4" s="247"/>
      <c r="F4" s="247"/>
      <c r="G4" s="248"/>
    </row>
    <row r="5" spans="1:8" s="255" customFormat="1" ht="13.5" customHeight="1">
      <c r="A5" s="296" t="s">
        <v>2319</v>
      </c>
      <c r="B5" s="251" t="s">
        <v>2320</v>
      </c>
      <c r="C5" s="252">
        <f ca="1">C6+C7+C8</f>
        <v>5283607</v>
      </c>
      <c r="D5" s="252" t="s">
        <v>2321</v>
      </c>
      <c r="E5" s="253" t="s">
        <v>2322</v>
      </c>
      <c r="F5" s="253" t="s">
        <v>2323</v>
      </c>
      <c r="G5" s="254"/>
    </row>
    <row r="6" spans="1:8" s="255" customFormat="1" ht="13.5" customHeight="1">
      <c r="A6" s="945" t="s">
        <v>2324</v>
      </c>
      <c r="B6" s="256" t="s">
        <v>2325</v>
      </c>
      <c r="C6" s="257"/>
      <c r="D6" s="258"/>
      <c r="E6" s="259"/>
      <c r="F6" s="259"/>
      <c r="G6" s="260"/>
    </row>
    <row r="7" spans="1:8" s="255" customFormat="1" ht="13.5" customHeight="1">
      <c r="A7" s="945" t="s">
        <v>2326</v>
      </c>
      <c r="B7" s="256" t="s">
        <v>2327</v>
      </c>
      <c r="C7" s="261">
        <f>ROUND(C6*F7,0)</f>
        <v>0</v>
      </c>
      <c r="D7" s="261"/>
      <c r="E7" s="259"/>
      <c r="F7" s="262">
        <f>'数据-取费表'!B48+'数据-取费表'!B49</f>
        <v>3.0499999999999999E-2</v>
      </c>
      <c r="G7" s="260"/>
    </row>
    <row r="8" spans="1:8" s="264" customFormat="1">
      <c r="A8" s="945" t="s">
        <v>2328</v>
      </c>
      <c r="B8" s="256" t="s">
        <v>2329</v>
      </c>
      <c r="C8" s="261">
        <f ca="1">IF(G8="已包含在土地购买价格中",0,C9+C10)</f>
        <v>5283607</v>
      </c>
      <c r="D8" s="263"/>
      <c r="E8" s="261"/>
      <c r="F8" s="262"/>
      <c r="G8" s="2546"/>
    </row>
    <row r="9" spans="1:8" s="255" customFormat="1" ht="13.5" customHeight="1">
      <c r="A9" s="946" t="s">
        <v>800</v>
      </c>
      <c r="B9" s="265" t="s">
        <v>2330</v>
      </c>
      <c r="C9" s="266">
        <f ca="1">ROUND(D9*E9,0)</f>
        <v>1995069</v>
      </c>
      <c r="D9" s="1028">
        <f ca="1">IF(B1="",'数据-汇总表'!E5,IF(INDIRECT("'数据-取费表'!c"&amp;$G$1)="住宅",INDIRECT("'数据-取费表'!k"&amp;$G$1),0))</f>
        <v>22416.510000000002</v>
      </c>
      <c r="E9" s="266">
        <f>'数据-取费表'!B27</f>
        <v>89</v>
      </c>
      <c r="F9" s="262"/>
      <c r="G9" s="267"/>
    </row>
    <row r="10" spans="1:8" s="255" customFormat="1" ht="13.5" customHeight="1">
      <c r="A10" s="946" t="s">
        <v>801</v>
      </c>
      <c r="B10" s="265" t="s">
        <v>2332</v>
      </c>
      <c r="C10" s="266">
        <f ca="1">ROUND(D10*E10,0)</f>
        <v>3288538</v>
      </c>
      <c r="D10" s="1028">
        <f ca="1">IF(B1="",'数据-汇总表'!E6,IF(INDIRECT("'数据-取费表'!c"&amp;$G$1)="住宅",INDIRECT("'数据-取费表'!s"&amp;$G$1),INDIRECT("'数据-取费表'!k"&amp;$G$1)+INDIRECT("'数据-取费表'!s"&amp;$G$1)))</f>
        <v>36949.859999999993</v>
      </c>
      <c r="E10" s="266">
        <f>'数据-取费表'!B28</f>
        <v>89</v>
      </c>
      <c r="F10" s="262"/>
      <c r="G10" s="267"/>
    </row>
    <row r="11" spans="1:8" s="255" customFormat="1" ht="13.5" hidden="1" customHeight="1">
      <c r="A11" s="268" t="s">
        <v>7</v>
      </c>
      <c r="B11" s="256" t="s">
        <v>2333</v>
      </c>
      <c r="C11" s="252"/>
      <c r="D11" s="1030"/>
      <c r="E11" s="259"/>
      <c r="F11" s="259"/>
      <c r="G11" s="260"/>
    </row>
    <row r="12" spans="1:8" s="255" customFormat="1" ht="13.5" hidden="1" customHeight="1">
      <c r="A12" s="268" t="s">
        <v>8</v>
      </c>
      <c r="B12" s="256" t="s">
        <v>2416</v>
      </c>
      <c r="C12" s="252">
        <v>0</v>
      </c>
      <c r="D12" s="1030"/>
      <c r="E12" s="269"/>
      <c r="F12" s="262">
        <v>3.0499999999999999E-2</v>
      </c>
      <c r="G12" s="260"/>
    </row>
    <row r="13" spans="1:8" s="255" customFormat="1" ht="13.5" hidden="1" customHeight="1">
      <c r="A13" s="268" t="s">
        <v>9</v>
      </c>
      <c r="B13" s="256" t="s">
        <v>2417</v>
      </c>
      <c r="C13" s="252"/>
      <c r="D13" s="1030"/>
      <c r="E13" s="259"/>
      <c r="F13" s="259"/>
      <c r="G13" s="260"/>
    </row>
    <row r="14" spans="1:8" s="255" customFormat="1" ht="13.5" hidden="1" customHeight="1">
      <c r="A14" s="268" t="s">
        <v>10</v>
      </c>
      <c r="B14" s="256" t="s">
        <v>2329</v>
      </c>
      <c r="C14" s="252"/>
      <c r="D14" s="1030"/>
      <c r="E14" s="259"/>
      <c r="F14" s="259"/>
      <c r="G14" s="260" t="s">
        <v>2418</v>
      </c>
    </row>
    <row r="15" spans="1:8" s="255" customFormat="1" ht="13.5" hidden="1" customHeight="1">
      <c r="A15" s="268" t="s">
        <v>11</v>
      </c>
      <c r="B15" s="256" t="s">
        <v>2419</v>
      </c>
      <c r="C15" s="261"/>
      <c r="D15" s="1030"/>
      <c r="E15" s="259"/>
      <c r="F15" s="259"/>
      <c r="G15" s="260" t="s">
        <v>2420</v>
      </c>
    </row>
    <row r="16" spans="1:8" s="255" customFormat="1" ht="13.5" hidden="1" customHeight="1">
      <c r="A16" s="268" t="s">
        <v>12</v>
      </c>
      <c r="B16" s="256" t="s">
        <v>2329</v>
      </c>
      <c r="C16" s="261"/>
      <c r="D16" s="1030"/>
      <c r="E16" s="259"/>
      <c r="F16" s="259"/>
      <c r="G16" s="260"/>
    </row>
    <row r="17" spans="1:7" s="255" customFormat="1" ht="13.5" hidden="1" customHeight="1">
      <c r="A17" s="268" t="s">
        <v>13</v>
      </c>
      <c r="B17" s="256" t="s">
        <v>2421</v>
      </c>
      <c r="C17" s="270"/>
      <c r="D17" s="1031"/>
      <c r="E17" s="270"/>
      <c r="F17" s="270"/>
      <c r="G17" s="260" t="s">
        <v>2420</v>
      </c>
    </row>
    <row r="18" spans="1:7" s="255" customFormat="1" ht="13.5" hidden="1" customHeight="1">
      <c r="A18" s="268" t="s">
        <v>14</v>
      </c>
      <c r="B18" s="256" t="s">
        <v>2422</v>
      </c>
      <c r="C18" s="261">
        <v>0</v>
      </c>
      <c r="D18" s="1030"/>
      <c r="E18" s="259"/>
      <c r="F18" s="262">
        <v>3.0499999999999999E-2</v>
      </c>
      <c r="G18" s="260" t="s">
        <v>2423</v>
      </c>
    </row>
    <row r="19" spans="1:7" s="264" customFormat="1" ht="13.5" customHeight="1">
      <c r="A19" s="296" t="s">
        <v>2424</v>
      </c>
      <c r="B19" s="251" t="s">
        <v>2425</v>
      </c>
      <c r="C19" s="252">
        <f ca="1">IF(G19="已包含在土地取得成本中","0",ROUND(D19*E19,0))</f>
        <v>11873274</v>
      </c>
      <c r="D19" s="1032">
        <f ca="1">D9+D10</f>
        <v>59366.369999999995</v>
      </c>
      <c r="E19" s="252">
        <f>'数据-取费表'!B31</f>
        <v>200</v>
      </c>
      <c r="F19" s="272"/>
      <c r="G19" s="2546"/>
    </row>
    <row r="20" spans="1:7" s="255" customFormat="1" ht="13.5" customHeight="1">
      <c r="A20" s="296" t="s">
        <v>2426</v>
      </c>
      <c r="B20" s="251" t="s">
        <v>2427</v>
      </c>
      <c r="C20" s="273">
        <f ca="1">ROUND((C5+C19)*F20,0)</f>
        <v>343138</v>
      </c>
      <c r="D20" s="273"/>
      <c r="E20" s="273"/>
      <c r="F20" s="274">
        <f>'数据-取费表'!B37</f>
        <v>0.02</v>
      </c>
      <c r="G20" s="275" t="s">
        <v>2428</v>
      </c>
    </row>
    <row r="21" spans="1:7" s="255" customFormat="1" ht="13.5" customHeight="1">
      <c r="A21" s="296" t="s">
        <v>2429</v>
      </c>
      <c r="B21" s="251" t="s">
        <v>2430</v>
      </c>
      <c r="C21" s="276">
        <f>F21</f>
        <v>0.01</v>
      </c>
      <c r="D21" s="277" t="s">
        <v>2431</v>
      </c>
      <c r="E21" s="273"/>
      <c r="F21" s="274">
        <f>'数据-取费表'!B38</f>
        <v>0.01</v>
      </c>
      <c r="G21" s="275" t="s">
        <v>2432</v>
      </c>
    </row>
    <row r="22" spans="1:7" s="255" customFormat="1" ht="13.5" customHeight="1">
      <c r="A22" s="296" t="s">
        <v>2433</v>
      </c>
      <c r="B22" s="251" t="s">
        <v>2434</v>
      </c>
      <c r="C22" s="1376">
        <f ca="1">ROUND(SUM(C23:C25),0)</f>
        <v>1684913</v>
      </c>
      <c r="D22" s="276">
        <f ca="1">C26</f>
        <v>5.0000000000000001E-4</v>
      </c>
      <c r="E22" s="277" t="s">
        <v>2431</v>
      </c>
      <c r="F22" s="278">
        <f ca="1">'数据-取费表'!B40</f>
        <v>4.7500000000000001E-2</v>
      </c>
      <c r="G22" s="275" t="str">
        <f>IF('数据-取费表'!B22&lt;=1,"单利计息","复利计息")</f>
        <v>复利计息</v>
      </c>
    </row>
    <row r="23" spans="1:7" s="255" customFormat="1" ht="13.5" customHeight="1">
      <c r="A23" s="947" t="s">
        <v>2324</v>
      </c>
      <c r="B23" s="256" t="s">
        <v>2435</v>
      </c>
      <c r="C23" s="1377">
        <f ca="1">ROUND(IF('数据-取费表'!B22&lt;=1,C5*F22*'数据-取费表'!B22,C5*(POWER((1+F22),'数据-取费表'!B22)-1)),0)</f>
        <v>513864</v>
      </c>
      <c r="D23" s="279"/>
      <c r="E23" s="279"/>
      <c r="F23" s="280"/>
      <c r="G23" s="281" t="s">
        <v>2436</v>
      </c>
    </row>
    <row r="24" spans="1:7" s="255" customFormat="1" ht="13.5" customHeight="1">
      <c r="A24" s="947" t="s">
        <v>2326</v>
      </c>
      <c r="B24" s="256" t="s">
        <v>2437</v>
      </c>
      <c r="C24" s="1377">
        <f ca="1">ROUND(IF('数据-取费表'!B22&lt;=1,C19*F22*('数据-取费表'!B19/2+'数据-取费表'!B20),C19*(POWER((1+F22),('数据-取费表'!B19/2+'数据-取费表'!B20))-1)),0)</f>
        <v>1154750</v>
      </c>
      <c r="D24" s="279"/>
      <c r="E24" s="279"/>
      <c r="F24" s="280"/>
      <c r="G24" s="281" t="s">
        <v>2438</v>
      </c>
    </row>
    <row r="25" spans="1:7" s="255" customFormat="1" ht="24">
      <c r="A25" s="947" t="s">
        <v>2328</v>
      </c>
      <c r="B25" s="256" t="s">
        <v>2439</v>
      </c>
      <c r="C25" s="1377">
        <f ca="1">ROUND(IF('数据-取费表'!B22&lt;=1,C20*F22*'数据-取费表'!B22/2,C20*(POWER((1+F22),'数据-取费表'!B22/2)-1)),0)</f>
        <v>16299</v>
      </c>
      <c r="D25" s="279"/>
      <c r="E25" s="282"/>
      <c r="F25" s="280"/>
      <c r="G25" s="283" t="s">
        <v>2440</v>
      </c>
    </row>
    <row r="26" spans="1:7" s="255" customFormat="1">
      <c r="A26" s="947" t="s">
        <v>795</v>
      </c>
      <c r="B26" s="256" t="s">
        <v>2363</v>
      </c>
      <c r="C26" s="279">
        <f ca="1">ROUND(IF('数据-取费表'!B22&lt;=1,F21*F22*'数据-取费表'!B22/2,F21*(POWER((1+F22),'数据-取费表'!B22/2)-1)),4)</f>
        <v>5.0000000000000001E-4</v>
      </c>
      <c r="D26" s="279"/>
      <c r="E26" s="282"/>
      <c r="F26" s="280"/>
      <c r="G26" s="284"/>
    </row>
    <row r="27" spans="1:7" s="255" customFormat="1" ht="24.75">
      <c r="A27" s="296" t="s">
        <v>2364</v>
      </c>
      <c r="B27" s="285" t="s">
        <v>2365</v>
      </c>
      <c r="C27" s="286">
        <f ca="1">C28</f>
        <v>1225001</v>
      </c>
      <c r="D27" s="276">
        <f ca="1">C29</f>
        <v>6.9999999999999999E-4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ROUND((C5+C19+C20)*F27,0)</f>
        <v>1225001</v>
      </c>
      <c r="D28" s="276"/>
      <c r="E28" s="277"/>
      <c r="F28" s="287"/>
      <c r="G28" s="288"/>
    </row>
    <row r="29" spans="1:7" s="255" customFormat="1" ht="13.5" customHeight="1">
      <c r="A29" s="947" t="s">
        <v>792</v>
      </c>
      <c r="B29" s="289" t="s">
        <v>2369</v>
      </c>
      <c r="C29" s="279">
        <f ca="1">ROUND(C21*F27,4)</f>
        <v>6.9999999999999999E-4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21817138</v>
      </c>
      <c r="D31" s="271"/>
      <c r="E31" s="252"/>
      <c r="F31" s="291"/>
      <c r="G31" s="275" t="s">
        <v>2374</v>
      </c>
    </row>
    <row r="32" spans="1:7" s="249" customFormat="1" ht="15.75">
      <c r="A32" s="293" t="s">
        <v>2441</v>
      </c>
      <c r="B32" s="294"/>
      <c r="C32" s="294"/>
      <c r="D32" s="294"/>
      <c r="E32" s="294"/>
      <c r="F32" s="294"/>
      <c r="G32" s="295"/>
    </row>
    <row r="33" spans="1:7" s="255" customFormat="1" ht="13.5" customHeight="1">
      <c r="A33" s="296" t="s">
        <v>782</v>
      </c>
      <c r="B33" s="251" t="s">
        <v>2442</v>
      </c>
      <c r="C33" s="297">
        <f ca="1">SUM(C34:C38)</f>
        <v>151972635</v>
      </c>
      <c r="D33" s="273"/>
      <c r="E33" s="253"/>
      <c r="F33" s="282"/>
      <c r="G33" s="275"/>
    </row>
    <row r="34" spans="1:7" s="299" customFormat="1" ht="13.5" customHeight="1">
      <c r="A34" s="947" t="s">
        <v>791</v>
      </c>
      <c r="B34" s="256" t="s">
        <v>2377</v>
      </c>
      <c r="C34" s="261">
        <f ca="1">ROUND(IF(B1="",SUMPRODUCT('数据-取费表'!K6:K14,'数据-取费表'!L6:L14),INDIRECT("'数据-取费表'!l"&amp;$G$1)*INDIRECT("'数据-取费表'!k"&amp;$G$1)+'数据-取费表'!L14*INDIRECT("'数据-取费表'!S"&amp;$G$1)),0)</f>
        <v>131636474</v>
      </c>
      <c r="D34" s="258"/>
      <c r="E34" s="261"/>
      <c r="F34" s="298"/>
      <c r="G34" s="260"/>
    </row>
    <row r="35" spans="1:7" ht="13.5" customHeight="1">
      <c r="A35" s="947" t="s">
        <v>796</v>
      </c>
      <c r="B35" s="256" t="s">
        <v>2379</v>
      </c>
      <c r="C35" s="261">
        <f ca="1">ROUND(C34*F35,0)</f>
        <v>3949094</v>
      </c>
      <c r="D35" s="261"/>
      <c r="E35" s="261"/>
      <c r="F35" s="300">
        <f>'数据-取费表'!B33</f>
        <v>0.03</v>
      </c>
      <c r="G35" s="260" t="s">
        <v>2380</v>
      </c>
    </row>
    <row r="36" spans="1:7" ht="24">
      <c r="A36" s="947" t="s">
        <v>797</v>
      </c>
      <c r="B36" s="256" t="s">
        <v>2381</v>
      </c>
      <c r="C36" s="261">
        <f ca="1">ROUND(IF(B1="",SUM('数据-取费表'!AP6:AP13)*F36,IF(INDIRECT("'数据-取费表'!c"&amp;$G$1)="住宅",INDIRECT("'数据-取费表'!k"&amp;$G$1)*INDIRECT("'数据-取费表'!l"&amp;$G$1)*F36,0)),0)</f>
        <v>2539246</v>
      </c>
      <c r="D36" s="261"/>
      <c r="E36" s="261"/>
      <c r="F36" s="300">
        <f>'数据-取费表'!B34</f>
        <v>0.05</v>
      </c>
      <c r="G36" s="301" t="s">
        <v>2382</v>
      </c>
    </row>
    <row r="37" spans="1:7" s="299" customFormat="1" ht="13.5" customHeight="1">
      <c r="A37" s="947" t="s">
        <v>798</v>
      </c>
      <c r="B37" s="256" t="s">
        <v>2383</v>
      </c>
      <c r="C37" s="290">
        <f ca="1">ROUND(E37*D37,0)</f>
        <v>11873274</v>
      </c>
      <c r="D37" s="258">
        <f ca="1">D19</f>
        <v>59366.369999999995</v>
      </c>
      <c r="E37" s="290">
        <f>'数据-取费表'!B35</f>
        <v>200</v>
      </c>
      <c r="F37" s="300"/>
      <c r="G37" s="302"/>
    </row>
    <row r="38" spans="1:7" ht="13.5" customHeight="1">
      <c r="A38" s="947" t="s">
        <v>799</v>
      </c>
      <c r="B38" s="256" t="s">
        <v>2385</v>
      </c>
      <c r="C38" s="261">
        <f ca="1">ROUND(C34*F38,0)</f>
        <v>1974547</v>
      </c>
      <c r="D38" s="261"/>
      <c r="E38" s="261"/>
      <c r="F38" s="300">
        <f>'数据-取费表'!B36</f>
        <v>1.4999999999999999E-2</v>
      </c>
      <c r="G38" s="260" t="s">
        <v>2380</v>
      </c>
    </row>
    <row r="39" spans="1:7" s="255" customFormat="1" ht="13.5" customHeight="1">
      <c r="A39" s="296" t="s">
        <v>2386</v>
      </c>
      <c r="B39" s="251" t="s">
        <v>2387</v>
      </c>
      <c r="C39" s="273">
        <f ca="1">ROUND(C33*F20,0)</f>
        <v>3039453</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7363074</v>
      </c>
      <c r="D41" s="276">
        <f ca="1">C44</f>
        <v>5.0000000000000001E-4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ROUND(IF('数据-取费表'!B22&lt;=1,C33*F22*'数据-取费表'!B20/2,C33*(POWER((1+F22),'数据-取费表'!B20/2)-1)),0)</f>
        <v>7218700</v>
      </c>
      <c r="D42" s="279"/>
      <c r="E42" s="279"/>
      <c r="F42" s="280"/>
      <c r="G42" s="3175" t="s">
        <v>2443</v>
      </c>
    </row>
    <row r="43" spans="1:7" ht="13.5" customHeight="1">
      <c r="A43" s="947" t="s">
        <v>792</v>
      </c>
      <c r="B43" s="256" t="s">
        <v>2397</v>
      </c>
      <c r="C43" s="279">
        <f ca="1">ROUND(IF('数据-取费表'!B22&lt;=1,C39*F22*'数据-取费表'!B20/2,C39*(POWER((1+F22),'数据-取费表'!B20/2)-1)),0)</f>
        <v>144374</v>
      </c>
      <c r="D43" s="279"/>
      <c r="E43" s="279"/>
      <c r="F43" s="280"/>
      <c r="G43" s="3176"/>
    </row>
    <row r="44" spans="1:7" ht="13.5" customHeight="1">
      <c r="A44" s="947" t="s">
        <v>793</v>
      </c>
      <c r="B44" s="256" t="s">
        <v>2398</v>
      </c>
      <c r="C44" s="279">
        <f ca="1">ROUND(IF('数据-取费表'!B22&lt;=1,C40*F22*'数据-取费表'!B20/2,C40*(POWER((1+F22),'数据-取费表'!B20/2)-1)),4)</f>
        <v>5.0000000000000001E-4</v>
      </c>
      <c r="D44" s="279"/>
      <c r="E44" s="279"/>
      <c r="F44" s="280"/>
      <c r="G44" s="3177"/>
    </row>
    <row r="45" spans="1:7" s="255" customFormat="1" ht="13.5" customHeight="1">
      <c r="A45" s="296" t="s">
        <v>2399</v>
      </c>
      <c r="B45" s="285" t="s">
        <v>2365</v>
      </c>
      <c r="C45" s="286">
        <f ca="1">C46</f>
        <v>10850846</v>
      </c>
      <c r="D45" s="276">
        <f ca="1">C47</f>
        <v>6.9999999999999999E-4</v>
      </c>
      <c r="E45" s="277" t="s">
        <v>2391</v>
      </c>
      <c r="F45" s="287"/>
      <c r="G45" s="288" t="s">
        <v>2400</v>
      </c>
    </row>
    <row r="46" spans="1:7" s="255" customFormat="1" ht="13.5" customHeight="1">
      <c r="A46" s="947" t="s">
        <v>791</v>
      </c>
      <c r="B46" s="289" t="s">
        <v>2401</v>
      </c>
      <c r="C46" s="290">
        <f ca="1">ROUND((C33+C39)*F27,0)</f>
        <v>10850846</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303">
        <f>ROUND(F30/(1+'数据-取费表'!C42),4)</f>
        <v>5.33E-2</v>
      </c>
      <c r="D48" s="277" t="s">
        <v>2391</v>
      </c>
      <c r="E48" s="273"/>
      <c r="F48" s="278"/>
      <c r="G48" s="275" t="s">
        <v>2404</v>
      </c>
    </row>
    <row r="49" spans="1:7" ht="16.5" customHeight="1">
      <c r="A49" s="296" t="s">
        <v>2370</v>
      </c>
      <c r="B49" s="251" t="s">
        <v>2444</v>
      </c>
      <c r="C49" s="273">
        <f ca="1">ROUND((C33+C39+C41+C45)/(1-C40-D41-D45-C48),0)</f>
        <v>185169437</v>
      </c>
      <c r="D49" s="273"/>
      <c r="E49" s="273"/>
      <c r="F49" s="305"/>
      <c r="G49" s="275" t="s">
        <v>2406</v>
      </c>
    </row>
    <row r="50" spans="1:7" s="299" customFormat="1">
      <c r="A50" s="296" t="s">
        <v>2407</v>
      </c>
      <c r="B50" s="251" t="s">
        <v>2408</v>
      </c>
      <c r="C50" s="273"/>
      <c r="D50" s="273"/>
      <c r="E50" s="273"/>
      <c r="F50" s="305">
        <f>IF('数据-取费表'!B24=0,'数据-取费表'!N16,1)</f>
        <v>1</v>
      </c>
      <c r="G50" s="288"/>
    </row>
    <row r="51" spans="1:7" ht="16.5" customHeight="1">
      <c r="A51" s="296" t="s">
        <v>2410</v>
      </c>
      <c r="B51" s="251" t="s">
        <v>2445</v>
      </c>
      <c r="C51" s="273">
        <f ca="1">ROUND(C49*F50,0)</f>
        <v>185169437</v>
      </c>
      <c r="D51" s="273"/>
      <c r="E51" s="273"/>
      <c r="F51" s="305"/>
      <c r="G51" s="275" t="s">
        <v>2412</v>
      </c>
    </row>
    <row r="52" spans="1:7" s="249" customFormat="1" ht="16.5" thickBot="1">
      <c r="A52" s="306" t="s">
        <v>2413</v>
      </c>
      <c r="B52" s="307"/>
      <c r="C52" s="308">
        <f ca="1">C31+C51</f>
        <v>206986575</v>
      </c>
      <c r="D52" s="307"/>
      <c r="E52" s="307"/>
      <c r="F52" s="307"/>
      <c r="G52" s="309"/>
    </row>
    <row r="55" spans="1:7" ht="15">
      <c r="B55" s="311" t="s">
        <v>2414</v>
      </c>
      <c r="C55" s="312"/>
    </row>
    <row r="56" spans="1:7">
      <c r="B56" s="314" t="s">
        <v>1513</v>
      </c>
      <c r="C56" s="316">
        <f ca="1">1-C57</f>
        <v>0.10499999999999998</v>
      </c>
    </row>
    <row r="57" spans="1:7">
      <c r="B57" s="314" t="s">
        <v>1514</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2728</v>
      </c>
      <c r="B1" s="392"/>
      <c r="C1" s="393" t="s">
        <v>2729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2314</v>
      </c>
      <c r="B2" s="668">
        <f>F66</f>
        <v>15073</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2316</v>
      </c>
      <c r="B3" s="606">
        <f>ROUND(IF(D3="",B2*10000/'数据-汇总表'!E3,B2*10000/D3),0)</f>
        <v>2539</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3" t="s">
        <v>2632</v>
      </c>
      <c r="AC4" s="3192" t="s">
        <v>2633</v>
      </c>
    </row>
    <row r="5" spans="1:30" ht="33" customHeight="1" thickBot="1">
      <c r="A5" s="401"/>
      <c r="B5" s="402"/>
      <c r="C5" s="3217" t="str">
        <f>项目基本情况!F10</f>
        <v>惠州市惠城区小金口街道办事处汤泉片区（规划编号：B05-08）</v>
      </c>
      <c r="D5" s="3213"/>
      <c r="E5" s="3220" t="s">
        <v>3158</v>
      </c>
      <c r="F5" s="3221"/>
      <c r="G5" s="3212" t="s">
        <v>3159</v>
      </c>
      <c r="H5" s="3213"/>
      <c r="I5" s="3212" t="s">
        <v>3160</v>
      </c>
      <c r="J5" s="3213"/>
      <c r="K5" s="607"/>
      <c r="L5" s="1126"/>
      <c r="M5" s="1127"/>
      <c r="N5" s="1127"/>
      <c r="O5" s="1127"/>
      <c r="P5" s="3200"/>
      <c r="Q5" s="3201"/>
      <c r="R5" s="3206"/>
      <c r="S5" s="3207"/>
      <c r="T5" s="3206"/>
      <c r="U5" s="3207"/>
      <c r="V5" s="3191"/>
      <c r="W5" s="3191"/>
      <c r="X5" s="1808"/>
      <c r="Y5" s="3206"/>
      <c r="Z5" s="3207"/>
      <c r="AA5" s="3193"/>
      <c r="AB5" s="3193"/>
      <c r="AC5" s="3193"/>
    </row>
    <row r="6" spans="1:30" ht="15.75" hidden="1" thickBot="1">
      <c r="A6" s="403"/>
      <c r="B6" s="404"/>
      <c r="C6" s="3210"/>
      <c r="D6" s="3211"/>
      <c r="E6" s="3218"/>
      <c r="F6" s="3219"/>
      <c r="G6" s="3210"/>
      <c r="H6" s="3211"/>
      <c r="I6" s="3210"/>
      <c r="J6" s="3211"/>
      <c r="K6" s="607" t="s">
        <v>2531</v>
      </c>
      <c r="L6" s="1126"/>
      <c r="M6" s="1127"/>
      <c r="N6" s="1127"/>
      <c r="O6" s="1127"/>
      <c r="P6" s="3202"/>
      <c r="Q6" s="3203"/>
      <c r="R6" s="3206"/>
      <c r="S6" s="3207"/>
      <c r="T6" s="3208"/>
      <c r="U6" s="3209"/>
      <c r="V6" s="3191"/>
      <c r="W6" s="3191"/>
      <c r="X6" s="1808"/>
      <c r="Y6" s="3208"/>
      <c r="Z6" s="3209"/>
      <c r="AA6" s="3194"/>
      <c r="AB6" s="3194"/>
      <c r="AC6" s="3194"/>
    </row>
    <row r="7" spans="1:30" s="115" customFormat="1" ht="15.75" thickBot="1">
      <c r="A7" s="405" t="s">
        <v>2532</v>
      </c>
      <c r="B7" s="406"/>
      <c r="C7" s="407">
        <f>'数据-取费表'!B2</f>
        <v>43433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214" t="s">
        <v>2533</v>
      </c>
      <c r="Q7" s="3216"/>
      <c r="R7" s="767" t="s">
        <v>17</v>
      </c>
      <c r="S7" s="768">
        <f t="shared" ref="S7:S15" si="0">F7</f>
        <v>99</v>
      </c>
      <c r="T7" s="767" t="s">
        <v>17</v>
      </c>
      <c r="U7" s="768">
        <f t="shared" ref="U7:U15" si="1">H7</f>
        <v>99</v>
      </c>
      <c r="V7" s="767" t="s">
        <v>17</v>
      </c>
      <c r="W7" s="768">
        <f t="shared" ref="W7:W15" si="2">J7</f>
        <v>99</v>
      </c>
      <c r="X7" s="769"/>
      <c r="Y7" s="3214" t="s">
        <v>2533</v>
      </c>
      <c r="Z7" s="3215"/>
      <c r="AA7" s="770">
        <f>D7/F7</f>
        <v>1.0101010101010102</v>
      </c>
      <c r="AB7" s="770">
        <f>D7/H7</f>
        <v>1.0101010101010102</v>
      </c>
      <c r="AC7" s="770">
        <f>D7/J7</f>
        <v>1.0101010101010102</v>
      </c>
    </row>
    <row r="8" spans="1:30" s="115" customFormat="1" ht="15.75" thickBot="1">
      <c r="A8" s="405" t="s">
        <v>2534</v>
      </c>
      <c r="B8" s="406"/>
      <c r="C8" s="411" t="s">
        <v>2535</v>
      </c>
      <c r="D8" s="408">
        <v>100</v>
      </c>
      <c r="E8" s="411" t="s">
        <v>3148</v>
      </c>
      <c r="F8" s="410">
        <f>SUMIF(73:73,E8,74:74)-SUMIF(73:73,C8,74:74)+100</f>
        <v>100</v>
      </c>
      <c r="G8" s="411" t="s">
        <v>3148</v>
      </c>
      <c r="H8" s="408">
        <f>SUMIF(73:73,G8,74:74)-SUMIF(73:73,C8,74:74)+100</f>
        <v>100</v>
      </c>
      <c r="I8" s="411" t="s">
        <v>3148</v>
      </c>
      <c r="J8" s="408">
        <f>SUMIF(73:73,I8,74:74)-SUMIF(73:73,C8,74:74)+100</f>
        <v>100</v>
      </c>
      <c r="K8" s="608"/>
      <c r="L8" s="1128"/>
      <c r="M8" s="1129"/>
      <c r="N8" s="1129"/>
      <c r="O8" s="1129"/>
      <c r="P8" s="3214" t="s">
        <v>2536</v>
      </c>
      <c r="Q8" s="3215"/>
      <c r="R8" s="767" t="s">
        <v>17</v>
      </c>
      <c r="S8" s="768">
        <f t="shared" si="0"/>
        <v>100</v>
      </c>
      <c r="T8" s="767" t="s">
        <v>17</v>
      </c>
      <c r="U8" s="768">
        <f t="shared" si="1"/>
        <v>100</v>
      </c>
      <c r="V8" s="767" t="s">
        <v>17</v>
      </c>
      <c r="W8" s="768">
        <f t="shared" si="2"/>
        <v>100</v>
      </c>
      <c r="X8" s="769"/>
      <c r="Y8" s="3214" t="s">
        <v>2536</v>
      </c>
      <c r="Z8" s="3215"/>
      <c r="AA8" s="770">
        <f t="shared" ref="AA8:AA45" si="3">D8/F8</f>
        <v>1</v>
      </c>
      <c r="AB8" s="770">
        <f t="shared" ref="AB8:AB45" si="4">D8/H8</f>
        <v>1</v>
      </c>
      <c r="AC8" s="770">
        <f t="shared" ref="AC8:AC45" si="5">D8/J8</f>
        <v>1</v>
      </c>
    </row>
    <row r="9" spans="1:30" s="115" customFormat="1">
      <c r="A9" s="412" t="s">
        <v>2537</v>
      </c>
      <c r="B9" s="71" t="s">
        <v>2538</v>
      </c>
      <c r="C9" s="2695" t="s">
        <v>3116</v>
      </c>
      <c r="D9" s="132">
        <v>100</v>
      </c>
      <c r="E9" s="2695" t="s">
        <v>3116</v>
      </c>
      <c r="F9" s="132">
        <f>SUMIF(75:75,E9,76:76)-SUMIF(75:75,C9,76:76)+100</f>
        <v>100</v>
      </c>
      <c r="G9" s="2695" t="s">
        <v>3116</v>
      </c>
      <c r="H9" s="132">
        <f>SUMIF(75:75,G9,76:76)-SUMIF(75:75,C9,76:76)+100</f>
        <v>100</v>
      </c>
      <c r="I9" s="2695" t="s">
        <v>3116</v>
      </c>
      <c r="J9" s="132">
        <f>SUMIF(75:75,I9,76:76)-SUMIF(75:75,C9,76:76)+100</f>
        <v>100</v>
      </c>
      <c r="K9" s="608"/>
      <c r="L9" s="1128"/>
      <c r="M9" s="1129"/>
      <c r="N9" s="1129"/>
      <c r="O9" s="1130"/>
      <c r="P9" s="3185"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770">
        <f t="shared" si="5"/>
        <v>1</v>
      </c>
    </row>
    <row r="10" spans="1:30" s="424" customFormat="1" ht="27">
      <c r="A10" s="418"/>
      <c r="B10" s="419" t="s">
        <v>2541</v>
      </c>
      <c r="C10" s="429">
        <v>69</v>
      </c>
      <c r="D10" s="133">
        <v>100</v>
      </c>
      <c r="E10" s="462" t="s">
        <v>3149</v>
      </c>
      <c r="F10" s="133">
        <f>ROUND(100/'数据-取费表'!G16,0)</f>
        <v>100</v>
      </c>
      <c r="G10" s="460" t="s">
        <v>3149</v>
      </c>
      <c r="H10" s="133">
        <f>ROUND(100/'数据-取费表'!G16,0)</f>
        <v>100</v>
      </c>
      <c r="I10" s="460" t="s">
        <v>3149</v>
      </c>
      <c r="J10" s="133">
        <f>ROUND(100/'数据-取费表'!G16,0)</f>
        <v>100</v>
      </c>
      <c r="K10" s="669"/>
      <c r="L10" s="1131"/>
      <c r="M10" s="1132"/>
      <c r="N10" s="1132"/>
      <c r="O10" s="1133"/>
      <c r="P10" s="3185"/>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30" ht="15.75" thickBot="1">
      <c r="A11" s="425"/>
      <c r="B11" s="419" t="s">
        <v>2542</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185"/>
      <c r="Q11" s="1790" t="str">
        <f t="shared" si="6"/>
        <v>容积率</v>
      </c>
      <c r="R11" s="767" t="s">
        <v>17</v>
      </c>
      <c r="S11" s="768">
        <f t="shared" si="0"/>
        <v>85</v>
      </c>
      <c r="T11" s="767" t="s">
        <v>17</v>
      </c>
      <c r="U11" s="768">
        <f t="shared" si="1"/>
        <v>85</v>
      </c>
      <c r="V11" s="767" t="s">
        <v>17</v>
      </c>
      <c r="W11" s="768">
        <f t="shared" si="2"/>
        <v>85</v>
      </c>
      <c r="X11" s="769"/>
      <c r="Y11" s="3032"/>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85"/>
      <c r="Q12" s="1790">
        <f t="shared" si="6"/>
        <v>0</v>
      </c>
      <c r="R12" s="767" t="s">
        <v>17</v>
      </c>
      <c r="S12" s="768">
        <f t="shared" si="0"/>
        <v>100</v>
      </c>
      <c r="T12" s="767" t="s">
        <v>17</v>
      </c>
      <c r="U12" s="768">
        <f t="shared" si="1"/>
        <v>100</v>
      </c>
      <c r="V12" s="767" t="s">
        <v>17</v>
      </c>
      <c r="W12" s="768">
        <f t="shared" si="2"/>
        <v>100</v>
      </c>
      <c r="X12" s="769"/>
      <c r="Y12" s="3032"/>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85"/>
      <c r="Q13" s="1790">
        <f t="shared" si="6"/>
        <v>0</v>
      </c>
      <c r="R13" s="767" t="s">
        <v>17</v>
      </c>
      <c r="S13" s="768">
        <f t="shared" si="0"/>
        <v>100</v>
      </c>
      <c r="T13" s="767" t="s">
        <v>17</v>
      </c>
      <c r="U13" s="768">
        <f t="shared" si="1"/>
        <v>100</v>
      </c>
      <c r="V13" s="767" t="s">
        <v>17</v>
      </c>
      <c r="W13" s="768">
        <f t="shared" si="2"/>
        <v>100</v>
      </c>
      <c r="X13" s="769"/>
      <c r="Y13" s="3032"/>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85"/>
      <c r="Q14" s="1790">
        <f t="shared" si="6"/>
        <v>0</v>
      </c>
      <c r="R14" s="767" t="s">
        <v>17</v>
      </c>
      <c r="S14" s="768">
        <f t="shared" si="0"/>
        <v>100</v>
      </c>
      <c r="T14" s="767" t="s">
        <v>17</v>
      </c>
      <c r="U14" s="768">
        <f t="shared" si="1"/>
        <v>100</v>
      </c>
      <c r="V14" s="767" t="s">
        <v>17</v>
      </c>
      <c r="W14" s="768">
        <f t="shared" si="2"/>
        <v>100</v>
      </c>
      <c r="X14" s="769"/>
      <c r="Y14" s="3032"/>
      <c r="Z14" s="55">
        <f t="shared" si="7"/>
        <v>0</v>
      </c>
      <c r="AA14" s="770">
        <f>D14/F14</f>
        <v>1</v>
      </c>
      <c r="AB14" s="770">
        <f>D14/H14</f>
        <v>1</v>
      </c>
      <c r="AC14" s="770">
        <f>D14/J14</f>
        <v>1</v>
      </c>
    </row>
    <row r="15" spans="1:30" ht="15">
      <c r="A15" s="437" t="s">
        <v>2543</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187" t="s">
        <v>2544</v>
      </c>
      <c r="Q15" s="1805" t="str">
        <f t="shared" si="6"/>
        <v>居住社区成熟度</v>
      </c>
      <c r="R15" s="771" t="s">
        <v>17</v>
      </c>
      <c r="S15" s="772">
        <f t="shared" si="0"/>
        <v>103</v>
      </c>
      <c r="T15" s="771" t="s">
        <v>17</v>
      </c>
      <c r="U15" s="772">
        <f t="shared" si="1"/>
        <v>103</v>
      </c>
      <c r="V15" s="771" t="s">
        <v>17</v>
      </c>
      <c r="W15" s="772">
        <f t="shared" si="2"/>
        <v>103</v>
      </c>
      <c r="X15" s="1808"/>
      <c r="Y15" s="3187" t="s">
        <v>2544</v>
      </c>
      <c r="Z15" s="1809" t="str">
        <f t="shared" si="7"/>
        <v>居住社区成熟度</v>
      </c>
      <c r="AA15" s="1806">
        <f t="shared" si="3"/>
        <v>0.970873786407767</v>
      </c>
      <c r="AB15" s="1806">
        <f t="shared" si="4"/>
        <v>0.970873786407767</v>
      </c>
      <c r="AC15" s="1806">
        <f t="shared" si="5"/>
        <v>0.970873786407767</v>
      </c>
    </row>
    <row r="16" spans="1:30" ht="15">
      <c r="A16" s="425"/>
      <c r="B16" s="443"/>
      <c r="C16" s="444" t="s">
        <v>3161</v>
      </c>
      <c r="D16" s="445"/>
      <c r="E16" s="2601" t="s">
        <v>3150</v>
      </c>
      <c r="F16" s="445"/>
      <c r="G16" s="2601" t="s">
        <v>3150</v>
      </c>
      <c r="H16" s="447"/>
      <c r="I16" s="2600" t="s">
        <v>3150</v>
      </c>
      <c r="J16" s="445"/>
      <c r="K16" s="669"/>
      <c r="L16" s="1136"/>
      <c r="M16" s="1127"/>
      <c r="N16" s="1127"/>
      <c r="O16" s="1135"/>
      <c r="P16" s="3188"/>
      <c r="Q16" s="1805"/>
      <c r="R16" s="771"/>
      <c r="S16" s="772"/>
      <c r="T16" s="771"/>
      <c r="U16" s="772"/>
      <c r="V16" s="771"/>
      <c r="W16" s="772"/>
      <c r="X16" s="1808"/>
      <c r="Y16" s="3188"/>
      <c r="Z16" s="1809"/>
      <c r="AA16" s="1806">
        <v>1</v>
      </c>
      <c r="AB16" s="1806">
        <v>1</v>
      </c>
      <c r="AC16" s="1806">
        <v>1</v>
      </c>
    </row>
    <row r="17" spans="1:29" ht="15">
      <c r="A17" s="425"/>
      <c r="B17" s="448" t="s">
        <v>2637</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188"/>
      <c r="Q17" s="1805" t="str">
        <f>B17</f>
        <v>商业繁华度</v>
      </c>
      <c r="R17" s="771" t="s">
        <v>17</v>
      </c>
      <c r="S17" s="772">
        <f>F17</f>
        <v>102</v>
      </c>
      <c r="T17" s="771" t="s">
        <v>17</v>
      </c>
      <c r="U17" s="772">
        <f>H17</f>
        <v>102</v>
      </c>
      <c r="V17" s="771" t="s">
        <v>17</v>
      </c>
      <c r="W17" s="772">
        <f>J17</f>
        <v>102</v>
      </c>
      <c r="X17" s="1808"/>
      <c r="Y17" s="3188"/>
      <c r="Z17" s="1809" t="str">
        <f>Q17</f>
        <v>商业繁华度</v>
      </c>
      <c r="AA17" s="1806">
        <f t="shared" si="3"/>
        <v>0.98039215686274506</v>
      </c>
      <c r="AB17" s="1806">
        <f t="shared" si="4"/>
        <v>0.98039215686274506</v>
      </c>
      <c r="AC17" s="1806">
        <f t="shared" si="5"/>
        <v>0.98039215686274506</v>
      </c>
    </row>
    <row r="18" spans="1:29" ht="15">
      <c r="A18" s="425"/>
      <c r="B18" s="453"/>
      <c r="C18" s="2604" t="s">
        <v>3161</v>
      </c>
      <c r="D18" s="447"/>
      <c r="E18" s="2606" t="s">
        <v>3150</v>
      </c>
      <c r="F18" s="447"/>
      <c r="G18" s="2606" t="s">
        <v>3150</v>
      </c>
      <c r="H18" s="445"/>
      <c r="I18" s="2606" t="s">
        <v>3150</v>
      </c>
      <c r="J18" s="445"/>
      <c r="K18" s="669"/>
      <c r="L18" s="1136"/>
      <c r="M18" s="1127"/>
      <c r="N18" s="1127"/>
      <c r="O18" s="1135"/>
      <c r="P18" s="3188"/>
      <c r="Q18" s="1805"/>
      <c r="R18" s="771"/>
      <c r="S18" s="772"/>
      <c r="T18" s="771"/>
      <c r="U18" s="772"/>
      <c r="V18" s="771"/>
      <c r="W18" s="772"/>
      <c r="X18" s="1808"/>
      <c r="Y18" s="3188"/>
      <c r="Z18" s="1809"/>
      <c r="AA18" s="1806">
        <v>1</v>
      </c>
      <c r="AB18" s="1806">
        <v>1</v>
      </c>
      <c r="AC18" s="1806">
        <v>1</v>
      </c>
    </row>
    <row r="19" spans="1:29" ht="15" hidden="1">
      <c r="A19" s="425"/>
      <c r="B19" s="448" t="s">
        <v>2671</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188"/>
      <c r="Q19" s="1805" t="str">
        <f>B19</f>
        <v>办公集聚程度</v>
      </c>
      <c r="R19" s="771" t="s">
        <v>17</v>
      </c>
      <c r="S19" s="772">
        <f>F19</f>
        <v>100</v>
      </c>
      <c r="T19" s="771" t="s">
        <v>17</v>
      </c>
      <c r="U19" s="772">
        <f>H19</f>
        <v>100</v>
      </c>
      <c r="V19" s="771" t="s">
        <v>17</v>
      </c>
      <c r="W19" s="772">
        <f>J19</f>
        <v>100</v>
      </c>
      <c r="X19" s="1808"/>
      <c r="Y19" s="3188"/>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188"/>
      <c r="Q20" s="1805"/>
      <c r="R20" s="771"/>
      <c r="S20" s="772"/>
      <c r="T20" s="771"/>
      <c r="U20" s="772"/>
      <c r="V20" s="771"/>
      <c r="W20" s="772"/>
      <c r="X20" s="1808"/>
      <c r="Y20" s="3188"/>
      <c r="Z20" s="1809"/>
      <c r="AA20" s="1806">
        <v>1</v>
      </c>
      <c r="AB20" s="1806">
        <v>1</v>
      </c>
      <c r="AC20" s="1806">
        <v>1</v>
      </c>
    </row>
    <row r="21" spans="1:29" ht="15">
      <c r="A21" s="425"/>
      <c r="B21" s="448" t="s">
        <v>2693</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188"/>
      <c r="Q21" s="1805" t="str">
        <f>B21</f>
        <v>交通便捷度</v>
      </c>
      <c r="R21" s="771" t="s">
        <v>17</v>
      </c>
      <c r="S21" s="772">
        <f>F21</f>
        <v>102</v>
      </c>
      <c r="T21" s="771" t="s">
        <v>17</v>
      </c>
      <c r="U21" s="772">
        <f>H21</f>
        <v>102</v>
      </c>
      <c r="V21" s="771" t="s">
        <v>17</v>
      </c>
      <c r="W21" s="772">
        <f>J21</f>
        <v>102</v>
      </c>
      <c r="X21" s="1808"/>
      <c r="Y21" s="3188"/>
      <c r="Z21" s="1809" t="str">
        <f>Q21</f>
        <v>交通便捷度</v>
      </c>
      <c r="AA21" s="1806">
        <f t="shared" si="3"/>
        <v>0.98039215686274506</v>
      </c>
      <c r="AB21" s="1806">
        <f t="shared" si="4"/>
        <v>0.98039215686274506</v>
      </c>
      <c r="AC21" s="1806">
        <f t="shared" si="5"/>
        <v>0.98039215686274506</v>
      </c>
    </row>
    <row r="22" spans="1:29" ht="15">
      <c r="A22" s="425"/>
      <c r="B22" s="1380"/>
      <c r="C22" s="444" t="s">
        <v>3161</v>
      </c>
      <c r="D22" s="447"/>
      <c r="E22" s="2601" t="s">
        <v>3150</v>
      </c>
      <c r="F22" s="445"/>
      <c r="G22" s="2601" t="s">
        <v>3150</v>
      </c>
      <c r="H22" s="445"/>
      <c r="I22" s="2600" t="s">
        <v>3150</v>
      </c>
      <c r="J22" s="445"/>
      <c r="K22" s="669"/>
      <c r="L22" s="1136"/>
      <c r="M22" s="1127"/>
      <c r="N22" s="1127"/>
      <c r="O22" s="1135"/>
      <c r="P22" s="3188"/>
      <c r="Q22" s="1805"/>
      <c r="R22" s="771"/>
      <c r="S22" s="772"/>
      <c r="T22" s="771"/>
      <c r="U22" s="772"/>
      <c r="V22" s="771"/>
      <c r="W22" s="772"/>
      <c r="X22" s="1808"/>
      <c r="Y22" s="3188"/>
      <c r="Z22" s="1809"/>
      <c r="AA22" s="1806">
        <v>1</v>
      </c>
      <c r="AB22" s="1806">
        <v>1</v>
      </c>
      <c r="AC22" s="1806">
        <v>1</v>
      </c>
    </row>
    <row r="23" spans="1:29" ht="15">
      <c r="A23" s="401"/>
      <c r="B23" s="448" t="s">
        <v>2731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188"/>
      <c r="Q23" s="1805" t="str">
        <f t="shared" ref="Q23:Q37" si="8">B23</f>
        <v>区域土地利用方向</v>
      </c>
      <c r="R23" s="771" t="s">
        <v>17</v>
      </c>
      <c r="S23" s="772">
        <f>F23</f>
        <v>100</v>
      </c>
      <c r="T23" s="771" t="s">
        <v>17</v>
      </c>
      <c r="U23" s="772">
        <f>H23</f>
        <v>100</v>
      </c>
      <c r="V23" s="771" t="s">
        <v>17</v>
      </c>
      <c r="W23" s="772">
        <f>J23</f>
        <v>100</v>
      </c>
      <c r="X23" s="1808"/>
      <c r="Y23" s="3188"/>
      <c r="Z23" s="1809" t="str">
        <f>Q23</f>
        <v>区域土地利用方向</v>
      </c>
      <c r="AA23" s="1806">
        <f t="shared" si="3"/>
        <v>1</v>
      </c>
      <c r="AB23" s="1806">
        <f t="shared" si="4"/>
        <v>1</v>
      </c>
      <c r="AC23" s="1806">
        <f t="shared" si="5"/>
        <v>1</v>
      </c>
    </row>
    <row r="24" spans="1:29" ht="15">
      <c r="A24" s="401"/>
      <c r="B24" s="453"/>
      <c r="C24" s="613" t="s">
        <v>3150</v>
      </c>
      <c r="D24" s="445"/>
      <c r="E24" s="2601" t="s">
        <v>3150</v>
      </c>
      <c r="F24" s="445"/>
      <c r="G24" s="2600" t="s">
        <v>3150</v>
      </c>
      <c r="H24" s="445"/>
      <c r="I24" s="2600" t="s">
        <v>3150</v>
      </c>
      <c r="J24" s="445"/>
      <c r="K24" s="805"/>
      <c r="L24" s="1136"/>
      <c r="M24" s="1127"/>
      <c r="N24" s="1127"/>
      <c r="O24" s="1135"/>
      <c r="P24" s="3188"/>
      <c r="Q24" s="1805"/>
      <c r="R24" s="771"/>
      <c r="S24" s="772"/>
      <c r="T24" s="771"/>
      <c r="U24" s="772"/>
      <c r="V24" s="771"/>
      <c r="W24" s="772"/>
      <c r="X24" s="1808"/>
      <c r="Y24" s="3188"/>
      <c r="Z24" s="1809"/>
      <c r="AA24" s="1806"/>
      <c r="AB24" s="1806"/>
      <c r="AC24" s="1806"/>
    </row>
    <row r="25" spans="1:29" ht="27">
      <c r="A25" s="401"/>
      <c r="B25" s="1380" t="s">
        <v>2732</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188"/>
      <c r="Q25" s="1805" t="str">
        <f t="shared" si="8"/>
        <v>自然及人文环境状况</v>
      </c>
      <c r="R25" s="771" t="s">
        <v>17</v>
      </c>
      <c r="S25" s="772">
        <f>F25</f>
        <v>103</v>
      </c>
      <c r="T25" s="771" t="s">
        <v>17</v>
      </c>
      <c r="U25" s="772">
        <f>H25</f>
        <v>103</v>
      </c>
      <c r="V25" s="771" t="s">
        <v>17</v>
      </c>
      <c r="W25" s="772">
        <f>J25</f>
        <v>103</v>
      </c>
      <c r="X25" s="1808"/>
      <c r="Y25" s="3188"/>
      <c r="Z25" s="1809" t="str">
        <f>Q25</f>
        <v>自然及人文环境状况</v>
      </c>
      <c r="AA25" s="1806">
        <f t="shared" si="3"/>
        <v>0.970873786407767</v>
      </c>
      <c r="AB25" s="1806">
        <f t="shared" si="4"/>
        <v>0.970873786407767</v>
      </c>
      <c r="AC25" s="1806">
        <f t="shared" si="5"/>
        <v>0.970873786407767</v>
      </c>
    </row>
    <row r="26" spans="1:29" ht="15">
      <c r="A26" s="401"/>
      <c r="B26" s="453"/>
      <c r="C26" s="444" t="s">
        <v>3161</v>
      </c>
      <c r="D26" s="445"/>
      <c r="E26" s="2607" t="s">
        <v>3150</v>
      </c>
      <c r="F26" s="445"/>
      <c r="G26" s="2607" t="s">
        <v>3150</v>
      </c>
      <c r="H26" s="445"/>
      <c r="I26" s="444" t="s">
        <v>3150</v>
      </c>
      <c r="J26" s="445"/>
      <c r="K26" s="669"/>
      <c r="L26" s="1136"/>
      <c r="M26" s="1127"/>
      <c r="N26" s="1127"/>
      <c r="O26" s="1135"/>
      <c r="P26" s="3188"/>
      <c r="Q26" s="1805"/>
      <c r="R26" s="771"/>
      <c r="S26" s="772"/>
      <c r="T26" s="771"/>
      <c r="U26" s="772"/>
      <c r="V26" s="771"/>
      <c r="W26" s="772"/>
      <c r="X26" s="1808"/>
      <c r="Y26" s="3188"/>
      <c r="Z26" s="1809"/>
      <c r="AA26" s="1806">
        <v>1</v>
      </c>
      <c r="AB26" s="1806">
        <v>1</v>
      </c>
      <c r="AC26" s="1806">
        <v>1</v>
      </c>
    </row>
    <row r="27" spans="1:29" s="115" customFormat="1" ht="15">
      <c r="A27" s="646"/>
      <c r="B27" s="1380" t="s">
        <v>2638</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188"/>
      <c r="Q27" s="1790" t="str">
        <f t="shared" si="8"/>
        <v>公共配套设施</v>
      </c>
      <c r="R27" s="767" t="s">
        <v>17</v>
      </c>
      <c r="S27" s="768">
        <f>F27</f>
        <v>103</v>
      </c>
      <c r="T27" s="767" t="s">
        <v>17</v>
      </c>
      <c r="U27" s="768">
        <f>H27</f>
        <v>103</v>
      </c>
      <c r="V27" s="767" t="s">
        <v>17</v>
      </c>
      <c r="W27" s="768">
        <f>J27</f>
        <v>103</v>
      </c>
      <c r="X27" s="769"/>
      <c r="Y27" s="3188"/>
      <c r="Z27" s="55" t="str">
        <f>Q27</f>
        <v>公共配套设施</v>
      </c>
      <c r="AA27" s="1806">
        <f>D27/F27</f>
        <v>0.970873786407767</v>
      </c>
      <c r="AB27" s="1806">
        <f>D27/H27</f>
        <v>0.970873786407767</v>
      </c>
      <c r="AC27" s="1806">
        <f>D27/J27</f>
        <v>0.970873786407767</v>
      </c>
    </row>
    <row r="28" spans="1:29" s="115" customFormat="1" ht="15">
      <c r="A28" s="646"/>
      <c r="B28" s="453"/>
      <c r="C28" s="2696" t="s">
        <v>3161</v>
      </c>
      <c r="D28" s="445"/>
      <c r="E28" s="2607" t="s">
        <v>3150</v>
      </c>
      <c r="F28" s="445"/>
      <c r="G28" s="2607" t="s">
        <v>3150</v>
      </c>
      <c r="H28" s="445"/>
      <c r="I28" s="444" t="s">
        <v>3150</v>
      </c>
      <c r="J28" s="445"/>
      <c r="K28" s="669"/>
      <c r="L28" s="1128"/>
      <c r="M28" s="1129"/>
      <c r="N28" s="1129"/>
      <c r="O28" s="1130"/>
      <c r="P28" s="3188"/>
      <c r="Q28" s="1790"/>
      <c r="R28" s="767"/>
      <c r="S28" s="768"/>
      <c r="T28" s="767"/>
      <c r="U28" s="768"/>
      <c r="V28" s="767"/>
      <c r="W28" s="768"/>
      <c r="X28" s="769"/>
      <c r="Y28" s="3188"/>
      <c r="Z28" s="55"/>
      <c r="AA28" s="1806">
        <v>1</v>
      </c>
      <c r="AB28" s="1806">
        <v>1</v>
      </c>
      <c r="AC28" s="1806">
        <v>1</v>
      </c>
    </row>
    <row r="29" spans="1:29" s="115" customFormat="1" ht="15">
      <c r="A29" s="646"/>
      <c r="B29" s="1380" t="s">
        <v>2639</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188"/>
      <c r="Q29" s="1790" t="str">
        <f t="shared" ref="Q29" si="9">B29</f>
        <v>基础设施水平</v>
      </c>
      <c r="R29" s="767" t="s">
        <v>17</v>
      </c>
      <c r="S29" s="768">
        <f>F29</f>
        <v>100</v>
      </c>
      <c r="T29" s="767" t="s">
        <v>17</v>
      </c>
      <c r="U29" s="768">
        <f>H29</f>
        <v>100</v>
      </c>
      <c r="V29" s="767" t="s">
        <v>17</v>
      </c>
      <c r="W29" s="768">
        <f>J29</f>
        <v>100</v>
      </c>
      <c r="X29" s="769"/>
      <c r="Y29" s="3188"/>
      <c r="Z29" s="55" t="str">
        <f>Q29</f>
        <v>基础设施水平</v>
      </c>
      <c r="AA29" s="1806">
        <f>D29/F29</f>
        <v>1</v>
      </c>
      <c r="AB29" s="1806">
        <f>D29/H29</f>
        <v>1</v>
      </c>
      <c r="AC29" s="1806">
        <f>D29/J29</f>
        <v>1</v>
      </c>
    </row>
    <row r="30" spans="1:29" s="115" customFormat="1" ht="15">
      <c r="A30" s="646"/>
      <c r="B30" s="453"/>
      <c r="C30" s="2696" t="s">
        <v>3151</v>
      </c>
      <c r="D30" s="445"/>
      <c r="E30" s="2697" t="s">
        <v>3151</v>
      </c>
      <c r="F30" s="445"/>
      <c r="G30" s="2697" t="s">
        <v>3151</v>
      </c>
      <c r="H30" s="445"/>
      <c r="I30" s="2697" t="s">
        <v>3151</v>
      </c>
      <c r="J30" s="445"/>
      <c r="K30" s="669"/>
      <c r="L30" s="1128"/>
      <c r="M30" s="1129"/>
      <c r="N30" s="1129"/>
      <c r="O30" s="1130"/>
      <c r="P30" s="3188"/>
      <c r="Q30" s="1790"/>
      <c r="R30" s="767"/>
      <c r="S30" s="768"/>
      <c r="T30" s="767"/>
      <c r="U30" s="768"/>
      <c r="V30" s="767"/>
      <c r="W30" s="768"/>
      <c r="X30" s="769"/>
      <c r="Y30" s="3188"/>
      <c r="Z30" s="55"/>
      <c r="AA30" s="1806">
        <v>1</v>
      </c>
      <c r="AB30" s="1806">
        <v>1</v>
      </c>
      <c r="AC30" s="1806">
        <v>1</v>
      </c>
    </row>
    <row r="31" spans="1:29" ht="15">
      <c r="A31" s="425"/>
      <c r="B31" s="453" t="s">
        <v>2640</v>
      </c>
      <c r="C31" s="613" t="s">
        <v>3152</v>
      </c>
      <c r="D31" s="432">
        <v>100</v>
      </c>
      <c r="E31" s="631" t="s">
        <v>3152</v>
      </c>
      <c r="F31" s="432">
        <f>SUMIF(104:104,E31,105:105)-SUMIF(104:104,C31,105:105)+100</f>
        <v>100</v>
      </c>
      <c r="G31" s="631" t="s">
        <v>3152</v>
      </c>
      <c r="H31" s="432">
        <f>SUMIF(104:104,G31,105:105)-SUMIF(104:104,C31,105:105)+100</f>
        <v>100</v>
      </c>
      <c r="I31" s="631" t="s">
        <v>3152</v>
      </c>
      <c r="J31" s="432">
        <f>SUMIF(104:104,I31,105:105)-SUMIF(104:104,C31,105:105)+100</f>
        <v>100</v>
      </c>
      <c r="K31" s="670">
        <v>1</v>
      </c>
      <c r="L31" s="1136"/>
      <c r="M31" s="1127"/>
      <c r="N31" s="1127"/>
      <c r="O31" s="1135"/>
      <c r="P31" s="3188"/>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88"/>
      <c r="Z31" s="1809" t="str">
        <f t="shared" ref="Z31:Z45" si="13">Q31</f>
        <v>临街状况</v>
      </c>
      <c r="AA31" s="1806">
        <f t="shared" si="3"/>
        <v>1</v>
      </c>
      <c r="AB31" s="1806">
        <f t="shared" si="4"/>
        <v>1</v>
      </c>
      <c r="AC31" s="1806">
        <f t="shared" si="5"/>
        <v>1</v>
      </c>
    </row>
    <row r="32" spans="1:29" ht="27">
      <c r="A32" s="425"/>
      <c r="B32" s="1380" t="s">
        <v>2675</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188"/>
      <c r="Q32" s="1805" t="str">
        <f t="shared" si="8"/>
        <v>毗邻道路的类型与等级</v>
      </c>
      <c r="R32" s="771" t="s">
        <v>17</v>
      </c>
      <c r="S32" s="772">
        <f t="shared" si="10"/>
        <v>102</v>
      </c>
      <c r="T32" s="771" t="s">
        <v>17</v>
      </c>
      <c r="U32" s="772">
        <f t="shared" si="11"/>
        <v>102</v>
      </c>
      <c r="V32" s="771" t="s">
        <v>17</v>
      </c>
      <c r="W32" s="772">
        <f t="shared" si="12"/>
        <v>100</v>
      </c>
      <c r="X32" s="1808"/>
      <c r="Y32" s="3188"/>
      <c r="Z32" s="1809" t="str">
        <f t="shared" si="13"/>
        <v>毗邻道路的类型与等级</v>
      </c>
      <c r="AA32" s="1806">
        <f t="shared" si="3"/>
        <v>0.98039215686274506</v>
      </c>
      <c r="AB32" s="1806">
        <f t="shared" si="4"/>
        <v>0.98039215686274506</v>
      </c>
      <c r="AC32" s="1806">
        <f t="shared" si="5"/>
        <v>1</v>
      </c>
    </row>
    <row r="33" spans="1:29" ht="15.75" thickBot="1">
      <c r="A33" s="425"/>
      <c r="B33" s="453"/>
      <c r="C33" s="2977" t="s">
        <v>3162</v>
      </c>
      <c r="D33" s="445"/>
      <c r="E33" s="2607" t="s">
        <v>3153</v>
      </c>
      <c r="F33" s="445"/>
      <c r="G33" s="2607" t="s">
        <v>3153</v>
      </c>
      <c r="H33" s="445"/>
      <c r="I33" s="444" t="s">
        <v>3157</v>
      </c>
      <c r="J33" s="445"/>
      <c r="K33" s="610"/>
      <c r="L33" s="1136"/>
      <c r="M33" s="1127"/>
      <c r="N33" s="1127"/>
      <c r="O33" s="1135"/>
      <c r="P33" s="3188"/>
      <c r="Q33" s="1805"/>
      <c r="R33" s="771"/>
      <c r="S33" s="772"/>
      <c r="T33" s="771"/>
      <c r="U33" s="772"/>
      <c r="V33" s="771"/>
      <c r="W33" s="772"/>
      <c r="X33" s="1808"/>
      <c r="Y33" s="3188"/>
      <c r="Z33" s="1809"/>
      <c r="AA33" s="1806">
        <v>1</v>
      </c>
      <c r="AB33" s="1806">
        <v>1</v>
      </c>
      <c r="AC33" s="1806">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188"/>
      <c r="Q34" s="1805" t="str">
        <f t="shared" si="8"/>
        <v>土地级别</v>
      </c>
      <c r="R34" s="771" t="s">
        <v>17</v>
      </c>
      <c r="S34" s="772">
        <f t="shared" si="10"/>
        <v>100</v>
      </c>
      <c r="T34" s="771" t="s">
        <v>17</v>
      </c>
      <c r="U34" s="772">
        <f t="shared" si="11"/>
        <v>100</v>
      </c>
      <c r="V34" s="771" t="s">
        <v>17</v>
      </c>
      <c r="W34" s="772">
        <f t="shared" si="12"/>
        <v>100</v>
      </c>
      <c r="X34" s="1808"/>
      <c r="Y34" s="3188"/>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88"/>
      <c r="Q35" s="1805">
        <f t="shared" si="8"/>
        <v>111</v>
      </c>
      <c r="R35" s="771" t="s">
        <v>17</v>
      </c>
      <c r="S35" s="772">
        <f t="shared" si="10"/>
        <v>100</v>
      </c>
      <c r="T35" s="771" t="s">
        <v>17</v>
      </c>
      <c r="U35" s="772">
        <f t="shared" si="11"/>
        <v>100</v>
      </c>
      <c r="V35" s="771" t="s">
        <v>17</v>
      </c>
      <c r="W35" s="772">
        <f t="shared" si="12"/>
        <v>100</v>
      </c>
      <c r="X35" s="1808"/>
      <c r="Y35" s="3188"/>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189" t="s">
        <v>2549</v>
      </c>
      <c r="Q36" s="1805">
        <f t="shared" si="8"/>
        <v>111</v>
      </c>
      <c r="R36" s="771" t="s">
        <v>17</v>
      </c>
      <c r="S36" s="772">
        <f t="shared" si="10"/>
        <v>100</v>
      </c>
      <c r="T36" s="771" t="s">
        <v>17</v>
      </c>
      <c r="U36" s="772">
        <f t="shared" si="11"/>
        <v>100</v>
      </c>
      <c r="V36" s="771" t="s">
        <v>17</v>
      </c>
      <c r="W36" s="772">
        <f t="shared" si="12"/>
        <v>100</v>
      </c>
      <c r="X36" s="1808"/>
      <c r="Y36" s="3190" t="s">
        <v>2549</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190"/>
      <c r="Q37" s="1805">
        <f t="shared" si="8"/>
        <v>111</v>
      </c>
      <c r="R37" s="774" t="s">
        <v>17</v>
      </c>
      <c r="S37" s="775">
        <f t="shared" si="10"/>
        <v>100</v>
      </c>
      <c r="T37" s="774" t="s">
        <v>17</v>
      </c>
      <c r="U37" s="775">
        <f t="shared" si="11"/>
        <v>100</v>
      </c>
      <c r="V37" s="774" t="s">
        <v>17</v>
      </c>
      <c r="W37" s="775">
        <f t="shared" si="12"/>
        <v>100</v>
      </c>
      <c r="X37" s="776"/>
      <c r="Y37" s="3190"/>
      <c r="Z37" s="777">
        <f t="shared" si="13"/>
        <v>111</v>
      </c>
      <c r="AA37" s="1806">
        <f t="shared" si="3"/>
        <v>1</v>
      </c>
      <c r="AB37" s="1806">
        <f t="shared" si="4"/>
        <v>1</v>
      </c>
      <c r="AC37" s="1806">
        <f t="shared" si="5"/>
        <v>1</v>
      </c>
    </row>
    <row r="38" spans="1:29" ht="15">
      <c r="A38" s="469" t="s">
        <v>2547</v>
      </c>
      <c r="B38" s="453" t="s">
        <v>2734</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190"/>
      <c r="Q38" s="1805" t="str">
        <f>B38</f>
        <v>宗地面积</v>
      </c>
      <c r="R38" s="771" t="s">
        <v>17</v>
      </c>
      <c r="S38" s="772">
        <f t="shared" si="10"/>
        <v>100</v>
      </c>
      <c r="T38" s="771" t="s">
        <v>17</v>
      </c>
      <c r="U38" s="772">
        <f t="shared" si="11"/>
        <v>100</v>
      </c>
      <c r="V38" s="771" t="s">
        <v>17</v>
      </c>
      <c r="W38" s="772">
        <f t="shared" si="12"/>
        <v>100</v>
      </c>
      <c r="X38" s="1808"/>
      <c r="Y38" s="3190"/>
      <c r="Z38" s="1809" t="str">
        <f t="shared" si="13"/>
        <v>宗地面积</v>
      </c>
      <c r="AA38" s="1806">
        <f t="shared" si="3"/>
        <v>1</v>
      </c>
      <c r="AB38" s="1806">
        <f t="shared" si="4"/>
        <v>1</v>
      </c>
      <c r="AC38" s="1806">
        <f t="shared" si="5"/>
        <v>1</v>
      </c>
    </row>
    <row r="39" spans="1:29" ht="15">
      <c r="A39" s="469"/>
      <c r="B39" s="419" t="s">
        <v>2735</v>
      </c>
      <c r="C39" s="2609" t="s">
        <v>3154</v>
      </c>
      <c r="D39" s="432">
        <v>100</v>
      </c>
      <c r="E39" s="2609" t="s">
        <v>3154</v>
      </c>
      <c r="F39" s="432">
        <f>SUMIF(119:119,E39,120:120)-SUMIF(119:119,C39,120:120)+100</f>
        <v>100</v>
      </c>
      <c r="G39" s="2609" t="s">
        <v>3154</v>
      </c>
      <c r="H39" s="432">
        <f>SUMIF(119:119,G39,120:120)-SUMIF(119:119,C39,120:120)+100</f>
        <v>100</v>
      </c>
      <c r="I39" s="2609" t="s">
        <v>3154</v>
      </c>
      <c r="J39" s="432">
        <f>SUMIF(119:119,I39,120:120)-SUMIF(119:119,C39,120:120)+100</f>
        <v>100</v>
      </c>
      <c r="K39" s="609">
        <v>1</v>
      </c>
      <c r="L39" s="1136"/>
      <c r="M39" s="1127"/>
      <c r="N39" s="1127"/>
      <c r="O39" s="1135"/>
      <c r="P39" s="3190"/>
      <c r="Q39" s="1805" t="str">
        <f t="shared" ref="Q39:Q45" si="14">B39</f>
        <v>宗地形状</v>
      </c>
      <c r="R39" s="771" t="s">
        <v>17</v>
      </c>
      <c r="S39" s="772">
        <f t="shared" si="10"/>
        <v>100</v>
      </c>
      <c r="T39" s="771" t="s">
        <v>17</v>
      </c>
      <c r="U39" s="772">
        <f t="shared" si="11"/>
        <v>100</v>
      </c>
      <c r="V39" s="771" t="s">
        <v>17</v>
      </c>
      <c r="W39" s="772">
        <f t="shared" si="12"/>
        <v>100</v>
      </c>
      <c r="X39" s="1808"/>
      <c r="Y39" s="3190"/>
      <c r="Z39" s="1809" t="str">
        <f t="shared" si="13"/>
        <v>宗地形状</v>
      </c>
      <c r="AA39" s="1806">
        <f t="shared" si="3"/>
        <v>1</v>
      </c>
      <c r="AB39" s="1806">
        <f t="shared" si="4"/>
        <v>1</v>
      </c>
      <c r="AC39" s="1806">
        <f t="shared" si="5"/>
        <v>1</v>
      </c>
    </row>
    <row r="40" spans="1:29" ht="15">
      <c r="A40" s="469"/>
      <c r="B40" s="419" t="s">
        <v>2736</v>
      </c>
      <c r="C40" s="2609" t="s">
        <v>3155</v>
      </c>
      <c r="D40" s="432">
        <v>100</v>
      </c>
      <c r="E40" s="2609" t="s">
        <v>3155</v>
      </c>
      <c r="F40" s="432">
        <f>SUMIF(121:121,E40,122:122)-SUMIF(121:121,C40,122:122)+100</f>
        <v>100</v>
      </c>
      <c r="G40" s="2609" t="s">
        <v>3155</v>
      </c>
      <c r="H40" s="432">
        <f>SUMIF(121:121,G40,122:122)-SUMIF(121:121,C40,122:122)+100</f>
        <v>100</v>
      </c>
      <c r="I40" s="2609" t="s">
        <v>3155</v>
      </c>
      <c r="J40" s="432">
        <f>SUMIF(121:121,I40,122:122)-SUMIF(121:121,C40,122:122)+100</f>
        <v>100</v>
      </c>
      <c r="K40" s="609">
        <v>1</v>
      </c>
      <c r="L40" s="1136"/>
      <c r="M40" s="1127"/>
      <c r="N40" s="1127"/>
      <c r="O40" s="1135"/>
      <c r="P40" s="3190"/>
      <c r="Q40" s="1805" t="str">
        <f t="shared" si="14"/>
        <v>临街宽度及深度</v>
      </c>
      <c r="R40" s="771" t="s">
        <v>17</v>
      </c>
      <c r="S40" s="772">
        <f t="shared" si="10"/>
        <v>100</v>
      </c>
      <c r="T40" s="771" t="s">
        <v>17</v>
      </c>
      <c r="U40" s="772">
        <f t="shared" si="11"/>
        <v>100</v>
      </c>
      <c r="V40" s="771" t="s">
        <v>17</v>
      </c>
      <c r="W40" s="772">
        <f t="shared" si="12"/>
        <v>100</v>
      </c>
      <c r="X40" s="1808"/>
      <c r="Y40" s="3190"/>
      <c r="Z40" s="1809" t="str">
        <f t="shared" si="13"/>
        <v>临街宽度及深度</v>
      </c>
      <c r="AA40" s="1806">
        <f t="shared" si="3"/>
        <v>1</v>
      </c>
      <c r="AB40" s="1806">
        <f t="shared" si="4"/>
        <v>1</v>
      </c>
      <c r="AC40" s="1806">
        <f t="shared" si="5"/>
        <v>1</v>
      </c>
    </row>
    <row r="41" spans="1:29" s="115" customFormat="1" ht="15">
      <c r="A41" s="470"/>
      <c r="B41" s="419" t="s">
        <v>2737</v>
      </c>
      <c r="C41" s="2978" t="s">
        <v>3163</v>
      </c>
      <c r="D41" s="133">
        <v>100</v>
      </c>
      <c r="E41" s="2698" t="s">
        <v>3156</v>
      </c>
      <c r="F41" s="432">
        <f>SUMIF(123:123,E41,124:124)-SUMIF(123:123,C41,124:124)+100</f>
        <v>98.5</v>
      </c>
      <c r="G41" s="2698" t="s">
        <v>3156</v>
      </c>
      <c r="H41" s="432">
        <f>SUMIF(123:123,G41,124:124)-SUMIF(123:123,C41,124:124)+100</f>
        <v>98.5</v>
      </c>
      <c r="I41" s="2698" t="s">
        <v>3156</v>
      </c>
      <c r="J41" s="432">
        <f>SUMIF(123:123,I41,124:124)-SUMIF(123:123,C41,124:124)+100</f>
        <v>98.5</v>
      </c>
      <c r="K41" s="609">
        <v>0.5</v>
      </c>
      <c r="L41" s="1128"/>
      <c r="M41" s="1129"/>
      <c r="N41" s="1129"/>
      <c r="O41" s="1130"/>
      <c r="P41" s="3190"/>
      <c r="Q41" s="1805" t="str">
        <f t="shared" si="14"/>
        <v>宗地开发程度</v>
      </c>
      <c r="R41" s="767" t="s">
        <v>17</v>
      </c>
      <c r="S41" s="768">
        <f t="shared" si="10"/>
        <v>98.5</v>
      </c>
      <c r="T41" s="767" t="s">
        <v>17</v>
      </c>
      <c r="U41" s="768">
        <f t="shared" si="11"/>
        <v>98.5</v>
      </c>
      <c r="V41" s="767" t="s">
        <v>17</v>
      </c>
      <c r="W41" s="768">
        <f t="shared" si="12"/>
        <v>98.5</v>
      </c>
      <c r="X41" s="769"/>
      <c r="Y41" s="3190"/>
      <c r="Z41" s="55" t="str">
        <f t="shared" si="13"/>
        <v>宗地开发程度</v>
      </c>
      <c r="AA41" s="770">
        <f t="shared" si="3"/>
        <v>1.015228426395939</v>
      </c>
      <c r="AB41" s="770">
        <f t="shared" si="4"/>
        <v>1.015228426395939</v>
      </c>
      <c r="AC41" s="770">
        <f t="shared" si="5"/>
        <v>1.015228426395939</v>
      </c>
    </row>
    <row r="42" spans="1:29" ht="15.75" thickBot="1">
      <c r="A42" s="469"/>
      <c r="B42" s="419" t="s">
        <v>2738</v>
      </c>
      <c r="C42" s="2609" t="s">
        <v>3150</v>
      </c>
      <c r="D42" s="432">
        <v>100</v>
      </c>
      <c r="E42" s="2609" t="s">
        <v>3150</v>
      </c>
      <c r="F42" s="432">
        <f>SUMIF(125:125,E42,126:126)-SUMIF(125:125,C42,126:126)+100</f>
        <v>100</v>
      </c>
      <c r="G42" s="2609" t="s">
        <v>3150</v>
      </c>
      <c r="H42" s="432">
        <f>SUMIF(125:125,G42,126:126)-SUMIF(125:125,C42,126:126)+100</f>
        <v>100</v>
      </c>
      <c r="I42" s="2609" t="s">
        <v>3150</v>
      </c>
      <c r="J42" s="432">
        <f>SUMIF(125:125,I42,126:126)-SUMIF(125:125,C42,126:126)+100</f>
        <v>100</v>
      </c>
      <c r="K42" s="609">
        <v>1</v>
      </c>
      <c r="L42" s="1136"/>
      <c r="M42" s="1127"/>
      <c r="N42" s="1127"/>
      <c r="O42" s="1135"/>
      <c r="P42" s="3190" t="s">
        <v>2549</v>
      </c>
      <c r="Q42" s="1805" t="str">
        <f t="shared" si="14"/>
        <v>工程地质条件</v>
      </c>
      <c r="R42" s="771" t="s">
        <v>17</v>
      </c>
      <c r="S42" s="772">
        <f t="shared" si="10"/>
        <v>100</v>
      </c>
      <c r="T42" s="771" t="s">
        <v>17</v>
      </c>
      <c r="U42" s="772">
        <f t="shared" si="11"/>
        <v>100</v>
      </c>
      <c r="V42" s="771" t="s">
        <v>17</v>
      </c>
      <c r="W42" s="772">
        <f t="shared" si="12"/>
        <v>100</v>
      </c>
      <c r="X42" s="1808"/>
      <c r="Y42" s="3190" t="s">
        <v>2549</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190"/>
      <c r="Q43" s="1805">
        <f t="shared" si="14"/>
        <v>111</v>
      </c>
      <c r="R43" s="771" t="s">
        <v>17</v>
      </c>
      <c r="S43" s="772">
        <f t="shared" si="10"/>
        <v>100</v>
      </c>
      <c r="T43" s="771" t="s">
        <v>17</v>
      </c>
      <c r="U43" s="772">
        <f t="shared" si="11"/>
        <v>100</v>
      </c>
      <c r="V43" s="771" t="s">
        <v>17</v>
      </c>
      <c r="W43" s="772">
        <f t="shared" si="12"/>
        <v>100</v>
      </c>
      <c r="X43" s="1808"/>
      <c r="Y43" s="3190"/>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190"/>
      <c r="Q44" s="1805">
        <f t="shared" si="14"/>
        <v>111</v>
      </c>
      <c r="R44" s="771" t="s">
        <v>17</v>
      </c>
      <c r="S44" s="772">
        <f t="shared" si="10"/>
        <v>100</v>
      </c>
      <c r="T44" s="771" t="s">
        <v>17</v>
      </c>
      <c r="U44" s="772">
        <f t="shared" si="11"/>
        <v>100</v>
      </c>
      <c r="V44" s="771" t="s">
        <v>17</v>
      </c>
      <c r="W44" s="772">
        <f t="shared" si="12"/>
        <v>100</v>
      </c>
      <c r="X44" s="1808"/>
      <c r="Y44" s="3190"/>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190"/>
      <c r="Q45" s="1805">
        <f t="shared" si="14"/>
        <v>111</v>
      </c>
      <c r="R45" s="774" t="s">
        <v>17</v>
      </c>
      <c r="S45" s="775">
        <f t="shared" si="10"/>
        <v>100</v>
      </c>
      <c r="T45" s="774" t="s">
        <v>17</v>
      </c>
      <c r="U45" s="775">
        <f t="shared" si="11"/>
        <v>100</v>
      </c>
      <c r="V45" s="774" t="s">
        <v>17</v>
      </c>
      <c r="W45" s="775">
        <f t="shared" si="12"/>
        <v>100</v>
      </c>
      <c r="X45" s="776"/>
      <c r="Y45" s="3190"/>
      <c r="Z45" s="777">
        <f t="shared" si="13"/>
        <v>111</v>
      </c>
      <c r="AA45" s="1806">
        <f t="shared" si="3"/>
        <v>1</v>
      </c>
      <c r="AB45" s="1806">
        <f t="shared" si="4"/>
        <v>1</v>
      </c>
      <c r="AC45" s="1806">
        <f t="shared" si="5"/>
        <v>1</v>
      </c>
    </row>
    <row r="46" spans="1:29" ht="15">
      <c r="A46" s="476" t="s">
        <v>2704</v>
      </c>
      <c r="B46" s="2700" t="s">
        <v>2739</v>
      </c>
      <c r="C46" s="679" t="s">
        <v>1</v>
      </c>
      <c r="D46" s="478"/>
      <c r="E46" s="479">
        <v>5948</v>
      </c>
      <c r="F46" s="480"/>
      <c r="G46" s="481">
        <v>6371</v>
      </c>
      <c r="H46" s="482"/>
      <c r="I46" s="479">
        <v>5200</v>
      </c>
      <c r="J46" s="482"/>
      <c r="K46" s="780"/>
      <c r="L46" s="1139"/>
      <c r="M46" s="1140"/>
      <c r="N46" s="1127"/>
      <c r="O46" s="1140"/>
      <c r="P46" s="3185" t="str">
        <f>A46</f>
        <v>成交单价</v>
      </c>
      <c r="Q46" s="3185"/>
      <c r="R46" s="3191">
        <f>E46</f>
        <v>5948</v>
      </c>
      <c r="S46" s="3191"/>
      <c r="T46" s="3191">
        <f>G46</f>
        <v>6371</v>
      </c>
      <c r="U46" s="3191"/>
      <c r="V46" s="3191">
        <f>I46</f>
        <v>5200</v>
      </c>
      <c r="W46" s="3191"/>
      <c r="X46" s="756"/>
      <c r="Y46" s="778"/>
      <c r="Z46" s="756"/>
      <c r="AA46" s="756"/>
      <c r="AB46" s="756"/>
      <c r="AC46" s="756"/>
    </row>
    <row r="47" spans="1:29" ht="15.75" thickBot="1">
      <c r="A47" s="483" t="s">
        <v>2653</v>
      </c>
      <c r="B47" s="680"/>
      <c r="C47" s="487">
        <f>R48</f>
        <v>6111</v>
      </c>
      <c r="D47" s="486"/>
      <c r="E47" s="487">
        <f>R47</f>
        <v>6188</v>
      </c>
      <c r="F47" s="488"/>
      <c r="G47" s="485">
        <f>T47</f>
        <v>6628</v>
      </c>
      <c r="H47" s="486"/>
      <c r="I47" s="487">
        <f>V47</f>
        <v>5518</v>
      </c>
      <c r="J47" s="486"/>
      <c r="K47" s="781"/>
      <c r="L47" s="1139"/>
      <c r="M47" s="1140"/>
      <c r="N47" s="1140"/>
      <c r="O47" s="1140"/>
      <c r="P47" s="3185" t="str">
        <f>A47</f>
        <v>比较价值（元/平方米）</v>
      </c>
      <c r="Q47" s="3185"/>
      <c r="R47" s="3178">
        <f>ROUND(PRODUCT(R46,AA7:AA45),0)</f>
        <v>6188</v>
      </c>
      <c r="S47" s="3178"/>
      <c r="T47" s="3178">
        <f>ROUND(PRODUCT(T46,AB7:AB45),0)</f>
        <v>6628</v>
      </c>
      <c r="U47" s="3178"/>
      <c r="V47" s="3178">
        <f>ROUND(PRODUCT(V46,AC7:AC45),0)</f>
        <v>5518</v>
      </c>
      <c r="W47" s="3178"/>
      <c r="X47" s="756"/>
      <c r="Y47" s="756"/>
      <c r="Z47" s="756"/>
      <c r="AA47" s="756"/>
      <c r="AB47" s="756"/>
      <c r="AC47" s="756"/>
    </row>
    <row r="48" spans="1:29" ht="15.75" thickBot="1">
      <c r="A48" s="489" t="s">
        <v>2740</v>
      </c>
      <c r="B48" s="490"/>
      <c r="C48" s="491">
        <f>R48</f>
        <v>6111</v>
      </c>
      <c r="D48" s="491"/>
      <c r="E48" s="491"/>
      <c r="F48" s="491"/>
      <c r="G48" s="491"/>
      <c r="H48" s="491"/>
      <c r="I48" s="491"/>
      <c r="J48" s="491"/>
      <c r="K48" s="782"/>
      <c r="L48" s="1139"/>
      <c r="M48" s="1140"/>
      <c r="N48" s="1140"/>
      <c r="O48" s="1140"/>
      <c r="P48" s="3179" t="str">
        <f>A48</f>
        <v>估价对象XX用房的比较价值（楼面单价，元/平方米）</v>
      </c>
      <c r="Q48" s="3180"/>
      <c r="R48" s="3181">
        <f>ROUND(AVERAGE(R47:V47),0)</f>
        <v>6111</v>
      </c>
      <c r="S48" s="3181"/>
      <c r="T48" s="3181"/>
      <c r="U48" s="3181"/>
      <c r="V48" s="3181"/>
      <c r="W48" s="3181"/>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2655</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2656</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2657</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2741</v>
      </c>
      <c r="B55" s="682" t="s">
        <v>2742</v>
      </c>
      <c r="C55" s="2701" t="s">
        <v>2743</v>
      </c>
      <c r="D55" s="2702" t="s">
        <v>2744</v>
      </c>
      <c r="E55" s="683" t="s">
        <v>2745</v>
      </c>
      <c r="F55" s="1103" t="s">
        <v>2746</v>
      </c>
      <c r="G55" s="3182" t="s">
        <v>2747</v>
      </c>
      <c r="H55" s="3183"/>
      <c r="I55" s="141" t="s">
        <v>2748</v>
      </c>
      <c r="J55" s="2703" t="str">
        <f>项目基本情况!F35</f>
        <v>广东省</v>
      </c>
      <c r="K55" s="2704" t="s">
        <v>2749</v>
      </c>
      <c r="L55" s="1102"/>
      <c r="M55" s="1140"/>
      <c r="N55" s="1140"/>
      <c r="O55" s="1140"/>
    </row>
    <row r="56" spans="1:15" s="689" customFormat="1">
      <c r="A56" s="685" t="s">
        <v>2750</v>
      </c>
      <c r="B56" s="686">
        <f>C48</f>
        <v>6111</v>
      </c>
      <c r="C56" s="687">
        <v>1</v>
      </c>
      <c r="D56" s="1159">
        <v>1</v>
      </c>
      <c r="E56" s="687">
        <f>'数据-汇总表'!E8+'数据-汇总表'!E9</f>
        <v>24664.65</v>
      </c>
      <c r="F56" s="1099">
        <f t="shared" ref="F56:F65" si="15">ROUND(B56*E56/10000,0)</f>
        <v>15073</v>
      </c>
      <c r="G56" s="3184"/>
      <c r="H56" s="3185"/>
      <c r="I56" s="1104">
        <v>1</v>
      </c>
      <c r="J56" s="1107">
        <v>1</v>
      </c>
      <c r="K56" s="1141"/>
      <c r="L56" s="937"/>
      <c r="M56" s="937"/>
      <c r="N56" s="937"/>
      <c r="O56" s="937"/>
    </row>
    <row r="57" spans="1:15" s="689" customFormat="1">
      <c r="A57" s="690" t="s">
        <v>2751</v>
      </c>
      <c r="B57" s="259">
        <f>ROUND($C$48*C57*D57,0)</f>
        <v>0</v>
      </c>
      <c r="C57" s="197">
        <f t="shared" ref="C57:C65" si="16">IF($C$55="北京市系数",I57,J57)</f>
        <v>0</v>
      </c>
      <c r="D57" s="1160">
        <v>0.25</v>
      </c>
      <c r="E57" s="691"/>
      <c r="F57" s="1099">
        <f t="shared" si="15"/>
        <v>0</v>
      </c>
      <c r="G57" s="3186" t="s">
        <v>2752</v>
      </c>
      <c r="H57" s="1100">
        <f>项目基本情况!B37</f>
        <v>0</v>
      </c>
      <c r="I57" s="1104">
        <f>SUMIF(修正!A45:A56,H57,修正!B45:B56)</f>
        <v>0</v>
      </c>
      <c r="J57" s="1108"/>
      <c r="K57" s="1140"/>
      <c r="L57" s="937"/>
      <c r="M57" s="937"/>
      <c r="N57" s="937"/>
      <c r="O57" s="937"/>
    </row>
    <row r="58" spans="1:15" s="689" customFormat="1">
      <c r="A58" s="690" t="s">
        <v>2753</v>
      </c>
      <c r="B58" s="259">
        <f t="shared" ref="B58:B65" si="17">ROUND($C$48*C58*D58,0)</f>
        <v>0</v>
      </c>
      <c r="C58" s="197">
        <f t="shared" si="16"/>
        <v>0</v>
      </c>
      <c r="D58" s="1160">
        <v>0.25</v>
      </c>
      <c r="E58" s="691"/>
      <c r="F58" s="1099">
        <f t="shared" si="15"/>
        <v>0</v>
      </c>
      <c r="G58" s="3186"/>
      <c r="H58" s="1100">
        <f>项目基本情况!B37</f>
        <v>0</v>
      </c>
      <c r="I58" s="1104">
        <f>SUMIF(修正!A45:A56,H58,修正!C45:C56)</f>
        <v>0</v>
      </c>
      <c r="J58" s="1108"/>
      <c r="K58" s="1141"/>
      <c r="L58" s="937"/>
      <c r="M58" s="937"/>
      <c r="N58" s="937"/>
      <c r="O58" s="937"/>
    </row>
    <row r="59" spans="1:15" s="689" customFormat="1">
      <c r="A59" s="690" t="s">
        <v>2754</v>
      </c>
      <c r="B59" s="259">
        <f t="shared" si="17"/>
        <v>0</v>
      </c>
      <c r="C59" s="197">
        <f t="shared" si="16"/>
        <v>0</v>
      </c>
      <c r="D59" s="1160">
        <v>0.25</v>
      </c>
      <c r="E59" s="691"/>
      <c r="F59" s="1099">
        <f t="shared" si="15"/>
        <v>0</v>
      </c>
      <c r="G59" s="3186"/>
      <c r="H59" s="1100">
        <f>项目基本情况!B37</f>
        <v>0</v>
      </c>
      <c r="I59" s="1104">
        <f>SUMIF(修正!A45:A56,H59,修正!D45:D56)</f>
        <v>0</v>
      </c>
      <c r="J59" s="1108"/>
      <c r="K59" s="1140"/>
      <c r="L59" s="937"/>
      <c r="M59" s="937"/>
      <c r="N59" s="937"/>
      <c r="O59" s="937"/>
    </row>
    <row r="60" spans="1:15" s="689" customFormat="1">
      <c r="A60" s="690" t="s">
        <v>2755</v>
      </c>
      <c r="B60" s="259">
        <f t="shared" si="17"/>
        <v>0</v>
      </c>
      <c r="C60" s="197">
        <f t="shared" si="16"/>
        <v>0</v>
      </c>
      <c r="D60" s="1160">
        <v>0.25</v>
      </c>
      <c r="E60" s="691"/>
      <c r="F60" s="1099">
        <f t="shared" si="15"/>
        <v>0</v>
      </c>
      <c r="G60" s="3186"/>
      <c r="H60" s="1100">
        <f>项目基本情况!B37</f>
        <v>0</v>
      </c>
      <c r="I60" s="1104">
        <f>SUMIF(修正!A45:A56,H60,修正!E45:E56)</f>
        <v>0</v>
      </c>
      <c r="J60" s="1108"/>
      <c r="K60" s="1141"/>
      <c r="L60" s="937"/>
      <c r="M60" s="937"/>
      <c r="N60" s="937"/>
      <c r="O60" s="937"/>
    </row>
    <row r="61" spans="1:15" s="689" customFormat="1">
      <c r="A61" s="690" t="s">
        <v>2756</v>
      </c>
      <c r="B61" s="259">
        <f t="shared" si="17"/>
        <v>0</v>
      </c>
      <c r="C61" s="197">
        <f t="shared" si="16"/>
        <v>0</v>
      </c>
      <c r="D61" s="1160">
        <v>0.25</v>
      </c>
      <c r="E61" s="258">
        <f>'数据-汇总表'!E11</f>
        <v>0</v>
      </c>
      <c r="F61" s="1099">
        <f t="shared" si="15"/>
        <v>0</v>
      </c>
      <c r="G61" s="2705" t="s">
        <v>2757</v>
      </c>
      <c r="H61" s="1100">
        <f>项目基本情况!C37</f>
        <v>0</v>
      </c>
      <c r="I61" s="1104">
        <f>SUMIF(修正!A45:A56,H61,修正!F45:F56)</f>
        <v>0</v>
      </c>
      <c r="J61" s="1108"/>
      <c r="K61" s="1140"/>
      <c r="L61" s="937"/>
      <c r="M61" s="937"/>
      <c r="N61" s="937"/>
      <c r="O61" s="937"/>
    </row>
    <row r="62" spans="1:15" s="689" customFormat="1">
      <c r="A62" s="690" t="s">
        <v>2758</v>
      </c>
      <c r="B62" s="259">
        <f t="shared" si="17"/>
        <v>0</v>
      </c>
      <c r="C62" s="197">
        <f t="shared" si="16"/>
        <v>0</v>
      </c>
      <c r="D62" s="1160">
        <v>0.25</v>
      </c>
      <c r="E62" s="258">
        <f>'数据-汇总表'!E12</f>
        <v>0</v>
      </c>
      <c r="F62" s="1099">
        <f t="shared" si="15"/>
        <v>0</v>
      </c>
      <c r="G62" s="1105" t="s">
        <v>2759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2760</v>
      </c>
      <c r="B63" s="259">
        <f t="shared" si="17"/>
        <v>0</v>
      </c>
      <c r="C63" s="197">
        <f t="shared" si="16"/>
        <v>0</v>
      </c>
      <c r="D63" s="1160">
        <v>0.25</v>
      </c>
      <c r="E63" s="258">
        <f>'数据-汇总表'!E13</f>
        <v>34093</v>
      </c>
      <c r="F63" s="1099">
        <f t="shared" si="15"/>
        <v>0</v>
      </c>
      <c r="G63" s="1105" t="s">
        <v>2761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2762</v>
      </c>
      <c r="B64" s="259">
        <f t="shared" si="17"/>
        <v>0</v>
      </c>
      <c r="C64" s="197">
        <f t="shared" si="16"/>
        <v>0</v>
      </c>
      <c r="D64" s="1160">
        <v>0.25</v>
      </c>
      <c r="E64" s="258">
        <f>'数据-汇总表'!E14</f>
        <v>0</v>
      </c>
      <c r="F64" s="1099">
        <f t="shared" si="15"/>
        <v>0</v>
      </c>
      <c r="G64" s="2705" t="s">
        <v>2752</v>
      </c>
      <c r="H64" s="1100">
        <f>项目基本情况!B37</f>
        <v>0</v>
      </c>
      <c r="I64" s="1104">
        <f>SUMIF(修正!A45:A56,H64,修正!H45:H56)</f>
        <v>0</v>
      </c>
      <c r="J64" s="1108"/>
      <c r="K64" s="1141"/>
      <c r="L64" s="937"/>
      <c r="M64" s="937"/>
      <c r="N64" s="937"/>
      <c r="O64" s="937"/>
    </row>
    <row r="65" spans="1:17" s="689" customFormat="1" ht="15" thickBot="1">
      <c r="A65" s="690" t="s">
        <v>2763</v>
      </c>
      <c r="B65" s="259">
        <f t="shared" si="17"/>
        <v>0</v>
      </c>
      <c r="C65" s="197">
        <f t="shared" si="16"/>
        <v>0</v>
      </c>
      <c r="D65" s="1160">
        <v>0.25</v>
      </c>
      <c r="E65" s="258">
        <f>'数据-汇总表'!E15</f>
        <v>0</v>
      </c>
      <c r="F65" s="1099">
        <f t="shared" si="15"/>
        <v>0</v>
      </c>
      <c r="G65" s="2706" t="s">
        <v>2757</v>
      </c>
      <c r="H65" s="1110">
        <f>项目基本情况!C37</f>
        <v>0</v>
      </c>
      <c r="I65" s="1106">
        <f>SUMIF(修正!A45:A56,H65,修正!H45:H56)</f>
        <v>0</v>
      </c>
      <c r="J65" s="1109"/>
      <c r="K65" s="1140"/>
      <c r="L65" s="937"/>
      <c r="M65" s="937"/>
      <c r="N65" s="937"/>
      <c r="O65" s="937"/>
    </row>
    <row r="66" spans="1:17" s="689" customFormat="1" ht="13.5" thickBot="1">
      <c r="A66" s="692" t="s">
        <v>2764</v>
      </c>
      <c r="B66" s="693" t="s">
        <v>28</v>
      </c>
      <c r="C66" s="693" t="s">
        <v>29</v>
      </c>
      <c r="D66" s="693" t="s">
        <v>1029</v>
      </c>
      <c r="E66" s="693">
        <f>IF(B46="楼面地价",SUM(E56:E65),'数据-汇总表'!D3)</f>
        <v>58757.65</v>
      </c>
      <c r="F66" s="694">
        <f>IF(B46="楼面地价",SUM(F56:F65),ROUND(C48*E66/10000,0))</f>
        <v>15073</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2658</v>
      </c>
      <c r="B69" s="756"/>
      <c r="C69" s="761"/>
      <c r="D69" s="761"/>
      <c r="E69" s="761"/>
      <c r="F69" s="762"/>
      <c r="G69" s="762"/>
      <c r="H69" s="761"/>
      <c r="I69" s="761"/>
      <c r="J69" s="1155"/>
      <c r="K69" s="1156"/>
      <c r="L69" s="1157"/>
      <c r="M69" s="1155"/>
      <c r="N69" s="1155"/>
      <c r="O69" s="1155"/>
      <c r="P69" s="500"/>
      <c r="Q69" s="501"/>
    </row>
    <row r="70" spans="1:17" s="505" customFormat="1" ht="15">
      <c r="A70" s="2707" t="s">
        <v>2765</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2766</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2569</v>
      </c>
      <c r="B72" s="513"/>
      <c r="C72" s="514"/>
      <c r="D72" s="515"/>
      <c r="E72" s="515"/>
      <c r="F72" s="515"/>
      <c r="G72" s="515"/>
      <c r="H72" s="515"/>
      <c r="I72" s="515"/>
      <c r="J72" s="515"/>
      <c r="K72" s="515"/>
      <c r="L72" s="515"/>
      <c r="M72" s="516"/>
      <c r="N72" s="515"/>
      <c r="O72" s="1158"/>
      <c r="P72" s="501"/>
      <c r="Q72" s="501"/>
    </row>
    <row r="73" spans="1:17" s="115" customFormat="1" ht="15">
      <c r="A73" s="518" t="s">
        <v>2534</v>
      </c>
      <c r="B73" s="507"/>
      <c r="C73" s="519" t="s">
        <v>2636</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2572</v>
      </c>
      <c r="B75" s="525" t="s">
        <v>2538</v>
      </c>
      <c r="C75" s="2979" t="s">
        <v>3164</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2541</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2542</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2767</v>
      </c>
      <c r="C90" s="575" t="s">
        <v>2581</v>
      </c>
      <c r="D90" s="575" t="s">
        <v>2582</v>
      </c>
      <c r="E90" s="575" t="s">
        <v>2583</v>
      </c>
      <c r="F90" s="575" t="s">
        <v>2584</v>
      </c>
      <c r="G90" s="575" t="s">
        <v>2585</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2768</v>
      </c>
      <c r="C96" s="575" t="s">
        <v>2581</v>
      </c>
      <c r="D96" s="575" t="s">
        <v>2582</v>
      </c>
      <c r="E96" s="575" t="s">
        <v>2583</v>
      </c>
      <c r="F96" s="575" t="s">
        <v>2584</v>
      </c>
      <c r="G96" s="575" t="s">
        <v>2585</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2769</v>
      </c>
      <c r="C98" s="570" t="s">
        <v>2581</v>
      </c>
      <c r="D98" s="570" t="s">
        <v>2582</v>
      </c>
      <c r="E98" s="570" t="s">
        <v>2583</v>
      </c>
      <c r="F98" s="570" t="s">
        <v>2584</v>
      </c>
      <c r="G98" s="570" t="s">
        <v>2585</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2675</v>
      </c>
      <c r="C106" s="551" t="s">
        <v>3165</v>
      </c>
      <c r="D106" s="551" t="s">
        <v>3153</v>
      </c>
      <c r="E106" s="551" t="s">
        <v>3166</v>
      </c>
      <c r="F106" s="551" t="s">
        <v>3157</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2547</v>
      </c>
      <c r="B116" s="525" t="s">
        <v>2774</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2775</v>
      </c>
      <c r="C119" s="580" t="s">
        <v>3167</v>
      </c>
      <c r="D119" s="580" t="s">
        <v>3154</v>
      </c>
      <c r="E119" s="580" t="s">
        <v>3168</v>
      </c>
      <c r="F119" s="580" t="s">
        <v>3169</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2776</v>
      </c>
      <c r="C121" s="551" t="s">
        <v>3170</v>
      </c>
      <c r="D121" s="551" t="s">
        <v>3155</v>
      </c>
      <c r="E121" s="551" t="s">
        <v>3171</v>
      </c>
      <c r="F121" s="580" t="s">
        <v>3172</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2777</v>
      </c>
      <c r="C123" s="551" t="s">
        <v>3151</v>
      </c>
      <c r="D123" s="551" t="s">
        <v>3173</v>
      </c>
      <c r="E123" s="551" t="s">
        <v>3174</v>
      </c>
      <c r="F123" s="551" t="s">
        <v>3156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2778</v>
      </c>
      <c r="C125" s="551" t="s">
        <v>3175</v>
      </c>
      <c r="D125" s="551" t="s">
        <v>3150</v>
      </c>
      <c r="E125" s="580" t="s">
        <v>3161</v>
      </c>
      <c r="F125" s="580" t="s">
        <v>3176</v>
      </c>
      <c r="G125" s="580" t="s">
        <v>3177</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4" sqref="L14"/>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2446</v>
      </c>
      <c r="B1" s="1576"/>
      <c r="C1" s="1577"/>
      <c r="D1" s="1575"/>
      <c r="E1" s="317"/>
      <c r="F1" s="317"/>
      <c r="G1" s="1576"/>
      <c r="H1" s="317"/>
      <c r="I1" s="317"/>
      <c r="J1" s="317"/>
      <c r="K1" s="317">
        <f>MATCH(C1,'数据-取费表'!A6:A16,0)+5</f>
        <v>10</v>
      </c>
    </row>
    <row r="2" spans="1:33" ht="18" customHeight="1">
      <c r="A2" s="242" t="s">
        <v>2314</v>
      </c>
      <c r="B2" s="245">
        <f ca="1">C32</f>
        <v>25534</v>
      </c>
      <c r="C2" s="317" t="s">
        <v>2447</v>
      </c>
      <c r="D2" s="317"/>
      <c r="E2" s="317"/>
      <c r="F2" s="317"/>
      <c r="G2" s="317"/>
      <c r="H2" s="317"/>
      <c r="I2" s="317"/>
      <c r="J2" s="317"/>
      <c r="K2" s="317"/>
    </row>
    <row r="3" spans="1:33" ht="18" customHeight="1" thickBot="1">
      <c r="A3" s="244" t="s">
        <v>2316</v>
      </c>
      <c r="B3" s="245">
        <f ca="1">ROUND(B2*10000/IF(C1="",'数据-汇总表'!E3,INDIRECT("'数据-取费表'!K"&amp;$K$1)),0)</f>
        <v>4301</v>
      </c>
      <c r="C3" s="317" t="s">
        <v>2448</v>
      </c>
      <c r="D3" s="317"/>
      <c r="E3" s="317"/>
      <c r="F3" s="317"/>
      <c r="G3" s="317"/>
      <c r="H3" s="317"/>
      <c r="I3" s="317"/>
      <c r="J3" s="317"/>
      <c r="K3" s="317"/>
    </row>
    <row r="4" spans="1:33" s="952" customFormat="1" ht="16.5" customHeight="1">
      <c r="A4" s="949" t="s">
        <v>2449</v>
      </c>
      <c r="B4" s="950"/>
      <c r="C4" s="992">
        <f ca="1">SUM(C8:K8)</f>
        <v>40427</v>
      </c>
      <c r="D4" s="950"/>
      <c r="E4" s="950"/>
      <c r="F4" s="950"/>
      <c r="G4" s="950"/>
      <c r="H4" s="950"/>
      <c r="I4" s="950"/>
      <c r="J4" s="950"/>
      <c r="K4" s="951"/>
    </row>
    <row r="5" spans="1:33" s="956" customFormat="1" ht="15">
      <c r="A5" s="953" t="s">
        <v>2450</v>
      </c>
      <c r="B5" s="954" t="s">
        <v>2451</v>
      </c>
      <c r="C5" s="2550" t="s">
        <v>3109</v>
      </c>
      <c r="D5" s="2550" t="s">
        <v>3111</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2452</v>
      </c>
      <c r="C6" s="958">
        <f>'比较法-别墅'!B3</f>
        <v>14768</v>
      </c>
      <c r="D6" s="958">
        <f>'比较法-高层'!B3</f>
        <v>9874</v>
      </c>
      <c r="E6" s="958">
        <f ca="1">'收益法-商业'!B3</f>
        <v>16587</v>
      </c>
      <c r="F6" s="958">
        <f ca="1">'收益法-车库'!B3</f>
        <v>3162</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2453</v>
      </c>
      <c r="B7" s="137" t="s">
        <v>2454</v>
      </c>
      <c r="C7" s="318">
        <f>SUMIF('数据-汇总表'!$C19:$C33,假设开发法!C5,'数据-汇总表'!$E19:$E33)</f>
        <v>7730.57</v>
      </c>
      <c r="D7" s="318">
        <f>SUMIF('数据-汇总表'!$C19:$C33,假设开发法!D5,'数据-汇总表'!$E19:$E33)</f>
        <v>14685.94</v>
      </c>
      <c r="E7" s="318">
        <f>SUMIF('数据-汇总表'!$C19:$C33,假设开发法!E5,'数据-汇总表'!$E19:$E33)</f>
        <v>2248.14</v>
      </c>
      <c r="F7" s="318">
        <f>SUMIF('数据-汇总表'!$C19:$C33,假设开发法!F5,'数据-汇总表'!$E19:$E33)</f>
        <v>34093</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2455</v>
      </c>
      <c r="B8" s="174" t="s">
        <v>2456</v>
      </c>
      <c r="C8" s="993">
        <f>'比较法-别墅'!B2</f>
        <v>11417</v>
      </c>
      <c r="D8" s="993">
        <f>'比较法-高层'!B2</f>
        <v>14501</v>
      </c>
      <c r="E8" s="993">
        <f ca="1">'收益法-商业'!B2</f>
        <v>3729</v>
      </c>
      <c r="F8" s="994">
        <f ca="1">'收益法-车库'!B2</f>
        <v>10780</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2457</v>
      </c>
      <c r="B9" s="950"/>
      <c r="C9" s="950"/>
      <c r="D9" s="950"/>
      <c r="E9" s="950"/>
      <c r="F9" s="950"/>
      <c r="G9" s="950"/>
      <c r="H9" s="950"/>
      <c r="I9" s="950"/>
      <c r="J9" s="950"/>
      <c r="K9" s="951"/>
    </row>
    <row r="10" spans="1:33" s="966" customFormat="1" ht="13.5" customHeight="1">
      <c r="A10" s="953" t="s">
        <v>2458</v>
      </c>
      <c r="B10" s="8" t="s">
        <v>2459</v>
      </c>
      <c r="C10" s="962" t="s">
        <v>2460</v>
      </c>
      <c r="D10" s="963" t="s">
        <v>2461</v>
      </c>
      <c r="E10" s="963" t="s">
        <v>2462</v>
      </c>
      <c r="F10" s="963" t="s">
        <v>2463</v>
      </c>
      <c r="G10" s="8"/>
      <c r="H10" s="964"/>
      <c r="I10" s="964"/>
      <c r="J10" s="964"/>
      <c r="K10" s="965"/>
    </row>
    <row r="11" spans="1:33" s="971" customFormat="1" ht="13.5" customHeight="1">
      <c r="A11" s="967" t="s">
        <v>1334</v>
      </c>
      <c r="B11" s="968" t="s">
        <v>2464</v>
      </c>
      <c r="C11" s="320">
        <f ca="1">IF(C1="",'数据-取费表'!P16,INDIRECT("'数据-取费表'!p"&amp;$K$1)+INDIRECT("'数据-取费表'!ar"&amp;$K$1))</f>
        <v>6952</v>
      </c>
      <c r="D11" s="969"/>
      <c r="E11" s="372"/>
      <c r="F11" s="970">
        <f ca="1">1-IF('数据-取费表'!B24=0,1,IF(C1="",'数据-取费表'!N16,INDIRECT("'数据-取费表'!n"&amp;$K$1)))</f>
        <v>0.52800000000000002</v>
      </c>
      <c r="G11" s="8"/>
      <c r="H11" s="964"/>
      <c r="I11" s="964"/>
      <c r="J11" s="964"/>
      <c r="K11" s="965"/>
    </row>
    <row r="12" spans="1:33" s="971" customFormat="1" ht="13.5" customHeight="1">
      <c r="A12" s="967" t="s">
        <v>1335</v>
      </c>
      <c r="B12" s="968" t="s">
        <v>2465</v>
      </c>
      <c r="C12" s="24">
        <f ca="1">ROUND(C11*F12,0)</f>
        <v>209</v>
      </c>
      <c r="D12" s="969"/>
      <c r="E12" s="372"/>
      <c r="F12" s="972">
        <f>'数据-取费表'!B33</f>
        <v>0.03</v>
      </c>
      <c r="G12" s="8" t="s">
        <v>2466</v>
      </c>
      <c r="H12" s="964"/>
      <c r="I12" s="964"/>
      <c r="J12" s="964"/>
      <c r="K12" s="965"/>
    </row>
    <row r="13" spans="1:33" s="971" customFormat="1" ht="13.5" customHeight="1">
      <c r="A13" s="967" t="s">
        <v>1336</v>
      </c>
      <c r="B13" s="968" t="s">
        <v>2467</v>
      </c>
      <c r="C13" s="24">
        <f ca="1">ROUND(IF(C1="",SUMIF('数据-取费表'!C:C,"住宅",'数据-取费表'!P:P)*F13,IF(INDIRECT("'数据-取费表'!c"&amp;$K$1)="住宅",INDIRECT("'数据-取费表'!P"&amp;$K$1)*F13,0)),0)</f>
        <v>183</v>
      </c>
      <c r="D13" s="1029"/>
      <c r="E13" s="372"/>
      <c r="F13" s="972">
        <f>'数据-取费表'!B34</f>
        <v>0.05</v>
      </c>
      <c r="G13" s="8" t="s">
        <v>2468</v>
      </c>
      <c r="H13" s="964"/>
      <c r="I13" s="964"/>
      <c r="J13" s="964"/>
      <c r="K13" s="965"/>
    </row>
    <row r="14" spans="1:33" s="973" customFormat="1" ht="13.5" customHeight="1">
      <c r="A14" s="967" t="s">
        <v>1337</v>
      </c>
      <c r="B14" s="968" t="s">
        <v>2469</v>
      </c>
      <c r="C14" s="24">
        <f ca="1">ROUND(D14*E14*F11/10000,0)</f>
        <v>627</v>
      </c>
      <c r="D14" s="1029">
        <f ca="1">IF(C1="",'数据-汇总表'!E3,INDIRECT("'数据-取费表'!K"&amp;$K$1)+INDIRECT("'数据-取费表'!S"&amp;$K$1))</f>
        <v>59366.369999999995</v>
      </c>
      <c r="E14" s="24">
        <f>'数据-取费表'!B35</f>
        <v>200</v>
      </c>
      <c r="F14" s="972"/>
      <c r="G14" s="8" t="s">
        <v>2470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2471</v>
      </c>
      <c r="C15" s="979">
        <f ca="1">ROUND(C11*F15,0)</f>
        <v>104</v>
      </c>
      <c r="D15" s="974"/>
      <c r="E15" s="979"/>
      <c r="F15" s="980">
        <f>'数据-取费表'!B36</f>
        <v>1.4999999999999999E-2</v>
      </c>
      <c r="G15" s="137" t="s">
        <v>2472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2473</v>
      </c>
      <c r="C16" s="979">
        <f ca="1">SUM(C11:C15)</f>
        <v>8075</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2474</v>
      </c>
      <c r="C17" s="24">
        <f ca="1">ROUND(D17*E17/10000,0)</f>
        <v>0</v>
      </c>
      <c r="D17" s="1029">
        <f ca="1">D14</f>
        <v>59366.369999999995</v>
      </c>
      <c r="E17" s="24">
        <f>'数据-取费表'!B32</f>
        <v>0</v>
      </c>
      <c r="F17" s="974"/>
      <c r="G17" s="137" t="s">
        <v>2475</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2476</v>
      </c>
      <c r="C18" s="24">
        <f ca="1">C19+C20-IF(C1="",'数据-取费表'!B29,IF(G18="已全部缴纳",C19+C20,H18))</f>
        <v>529</v>
      </c>
      <c r="D18" s="1029"/>
      <c r="E18" s="24"/>
      <c r="F18" s="972"/>
      <c r="G18" s="2552" t="s">
        <v>3214</v>
      </c>
      <c r="H18" s="1572"/>
      <c r="I18" s="2553" t="s">
        <v>2477</v>
      </c>
      <c r="J18" s="975"/>
      <c r="K18" s="976"/>
    </row>
    <row r="19" spans="1:33" s="971" customFormat="1" ht="13.5" customHeight="1">
      <c r="A19" s="967" t="s">
        <v>805</v>
      </c>
      <c r="B19" s="968" t="s">
        <v>2478</v>
      </c>
      <c r="C19" s="24">
        <f ca="1">ROUND(D19*E19/10000,0)</f>
        <v>200</v>
      </c>
      <c r="D19" s="1029">
        <f ca="1">IF(C1="",'数据-汇总表'!E5,IF(INDIRECT("'数据-取费表'!c"&amp;$K$1)="住宅",INDIRECT("'数据-取费表'!k"&amp;$K$1),0))</f>
        <v>22416.510000000002</v>
      </c>
      <c r="E19" s="24">
        <f>'数据-取费表'!B27</f>
        <v>89</v>
      </c>
      <c r="F19" s="972"/>
      <c r="G19" s="15"/>
      <c r="H19" s="1574"/>
      <c r="I19" s="977"/>
      <c r="J19" s="977"/>
      <c r="K19" s="978"/>
    </row>
    <row r="20" spans="1:33" s="971" customFormat="1" ht="13.5" customHeight="1">
      <c r="A20" s="967" t="s">
        <v>806</v>
      </c>
      <c r="B20" s="968" t="s">
        <v>2479</v>
      </c>
      <c r="C20" s="24">
        <f ca="1">ROUND(D20*E20/10000,0)</f>
        <v>329</v>
      </c>
      <c r="D20" s="1029">
        <f ca="1">IF(C1="",'数据-汇总表'!E6,IF(INDIRECT("'数据-取费表'!c"&amp;$K$1)="住宅",INDIRECT("'数据-取费表'!s"&amp;$K$1),INDIRECT("'数据-取费表'!k"&amp;$K$1)+INDIRECT("'数据-取费表'!s"&amp;$K$1)))</f>
        <v>36949.859999999993</v>
      </c>
      <c r="E20" s="24">
        <f>'数据-取费表'!B28</f>
        <v>89</v>
      </c>
      <c r="F20" s="972"/>
      <c r="G20" s="15"/>
      <c r="H20" s="977"/>
      <c r="I20" s="977"/>
      <c r="J20" s="977"/>
      <c r="K20" s="978"/>
    </row>
    <row r="21" spans="1:33" s="971" customFormat="1" ht="13.5" customHeight="1">
      <c r="A21" s="957" t="s">
        <v>802</v>
      </c>
      <c r="B21" s="981" t="s">
        <v>2480</v>
      </c>
      <c r="C21" s="982">
        <f ca="1">C16+C17+C18</f>
        <v>8604</v>
      </c>
      <c r="D21" s="983"/>
      <c r="E21" s="322"/>
      <c r="F21" s="322"/>
      <c r="G21" s="137" t="s">
        <v>2481</v>
      </c>
      <c r="H21" s="975"/>
      <c r="I21" s="975"/>
      <c r="J21" s="975"/>
      <c r="K21" s="976"/>
    </row>
    <row r="22" spans="1:33" s="971" customFormat="1" ht="13.5" customHeight="1">
      <c r="A22" s="957" t="s">
        <v>2453</v>
      </c>
      <c r="B22" s="981" t="s">
        <v>2482</v>
      </c>
      <c r="C22" s="982">
        <f ca="1">ROUND(C21*F22,0)</f>
        <v>172</v>
      </c>
      <c r="D22" s="322"/>
      <c r="E22" s="322"/>
      <c r="F22" s="984">
        <f>'数据-取费表'!B37</f>
        <v>0.02</v>
      </c>
      <c r="G22" s="8" t="s">
        <v>2483</v>
      </c>
      <c r="H22" s="964"/>
      <c r="I22" s="964"/>
      <c r="J22" s="964"/>
      <c r="K22" s="965"/>
    </row>
    <row r="23" spans="1:33" s="971" customFormat="1" ht="13.5" customHeight="1">
      <c r="A23" s="957" t="s">
        <v>2455</v>
      </c>
      <c r="B23" s="981" t="s">
        <v>2484</v>
      </c>
      <c r="C23" s="982">
        <f ca="1">ROUND(C4*F23*F11,0)</f>
        <v>213</v>
      </c>
      <c r="D23" s="322"/>
      <c r="E23" s="322"/>
      <c r="F23" s="984">
        <f>'数据-取费表'!B38</f>
        <v>0.01</v>
      </c>
      <c r="G23" s="8" t="s">
        <v>2485</v>
      </c>
      <c r="H23" s="964"/>
      <c r="I23" s="964"/>
      <c r="J23" s="964"/>
      <c r="K23" s="965"/>
    </row>
    <row r="24" spans="1:33" s="971" customFormat="1" ht="13.5" customHeight="1">
      <c r="A24" s="957" t="s">
        <v>2486</v>
      </c>
      <c r="B24" s="981" t="s">
        <v>2487</v>
      </c>
      <c r="C24" s="321">
        <f>ROUND(F24/(1+'数据-取费表'!C42),4)</f>
        <v>2.9000000000000001E-2</v>
      </c>
      <c r="D24" s="322" t="s">
        <v>15</v>
      </c>
      <c r="E24" s="322"/>
      <c r="F24" s="984">
        <f>'数据-取费表'!B48+'数据-取费表'!B49</f>
        <v>3.0499999999999999E-2</v>
      </c>
      <c r="G24" s="8" t="s">
        <v>2488</v>
      </c>
      <c r="H24" s="986"/>
      <c r="I24" s="986"/>
      <c r="J24" s="986"/>
      <c r="K24" s="987"/>
    </row>
    <row r="25" spans="1:33" s="971" customFormat="1" ht="13.5" customHeight="1">
      <c r="A25" s="957" t="s">
        <v>2489</v>
      </c>
      <c r="B25" s="983" t="s">
        <v>2490</v>
      </c>
      <c r="C25" s="1352">
        <f ca="1">C27</f>
        <v>211</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2491</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2492</v>
      </c>
      <c r="C27" s="1354">
        <f ca="1">ROUND(IF('数据-取费表'!B22&lt;=1,(C21+C22+C23)*F25*'数据-取费表'!B24/2,(C21+C22+C23)*(POWER((1+F25),'数据-取费表'!B24/2)-1)),0)</f>
        <v>211</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2493</v>
      </c>
      <c r="B28" s="2555" t="s">
        <v>2494</v>
      </c>
      <c r="C28" s="328">
        <f ca="1">C30</f>
        <v>629</v>
      </c>
      <c r="D28" s="321">
        <f ca="1">C29</f>
        <v>3.5999999999999997E-2</v>
      </c>
      <c r="E28" s="323" t="s">
        <v>15</v>
      </c>
      <c r="F28" s="329">
        <f ca="1">IF(C1="",'数据-取费表'!Q16,INDIRECT("'数据-取费表'!q"&amp;$K$1))</f>
        <v>7.0000000000000007E-2</v>
      </c>
      <c r="G28" s="985"/>
      <c r="H28" s="986"/>
      <c r="I28" s="986"/>
      <c r="J28" s="986"/>
      <c r="K28" s="987"/>
    </row>
    <row r="29" spans="1:33" s="332" customFormat="1" ht="13.5" customHeight="1">
      <c r="A29" s="967" t="s">
        <v>803</v>
      </c>
      <c r="B29" s="990" t="s">
        <v>2495</v>
      </c>
      <c r="C29" s="325">
        <f ca="1">ROUND((1+C24)*F28*'数据-取费表'!B24/'数据-取费表'!B20,4)</f>
        <v>3.5999999999999997E-2</v>
      </c>
      <c r="D29" s="325"/>
      <c r="E29" s="326"/>
      <c r="F29" s="331"/>
      <c r="G29" s="137" t="s">
        <v>2496</v>
      </c>
      <c r="H29" s="975"/>
      <c r="I29" s="975"/>
      <c r="J29" s="975"/>
      <c r="K29" s="976"/>
    </row>
    <row r="30" spans="1:33" s="332" customFormat="1" ht="13.5" customHeight="1">
      <c r="A30" s="967" t="s">
        <v>804</v>
      </c>
      <c r="B30" s="990" t="s">
        <v>2497</v>
      </c>
      <c r="C30" s="333">
        <f ca="1">ROUND((C21+C22+C23)*F28,0)</f>
        <v>629</v>
      </c>
      <c r="D30" s="325"/>
      <c r="E30" s="326"/>
      <c r="F30" s="331"/>
      <c r="G30" s="137"/>
      <c r="H30" s="975"/>
      <c r="I30" s="975"/>
      <c r="J30" s="975"/>
      <c r="K30" s="976"/>
    </row>
    <row r="31" spans="1:33" s="971" customFormat="1" ht="13.5" customHeight="1" thickBot="1">
      <c r="A31" s="2556" t="s">
        <v>2498</v>
      </c>
      <c r="B31" s="1001" t="s">
        <v>2499</v>
      </c>
      <c r="C31" s="1002">
        <f ca="1">ROUND(C4*F31/(1+'数据-取费表'!C42),0)</f>
        <v>2156</v>
      </c>
      <c r="D31" s="1003"/>
      <c r="E31" s="1004"/>
      <c r="F31" s="1005">
        <f>'数据-取费表'!B41</f>
        <v>5.6000000000000001E-2</v>
      </c>
      <c r="G31" s="1006" t="s">
        <v>2500</v>
      </c>
      <c r="H31" s="1007"/>
      <c r="I31" s="1007"/>
      <c r="J31" s="1007"/>
      <c r="K31" s="1008"/>
    </row>
    <row r="32" spans="1:33" s="966" customFormat="1" ht="13.5" customHeight="1" thickBot="1">
      <c r="A32" s="996" t="s">
        <v>2501</v>
      </c>
      <c r="B32" s="997"/>
      <c r="C32" s="998">
        <f ca="1">ROUND((C4-C21-C22-C23-C25-C28-C31)/(1+C24+D25+D28),0)</f>
        <v>25534</v>
      </c>
      <c r="D32" s="997"/>
      <c r="E32" s="997"/>
      <c r="F32" s="997"/>
      <c r="G32" s="999" t="s">
        <v>2502</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7" sqref="I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3111</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14501</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9874</v>
      </c>
      <c r="C3" s="397" t="s">
        <v>2518</v>
      </c>
      <c r="D3" s="396">
        <f>IF(D1="",'数据-汇总表'!E3,SUMIF('数据-汇总表'!$C19:$C33,D1,'数据-汇总表'!$E19:$E33))</f>
        <v>14685.94</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82" t="s">
        <v>2520</v>
      </c>
      <c r="D4" s="3195"/>
      <c r="E4" s="3196" t="s">
        <v>2521</v>
      </c>
      <c r="F4" s="3197"/>
      <c r="G4" s="3182" t="s">
        <v>2522</v>
      </c>
      <c r="H4" s="3195"/>
      <c r="I4" s="3182" t="s">
        <v>2523</v>
      </c>
      <c r="J4" s="3195"/>
      <c r="K4" s="2592" t="s">
        <v>2524</v>
      </c>
      <c r="L4" s="1126"/>
      <c r="M4" s="1127"/>
      <c r="N4" s="1127"/>
      <c r="O4" s="1127"/>
      <c r="P4" s="3198" t="s">
        <v>2525</v>
      </c>
      <c r="Q4" s="3199"/>
      <c r="R4" s="3204" t="s">
        <v>2521</v>
      </c>
      <c r="S4" s="3205"/>
      <c r="T4" s="3204" t="s">
        <v>2522</v>
      </c>
      <c r="U4" s="3205"/>
      <c r="V4" s="3191" t="s">
        <v>2523</v>
      </c>
      <c r="W4" s="3191"/>
      <c r="X4" s="2950"/>
      <c r="Y4" s="3204" t="s">
        <v>2525</v>
      </c>
      <c r="Z4" s="3205"/>
      <c r="AA4" s="3192" t="s">
        <v>2521</v>
      </c>
      <c r="AB4" s="3192" t="s">
        <v>2522</v>
      </c>
      <c r="AC4" s="3192" t="s">
        <v>2523</v>
      </c>
    </row>
    <row r="5" spans="1:29" ht="15">
      <c r="A5" s="401"/>
      <c r="B5" s="402"/>
      <c r="C5" s="3222" t="s">
        <v>2526</v>
      </c>
      <c r="D5" s="3213"/>
      <c r="E5" s="3220" t="s">
        <v>3193</v>
      </c>
      <c r="F5" s="3221"/>
      <c r="G5" s="3212" t="s">
        <v>3194</v>
      </c>
      <c r="H5" s="3213"/>
      <c r="I5" s="3212" t="s">
        <v>3195</v>
      </c>
      <c r="J5" s="3213"/>
      <c r="K5" s="2593"/>
      <c r="L5" s="1126"/>
      <c r="M5" s="1127"/>
      <c r="N5" s="1127"/>
      <c r="O5" s="1127"/>
      <c r="P5" s="3200"/>
      <c r="Q5" s="3201"/>
      <c r="R5" s="3206"/>
      <c r="S5" s="3207"/>
      <c r="T5" s="3206"/>
      <c r="U5" s="3207"/>
      <c r="V5" s="3191"/>
      <c r="W5" s="3191"/>
      <c r="X5" s="2950"/>
      <c r="Y5" s="3206"/>
      <c r="Z5" s="3207"/>
      <c r="AA5" s="3193"/>
      <c r="AB5" s="3193"/>
      <c r="AC5" s="3193"/>
    </row>
    <row r="6" spans="1:29" ht="15.75" thickBot="1">
      <c r="A6" s="403"/>
      <c r="B6" s="404"/>
      <c r="C6" s="3210" t="s">
        <v>2530</v>
      </c>
      <c r="D6" s="3211"/>
      <c r="E6" s="3223" t="s">
        <v>3196</v>
      </c>
      <c r="F6" s="3219"/>
      <c r="G6" s="3224" t="s">
        <v>3197</v>
      </c>
      <c r="H6" s="3211"/>
      <c r="I6" s="3224" t="s">
        <v>3198</v>
      </c>
      <c r="J6" s="3211"/>
      <c r="K6" s="2593" t="s">
        <v>2531</v>
      </c>
      <c r="L6" s="1126"/>
      <c r="M6" s="1127"/>
      <c r="N6" s="1127"/>
      <c r="O6" s="1127"/>
      <c r="P6" s="3202"/>
      <c r="Q6" s="3203"/>
      <c r="R6" s="3206"/>
      <c r="S6" s="3207"/>
      <c r="T6" s="3208"/>
      <c r="U6" s="3209"/>
      <c r="V6" s="3191"/>
      <c r="W6" s="3191"/>
      <c r="X6" s="2950"/>
      <c r="Y6" s="3208"/>
      <c r="Z6" s="3209"/>
      <c r="AA6" s="3194"/>
      <c r="AB6" s="3194"/>
      <c r="AC6" s="3194"/>
    </row>
    <row r="7" spans="1:29" s="115" customFormat="1" ht="15.75" thickBot="1">
      <c r="A7" s="405" t="s">
        <v>2532</v>
      </c>
      <c r="B7" s="406"/>
      <c r="C7" s="407">
        <f>'数据-取费表'!B2</f>
        <v>43433</v>
      </c>
      <c r="D7" s="408">
        <v>100</v>
      </c>
      <c r="E7" s="409">
        <v>43391</v>
      </c>
      <c r="F7" s="410">
        <f>SUMIF(58:58,YEAR(E7)&amp;"-"&amp;MONTH(E7),59:59)</f>
        <v>100</v>
      </c>
      <c r="G7" s="409">
        <v>43392</v>
      </c>
      <c r="H7" s="408">
        <f>SUMIF(58:58,YEAR(G7)&amp;"-"&amp;MONTH(G7),59:59)</f>
        <v>100</v>
      </c>
      <c r="I7" s="409">
        <v>43388</v>
      </c>
      <c r="J7" s="408">
        <f>SUMIF(58:58,YEAR(I7)&amp;"-"&amp;MONTH(I7),59:59)</f>
        <v>100</v>
      </c>
      <c r="K7" s="2594"/>
      <c r="L7" s="1128"/>
      <c r="M7" s="1129"/>
      <c r="N7" s="1129"/>
      <c r="O7" s="1129"/>
      <c r="P7" s="3214" t="s">
        <v>2533</v>
      </c>
      <c r="Q7" s="3216"/>
      <c r="R7" s="767" t="s">
        <v>23</v>
      </c>
      <c r="S7" s="768">
        <f t="shared" ref="S7:S15" si="0">F7</f>
        <v>100</v>
      </c>
      <c r="T7" s="767" t="s">
        <v>23</v>
      </c>
      <c r="U7" s="768">
        <f t="shared" ref="U7:U15" si="1">H7</f>
        <v>100</v>
      </c>
      <c r="V7" s="767" t="s">
        <v>23</v>
      </c>
      <c r="W7" s="768">
        <f t="shared" ref="W7:W15" si="2">J7</f>
        <v>100</v>
      </c>
      <c r="X7" s="769"/>
      <c r="Y7" s="3214" t="s">
        <v>2533</v>
      </c>
      <c r="Z7" s="3215"/>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214" t="s">
        <v>2536</v>
      </c>
      <c r="Q8" s="3215"/>
      <c r="R8" s="767" t="s">
        <v>23</v>
      </c>
      <c r="S8" s="768">
        <f t="shared" si="0"/>
        <v>100</v>
      </c>
      <c r="T8" s="767" t="s">
        <v>23</v>
      </c>
      <c r="U8" s="768">
        <f t="shared" si="1"/>
        <v>100</v>
      </c>
      <c r="V8" s="767" t="s">
        <v>23</v>
      </c>
      <c r="W8" s="768">
        <f t="shared" si="2"/>
        <v>100</v>
      </c>
      <c r="X8" s="769"/>
      <c r="Y8" s="3214" t="s">
        <v>2536</v>
      </c>
      <c r="Z8" s="3215"/>
      <c r="AA8" s="770">
        <f t="shared" ref="AA8:AA19" si="3">D8/F8</f>
        <v>1</v>
      </c>
      <c r="AB8" s="770">
        <f t="shared" ref="AB8:AB19" si="4">D8/H8</f>
        <v>1</v>
      </c>
      <c r="AC8" s="770">
        <f t="shared" ref="AC8:AC19" si="5">D8/J8</f>
        <v>1</v>
      </c>
    </row>
    <row r="9" spans="1:29" s="115" customFormat="1">
      <c r="A9" s="412" t="s">
        <v>2537</v>
      </c>
      <c r="B9" s="71" t="s">
        <v>2538</v>
      </c>
      <c r="C9" s="2980" t="s">
        <v>3199</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184" t="s">
        <v>2539</v>
      </c>
      <c r="Q9" s="2938" t="str">
        <f t="shared" ref="Q9:Q15" si="6">B9</f>
        <v>用途</v>
      </c>
      <c r="R9" s="767" t="s">
        <v>17</v>
      </c>
      <c r="S9" s="768">
        <f t="shared" si="0"/>
        <v>100</v>
      </c>
      <c r="T9" s="767" t="s">
        <v>17</v>
      </c>
      <c r="U9" s="768">
        <f t="shared" si="1"/>
        <v>100</v>
      </c>
      <c r="V9" s="767" t="s">
        <v>17</v>
      </c>
      <c r="W9" s="768">
        <f t="shared" si="2"/>
        <v>100</v>
      </c>
      <c r="X9" s="769"/>
      <c r="Y9" s="3032" t="s">
        <v>2540</v>
      </c>
      <c r="Z9" s="2939" t="str">
        <f t="shared" ref="Z9:Z15" si="7">Q9</f>
        <v>用途</v>
      </c>
      <c r="AA9" s="770">
        <f t="shared" si="3"/>
        <v>1</v>
      </c>
      <c r="AB9" s="770">
        <f t="shared" si="4"/>
        <v>1</v>
      </c>
      <c r="AC9" s="770">
        <f t="shared" si="5"/>
        <v>1</v>
      </c>
    </row>
    <row r="10" spans="1:29" s="424" customFormat="1" ht="27">
      <c r="A10" s="418"/>
      <c r="B10" s="2947"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184"/>
      <c r="Q10" s="2938" t="str">
        <f t="shared" si="6"/>
        <v>土地使用年限（年）</v>
      </c>
      <c r="R10" s="767" t="s">
        <v>17</v>
      </c>
      <c r="S10" s="768">
        <f t="shared" si="0"/>
        <v>100</v>
      </c>
      <c r="T10" s="767" t="s">
        <v>17</v>
      </c>
      <c r="U10" s="768">
        <f t="shared" si="1"/>
        <v>100</v>
      </c>
      <c r="V10" s="767" t="s">
        <v>17</v>
      </c>
      <c r="W10" s="768">
        <f t="shared" si="2"/>
        <v>100</v>
      </c>
      <c r="X10" s="769"/>
      <c r="Y10" s="3032"/>
      <c r="Z10" s="2939" t="str">
        <f t="shared" si="7"/>
        <v>土地使用年限（年）</v>
      </c>
      <c r="AA10" s="770">
        <f t="shared" si="3"/>
        <v>1</v>
      </c>
      <c r="AB10" s="770">
        <f t="shared" si="4"/>
        <v>1</v>
      </c>
      <c r="AC10" s="770">
        <f t="shared" si="5"/>
        <v>1</v>
      </c>
    </row>
    <row r="11" spans="1:29" ht="15.75" thickBot="1">
      <c r="A11" s="425"/>
      <c r="B11" s="2947" t="s">
        <v>2542</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184"/>
      <c r="Q11" s="2938" t="str">
        <f t="shared" si="6"/>
        <v>容积率</v>
      </c>
      <c r="R11" s="767" t="s">
        <v>21</v>
      </c>
      <c r="S11" s="768">
        <f t="shared" si="0"/>
        <v>96</v>
      </c>
      <c r="T11" s="767" t="s">
        <v>21</v>
      </c>
      <c r="U11" s="768">
        <f t="shared" si="1"/>
        <v>88</v>
      </c>
      <c r="V11" s="767" t="s">
        <v>21</v>
      </c>
      <c r="W11" s="768">
        <f t="shared" si="2"/>
        <v>96</v>
      </c>
      <c r="X11" s="769"/>
      <c r="Y11" s="3032"/>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84"/>
      <c r="Q12" s="2938">
        <f t="shared" si="6"/>
        <v>111</v>
      </c>
      <c r="R12" s="767" t="s">
        <v>21</v>
      </c>
      <c r="S12" s="768">
        <f t="shared" si="0"/>
        <v>100</v>
      </c>
      <c r="T12" s="767" t="s">
        <v>21</v>
      </c>
      <c r="U12" s="768">
        <f t="shared" si="1"/>
        <v>100</v>
      </c>
      <c r="V12" s="767" t="s">
        <v>21</v>
      </c>
      <c r="W12" s="768">
        <f t="shared" si="2"/>
        <v>100</v>
      </c>
      <c r="X12" s="769"/>
      <c r="Y12" s="3032"/>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84"/>
      <c r="Q13" s="2938">
        <f t="shared" si="6"/>
        <v>111</v>
      </c>
      <c r="R13" s="767" t="s">
        <v>21</v>
      </c>
      <c r="S13" s="768">
        <f t="shared" si="0"/>
        <v>100</v>
      </c>
      <c r="T13" s="767" t="s">
        <v>21</v>
      </c>
      <c r="U13" s="768">
        <f t="shared" si="1"/>
        <v>100</v>
      </c>
      <c r="V13" s="767" t="s">
        <v>21</v>
      </c>
      <c r="W13" s="768">
        <f t="shared" si="2"/>
        <v>100</v>
      </c>
      <c r="X13" s="769"/>
      <c r="Y13" s="3032"/>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84"/>
      <c r="Q14" s="2938">
        <f t="shared" si="6"/>
        <v>111</v>
      </c>
      <c r="R14" s="767" t="s">
        <v>21</v>
      </c>
      <c r="S14" s="768">
        <f t="shared" si="0"/>
        <v>100</v>
      </c>
      <c r="T14" s="767" t="s">
        <v>21</v>
      </c>
      <c r="U14" s="768">
        <f t="shared" si="1"/>
        <v>100</v>
      </c>
      <c r="V14" s="767" t="s">
        <v>21</v>
      </c>
      <c r="W14" s="768">
        <f t="shared" si="2"/>
        <v>100</v>
      </c>
      <c r="X14" s="769"/>
      <c r="Y14" s="3032"/>
      <c r="Z14" s="2939">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5" t="s">
        <v>2544</v>
      </c>
      <c r="Q15" s="2952" t="str">
        <f t="shared" si="6"/>
        <v>居住社区成熟度</v>
      </c>
      <c r="R15" s="771" t="s">
        <v>21</v>
      </c>
      <c r="S15" s="772">
        <f t="shared" si="0"/>
        <v>102</v>
      </c>
      <c r="T15" s="771" t="s">
        <v>21</v>
      </c>
      <c r="U15" s="772">
        <f t="shared" si="1"/>
        <v>102</v>
      </c>
      <c r="V15" s="771" t="s">
        <v>21</v>
      </c>
      <c r="W15" s="772">
        <f t="shared" si="2"/>
        <v>102</v>
      </c>
      <c r="X15" s="2950"/>
      <c r="Y15" s="3187" t="s">
        <v>2544</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3161</v>
      </c>
      <c r="D16" s="445"/>
      <c r="E16" s="2600" t="s">
        <v>3150</v>
      </c>
      <c r="F16" s="445"/>
      <c r="G16" s="2601" t="s">
        <v>3150</v>
      </c>
      <c r="H16" s="447"/>
      <c r="I16" s="2601" t="s">
        <v>3150</v>
      </c>
      <c r="J16" s="445"/>
      <c r="K16" s="2602"/>
      <c r="L16" s="1136"/>
      <c r="M16" s="1127"/>
      <c r="N16" s="1127"/>
      <c r="O16" s="1127"/>
      <c r="P16" s="3226"/>
      <c r="Q16" s="2952"/>
      <c r="R16" s="771"/>
      <c r="S16" s="772"/>
      <c r="T16" s="771"/>
      <c r="U16" s="772"/>
      <c r="V16" s="771"/>
      <c r="W16" s="772"/>
      <c r="X16" s="2950"/>
      <c r="Y16" s="3188"/>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6"/>
      <c r="Q17" s="2952" t="str">
        <f>B17</f>
        <v>交通便捷度</v>
      </c>
      <c r="R17" s="771" t="s">
        <v>21</v>
      </c>
      <c r="S17" s="772">
        <f>F17</f>
        <v>100</v>
      </c>
      <c r="T17" s="771" t="s">
        <v>21</v>
      </c>
      <c r="U17" s="772">
        <f>H17</f>
        <v>102</v>
      </c>
      <c r="V17" s="771" t="s">
        <v>21</v>
      </c>
      <c r="W17" s="772">
        <f>J17</f>
        <v>102</v>
      </c>
      <c r="X17" s="2950"/>
      <c r="Y17" s="3188"/>
      <c r="Z17" s="2951" t="str">
        <f>Q17</f>
        <v>交通便捷度</v>
      </c>
      <c r="AA17" s="2953">
        <f t="shared" si="3"/>
        <v>1</v>
      </c>
      <c r="AB17" s="2953">
        <f t="shared" si="4"/>
        <v>0.98039215686274506</v>
      </c>
      <c r="AC17" s="2953">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6"/>
      <c r="Q18" s="2952"/>
      <c r="R18" s="771"/>
      <c r="S18" s="772"/>
      <c r="T18" s="771"/>
      <c r="U18" s="772"/>
      <c r="V18" s="771"/>
      <c r="W18" s="772"/>
      <c r="X18" s="2950"/>
      <c r="Y18" s="3188"/>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26"/>
      <c r="Q19" s="2952" t="str">
        <f>B19</f>
        <v>公共配套设施</v>
      </c>
      <c r="R19" s="771" t="s">
        <v>21</v>
      </c>
      <c r="S19" s="772">
        <f>F19</f>
        <v>102</v>
      </c>
      <c r="T19" s="771" t="s">
        <v>21</v>
      </c>
      <c r="U19" s="772">
        <f>H19</f>
        <v>102</v>
      </c>
      <c r="V19" s="771" t="s">
        <v>21</v>
      </c>
      <c r="W19" s="772">
        <f>J19</f>
        <v>102</v>
      </c>
      <c r="X19" s="2950"/>
      <c r="Y19" s="3188"/>
      <c r="Z19" s="2951" t="str">
        <f>Q19</f>
        <v>公共配套设施</v>
      </c>
      <c r="AA19" s="2953">
        <f t="shared" si="3"/>
        <v>0.98039215686274506</v>
      </c>
      <c r="AB19" s="2953">
        <f t="shared" si="4"/>
        <v>0.98039215686274506</v>
      </c>
      <c r="AC19" s="2953">
        <f t="shared" si="5"/>
        <v>0.98039215686274506</v>
      </c>
    </row>
    <row r="20" spans="1:29" ht="15">
      <c r="A20" s="425"/>
      <c r="B20" s="453"/>
      <c r="C20" s="444" t="s">
        <v>3161</v>
      </c>
      <c r="D20" s="445"/>
      <c r="E20" s="2600" t="s">
        <v>3150</v>
      </c>
      <c r="F20" s="445"/>
      <c r="G20" s="2601" t="s">
        <v>3150</v>
      </c>
      <c r="H20" s="445"/>
      <c r="I20" s="2601" t="s">
        <v>3150</v>
      </c>
      <c r="J20" s="445"/>
      <c r="K20" s="2602"/>
      <c r="L20" s="1136"/>
      <c r="M20" s="1127"/>
      <c r="N20" s="1127"/>
      <c r="O20" s="1127"/>
      <c r="P20" s="3226"/>
      <c r="Q20" s="2952"/>
      <c r="R20" s="771"/>
      <c r="S20" s="772"/>
      <c r="T20" s="771"/>
      <c r="U20" s="772"/>
      <c r="V20" s="771"/>
      <c r="W20" s="772"/>
      <c r="X20" s="2950"/>
      <c r="Y20" s="3188"/>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6"/>
      <c r="Q21" s="2952" t="str">
        <f>B21</f>
        <v>基础设施水平</v>
      </c>
      <c r="R21" s="771" t="s">
        <v>17</v>
      </c>
      <c r="S21" s="772">
        <f>F21</f>
        <v>100</v>
      </c>
      <c r="T21" s="771" t="s">
        <v>17</v>
      </c>
      <c r="U21" s="772">
        <f>H21</f>
        <v>100</v>
      </c>
      <c r="V21" s="771" t="s">
        <v>17</v>
      </c>
      <c r="W21" s="772">
        <f>J21</f>
        <v>100</v>
      </c>
      <c r="X21" s="2950"/>
      <c r="Y21" s="3188"/>
      <c r="Z21" s="2951" t="str">
        <f>Q21</f>
        <v>基础设施水平</v>
      </c>
      <c r="AA21" s="2953">
        <f t="shared" ref="AA21" si="8">D21/F21</f>
        <v>1</v>
      </c>
      <c r="AB21" s="2953">
        <f t="shared" ref="AB21" si="9">D21/H21</f>
        <v>1</v>
      </c>
      <c r="AC21" s="2953">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6"/>
      <c r="Q22" s="2952"/>
      <c r="R22" s="771"/>
      <c r="S22" s="772"/>
      <c r="T22" s="771"/>
      <c r="U22" s="772"/>
      <c r="V22" s="771"/>
      <c r="W22" s="772"/>
      <c r="X22" s="2950"/>
      <c r="Y22" s="3188"/>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26"/>
      <c r="Q23" s="2952" t="str">
        <f>B23</f>
        <v>自然及人文环境</v>
      </c>
      <c r="R23" s="771" t="s">
        <v>21</v>
      </c>
      <c r="S23" s="772">
        <f>F23</f>
        <v>102</v>
      </c>
      <c r="T23" s="771" t="s">
        <v>21</v>
      </c>
      <c r="U23" s="772">
        <f>H23</f>
        <v>102</v>
      </c>
      <c r="V23" s="771" t="s">
        <v>21</v>
      </c>
      <c r="W23" s="772">
        <f>J23</f>
        <v>102</v>
      </c>
      <c r="X23" s="2950"/>
      <c r="Y23" s="3188"/>
      <c r="Z23" s="2951" t="str">
        <f>Q23</f>
        <v>自然及人文环境</v>
      </c>
      <c r="AA23" s="2953">
        <f>D23/F23</f>
        <v>0.98039215686274506</v>
      </c>
      <c r="AB23" s="2953">
        <f>D23/H23</f>
        <v>0.98039215686274506</v>
      </c>
      <c r="AC23" s="2953">
        <f>D23/J23</f>
        <v>0.98039215686274506</v>
      </c>
    </row>
    <row r="24" spans="1:29" ht="15.75" thickBot="1">
      <c r="A24" s="425"/>
      <c r="B24" s="453"/>
      <c r="C24" s="444" t="s">
        <v>3161</v>
      </c>
      <c r="D24" s="445"/>
      <c r="E24" s="2600" t="s">
        <v>3150</v>
      </c>
      <c r="F24" s="445"/>
      <c r="G24" s="2601" t="s">
        <v>3150</v>
      </c>
      <c r="H24" s="445"/>
      <c r="I24" s="2601" t="s">
        <v>3150</v>
      </c>
      <c r="J24" s="445"/>
      <c r="K24" s="2602"/>
      <c r="L24" s="1136"/>
      <c r="M24" s="1127"/>
      <c r="N24" s="1127"/>
      <c r="O24" s="1127"/>
      <c r="P24" s="3226"/>
      <c r="Q24" s="2952"/>
      <c r="R24" s="771"/>
      <c r="S24" s="772"/>
      <c r="T24" s="771"/>
      <c r="U24" s="772"/>
      <c r="V24" s="771"/>
      <c r="W24" s="772"/>
      <c r="X24" s="2950"/>
      <c r="Y24" s="3188"/>
      <c r="Z24" s="2951"/>
      <c r="AA24" s="2953">
        <v>1</v>
      </c>
      <c r="AB24" s="2953">
        <v>1</v>
      </c>
      <c r="AC24" s="2953">
        <v>1</v>
      </c>
    </row>
    <row r="25" spans="1:29" ht="15" hidden="1">
      <c r="A25" s="425"/>
      <c r="B25" s="2947"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6"/>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188"/>
      <c r="Z25" s="2951" t="str">
        <f>Q25</f>
        <v>楼层-1</v>
      </c>
      <c r="AA25" s="2953">
        <f t="shared" ref="AA25:AA46" si="15">D25/F25</f>
        <v>1</v>
      </c>
      <c r="AB25" s="2953">
        <f t="shared" ref="AB25:AB46" si="16">D25/H25</f>
        <v>1</v>
      </c>
      <c r="AC25" s="2953">
        <f t="shared" ref="AC25:AC46" si="17">D25/J25</f>
        <v>1</v>
      </c>
    </row>
    <row r="26" spans="1:29" ht="15" hidden="1">
      <c r="A26" s="425"/>
      <c r="B26" s="2947"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6"/>
      <c r="Q26" s="2952" t="str">
        <f t="shared" si="11"/>
        <v>朝向</v>
      </c>
      <c r="R26" s="771" t="s">
        <v>21</v>
      </c>
      <c r="S26" s="772">
        <f t="shared" si="12"/>
        <v>100</v>
      </c>
      <c r="T26" s="771" t="s">
        <v>21</v>
      </c>
      <c r="U26" s="772">
        <f t="shared" si="13"/>
        <v>100</v>
      </c>
      <c r="V26" s="771" t="s">
        <v>21</v>
      </c>
      <c r="W26" s="772">
        <f t="shared" si="14"/>
        <v>100</v>
      </c>
      <c r="X26" s="2950"/>
      <c r="Y26" s="3188"/>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6"/>
      <c r="Q27" s="2938">
        <f t="shared" si="11"/>
        <v>111</v>
      </c>
      <c r="R27" s="767" t="s">
        <v>21</v>
      </c>
      <c r="S27" s="768">
        <f t="shared" si="12"/>
        <v>100</v>
      </c>
      <c r="T27" s="767" t="s">
        <v>21</v>
      </c>
      <c r="U27" s="768">
        <f t="shared" si="13"/>
        <v>100</v>
      </c>
      <c r="V27" s="767" t="s">
        <v>21</v>
      </c>
      <c r="W27" s="768">
        <f t="shared" si="14"/>
        <v>100</v>
      </c>
      <c r="X27" s="769"/>
      <c r="Y27" s="3188"/>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6"/>
      <c r="Q28" s="2952">
        <f t="shared" si="11"/>
        <v>111</v>
      </c>
      <c r="R28" s="771" t="s">
        <v>21</v>
      </c>
      <c r="S28" s="772">
        <f t="shared" si="12"/>
        <v>100</v>
      </c>
      <c r="T28" s="771" t="s">
        <v>21</v>
      </c>
      <c r="U28" s="772">
        <f t="shared" si="13"/>
        <v>100</v>
      </c>
      <c r="V28" s="771" t="s">
        <v>21</v>
      </c>
      <c r="W28" s="772">
        <f t="shared" si="14"/>
        <v>100</v>
      </c>
      <c r="X28" s="2950"/>
      <c r="Y28" s="3188"/>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6"/>
      <c r="Q29" s="2952">
        <f t="shared" si="11"/>
        <v>111</v>
      </c>
      <c r="R29" s="771" t="s">
        <v>21</v>
      </c>
      <c r="S29" s="772">
        <f t="shared" si="12"/>
        <v>100</v>
      </c>
      <c r="T29" s="771" t="s">
        <v>21</v>
      </c>
      <c r="U29" s="772">
        <f t="shared" si="13"/>
        <v>100</v>
      </c>
      <c r="V29" s="771" t="s">
        <v>21</v>
      </c>
      <c r="W29" s="772">
        <f t="shared" si="14"/>
        <v>100</v>
      </c>
      <c r="X29" s="2950"/>
      <c r="Y29" s="3188"/>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6"/>
      <c r="Q30" s="2952">
        <f t="shared" si="11"/>
        <v>111</v>
      </c>
      <c r="R30" s="771" t="s">
        <v>21</v>
      </c>
      <c r="S30" s="772">
        <f t="shared" si="12"/>
        <v>100</v>
      </c>
      <c r="T30" s="771" t="s">
        <v>21</v>
      </c>
      <c r="U30" s="772">
        <f t="shared" si="13"/>
        <v>100</v>
      </c>
      <c r="V30" s="771" t="s">
        <v>21</v>
      </c>
      <c r="W30" s="772">
        <f t="shared" si="14"/>
        <v>100</v>
      </c>
      <c r="X30" s="2950"/>
      <c r="Y30" s="3188"/>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6"/>
      <c r="Q31" s="2952">
        <f t="shared" si="11"/>
        <v>111</v>
      </c>
      <c r="R31" s="771" t="s">
        <v>21</v>
      </c>
      <c r="S31" s="772">
        <f t="shared" si="12"/>
        <v>100</v>
      </c>
      <c r="T31" s="771" t="s">
        <v>21</v>
      </c>
      <c r="U31" s="772">
        <f t="shared" si="13"/>
        <v>100</v>
      </c>
      <c r="V31" s="771" t="s">
        <v>21</v>
      </c>
      <c r="W31" s="772">
        <f t="shared" si="14"/>
        <v>100</v>
      </c>
      <c r="X31" s="2950"/>
      <c r="Y31" s="3188"/>
      <c r="Z31" s="2951">
        <f t="shared" si="18"/>
        <v>111</v>
      </c>
      <c r="AA31" s="2953">
        <f t="shared" si="15"/>
        <v>1</v>
      </c>
      <c r="AB31" s="2953">
        <f t="shared" si="16"/>
        <v>1</v>
      </c>
      <c r="AC31" s="2953">
        <f t="shared" si="17"/>
        <v>1</v>
      </c>
    </row>
    <row r="32" spans="1:29" ht="15">
      <c r="A32" s="437" t="s">
        <v>2547</v>
      </c>
      <c r="B32" s="71" t="s">
        <v>2548</v>
      </c>
      <c r="C32" s="2613" t="s">
        <v>3187</v>
      </c>
      <c r="D32" s="464">
        <v>100</v>
      </c>
      <c r="E32" s="2614" t="s">
        <v>3187</v>
      </c>
      <c r="F32" s="458">
        <f>SUMIF(100:100,E32,101:101)-SUMIF(100:100,C32,101:101)+100</f>
        <v>100</v>
      </c>
      <c r="G32" s="2613" t="s">
        <v>3187</v>
      </c>
      <c r="H32" s="464">
        <f>SUMIF(100:100,G32,101:101)-SUMIF(100:100,C32,101:101)+100</f>
        <v>100</v>
      </c>
      <c r="I32" s="2614" t="s">
        <v>3187</v>
      </c>
      <c r="J32" s="432">
        <f>SUMIF(100:100,I32,101:101)-SUMIF(100:100,C32,101:101)+100</f>
        <v>100</v>
      </c>
      <c r="K32" s="423">
        <v>5</v>
      </c>
      <c r="L32" s="1136"/>
      <c r="M32" s="1127"/>
      <c r="N32" s="1127"/>
      <c r="O32" s="1127"/>
      <c r="P32" s="3227" t="s">
        <v>2549</v>
      </c>
      <c r="Q32" s="2952" t="str">
        <f t="shared" si="11"/>
        <v>建筑类型</v>
      </c>
      <c r="R32" s="771" t="s">
        <v>21</v>
      </c>
      <c r="S32" s="772">
        <f t="shared" si="12"/>
        <v>100</v>
      </c>
      <c r="T32" s="771" t="s">
        <v>21</v>
      </c>
      <c r="U32" s="772">
        <f t="shared" si="13"/>
        <v>100</v>
      </c>
      <c r="V32" s="771" t="s">
        <v>21</v>
      </c>
      <c r="W32" s="772">
        <f t="shared" si="14"/>
        <v>100</v>
      </c>
      <c r="X32" s="2950"/>
      <c r="Y32" s="3190" t="s">
        <v>2549</v>
      </c>
      <c r="Z32" s="2951" t="str">
        <f t="shared" si="18"/>
        <v>建筑类型</v>
      </c>
      <c r="AA32" s="2953">
        <f t="shared" si="15"/>
        <v>1</v>
      </c>
      <c r="AB32" s="2953">
        <f t="shared" si="16"/>
        <v>1</v>
      </c>
      <c r="AC32" s="2953">
        <f t="shared" si="17"/>
        <v>1</v>
      </c>
    </row>
    <row r="33" spans="1:29" s="468" customFormat="1" ht="15">
      <c r="A33" s="465"/>
      <c r="B33" s="2947" t="s">
        <v>2550</v>
      </c>
      <c r="C33" s="466">
        <f>'数据-基础表'!B3</f>
        <v>268028.17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28"/>
      <c r="Q33" s="773" t="str">
        <f t="shared" si="11"/>
        <v>项目建筑规模</v>
      </c>
      <c r="R33" s="774" t="s">
        <v>21</v>
      </c>
      <c r="S33" s="775">
        <f t="shared" si="12"/>
        <v>97</v>
      </c>
      <c r="T33" s="774" t="s">
        <v>21</v>
      </c>
      <c r="U33" s="775">
        <f t="shared" si="13"/>
        <v>99</v>
      </c>
      <c r="V33" s="774" t="s">
        <v>21</v>
      </c>
      <c r="W33" s="775">
        <f t="shared" si="14"/>
        <v>98</v>
      </c>
      <c r="X33" s="776"/>
      <c r="Y33" s="3190"/>
      <c r="Z33" s="777" t="str">
        <f t="shared" si="18"/>
        <v>项目建筑规模</v>
      </c>
      <c r="AA33" s="2953">
        <f t="shared" si="15"/>
        <v>1.0309278350515463</v>
      </c>
      <c r="AB33" s="2953">
        <f t="shared" si="16"/>
        <v>1.0101010101010102</v>
      </c>
      <c r="AC33" s="2953">
        <f t="shared" si="17"/>
        <v>1.0204081632653061</v>
      </c>
    </row>
    <row r="34" spans="1:29" ht="15">
      <c r="A34" s="469"/>
      <c r="B34" s="2947"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28"/>
      <c r="Q34" s="2952" t="str">
        <f t="shared" si="11"/>
        <v>建筑结构</v>
      </c>
      <c r="R34" s="771" t="s">
        <v>21</v>
      </c>
      <c r="S34" s="772">
        <f t="shared" si="12"/>
        <v>100</v>
      </c>
      <c r="T34" s="771" t="s">
        <v>21</v>
      </c>
      <c r="U34" s="772">
        <f t="shared" si="13"/>
        <v>100</v>
      </c>
      <c r="V34" s="771" t="s">
        <v>21</v>
      </c>
      <c r="W34" s="772">
        <f t="shared" si="14"/>
        <v>100</v>
      </c>
      <c r="X34" s="2950"/>
      <c r="Y34" s="3190"/>
      <c r="Z34" s="2951" t="str">
        <f t="shared" si="18"/>
        <v>建筑结构</v>
      </c>
      <c r="AA34" s="2953">
        <f t="shared" si="15"/>
        <v>1</v>
      </c>
      <c r="AB34" s="2953">
        <f t="shared" si="16"/>
        <v>1</v>
      </c>
      <c r="AC34" s="2953">
        <f t="shared" si="17"/>
        <v>1</v>
      </c>
    </row>
    <row r="35" spans="1:29" ht="15">
      <c r="A35" s="469"/>
      <c r="B35" s="2947"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28"/>
      <c r="Q35" s="2952" t="str">
        <f t="shared" si="11"/>
        <v>建筑品质</v>
      </c>
      <c r="R35" s="771" t="s">
        <v>21</v>
      </c>
      <c r="S35" s="772">
        <f t="shared" si="12"/>
        <v>100</v>
      </c>
      <c r="T35" s="771" t="s">
        <v>21</v>
      </c>
      <c r="U35" s="772">
        <f t="shared" si="13"/>
        <v>100</v>
      </c>
      <c r="V35" s="771" t="s">
        <v>21</v>
      </c>
      <c r="W35" s="772">
        <f t="shared" si="14"/>
        <v>100</v>
      </c>
      <c r="X35" s="2950"/>
      <c r="Y35" s="3190"/>
      <c r="Z35" s="2951" t="str">
        <f t="shared" si="18"/>
        <v>建筑品质</v>
      </c>
      <c r="AA35" s="2953">
        <f t="shared" si="15"/>
        <v>1</v>
      </c>
      <c r="AB35" s="2953">
        <f t="shared" si="16"/>
        <v>1</v>
      </c>
      <c r="AC35" s="2953">
        <f t="shared" si="17"/>
        <v>1</v>
      </c>
    </row>
    <row r="36" spans="1:29" ht="15">
      <c r="A36" s="469"/>
      <c r="B36" s="2947"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28"/>
      <c r="Q36" s="2952" t="str">
        <f t="shared" si="11"/>
        <v>公共部分装修</v>
      </c>
      <c r="R36" s="771" t="s">
        <v>21</v>
      </c>
      <c r="S36" s="772">
        <f t="shared" si="12"/>
        <v>100</v>
      </c>
      <c r="T36" s="771" t="s">
        <v>21</v>
      </c>
      <c r="U36" s="772">
        <f t="shared" si="13"/>
        <v>100</v>
      </c>
      <c r="V36" s="771" t="s">
        <v>21</v>
      </c>
      <c r="W36" s="772">
        <f t="shared" si="14"/>
        <v>100</v>
      </c>
      <c r="X36" s="2950"/>
      <c r="Y36" s="3190"/>
      <c r="Z36" s="2951" t="str">
        <f t="shared" si="18"/>
        <v>公共部分装修</v>
      </c>
      <c r="AA36" s="2953">
        <f t="shared" si="15"/>
        <v>1</v>
      </c>
      <c r="AB36" s="2953">
        <f t="shared" si="16"/>
        <v>1</v>
      </c>
      <c r="AC36" s="2953">
        <f t="shared" si="17"/>
        <v>1</v>
      </c>
    </row>
    <row r="37" spans="1:29" s="115" customFormat="1" ht="15">
      <c r="A37" s="470"/>
      <c r="B37" s="2947"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8"/>
      <c r="Q37" s="2938" t="str">
        <f t="shared" si="11"/>
        <v>成新度</v>
      </c>
      <c r="R37" s="767" t="s">
        <v>21</v>
      </c>
      <c r="S37" s="768">
        <f t="shared" si="12"/>
        <v>100</v>
      </c>
      <c r="T37" s="767" t="s">
        <v>21</v>
      </c>
      <c r="U37" s="768">
        <f t="shared" si="13"/>
        <v>100</v>
      </c>
      <c r="V37" s="767" t="s">
        <v>21</v>
      </c>
      <c r="W37" s="768">
        <f t="shared" si="14"/>
        <v>100</v>
      </c>
      <c r="X37" s="769"/>
      <c r="Y37" s="3190"/>
      <c r="Z37" s="2939" t="str">
        <f t="shared" si="18"/>
        <v>成新度</v>
      </c>
      <c r="AA37" s="770">
        <f t="shared" si="15"/>
        <v>1</v>
      </c>
      <c r="AB37" s="770">
        <f t="shared" si="16"/>
        <v>1</v>
      </c>
      <c r="AC37" s="770">
        <f t="shared" si="17"/>
        <v>1</v>
      </c>
    </row>
    <row r="38" spans="1:29" ht="15">
      <c r="A38" s="469"/>
      <c r="B38" s="2947"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28" t="s">
        <v>2549</v>
      </c>
      <c r="Q38" s="2952" t="str">
        <f t="shared" si="11"/>
        <v>物业管理</v>
      </c>
      <c r="R38" s="771" t="s">
        <v>21</v>
      </c>
      <c r="S38" s="772">
        <f t="shared" si="12"/>
        <v>100</v>
      </c>
      <c r="T38" s="771" t="s">
        <v>21</v>
      </c>
      <c r="U38" s="772">
        <f t="shared" si="13"/>
        <v>100</v>
      </c>
      <c r="V38" s="771" t="s">
        <v>21</v>
      </c>
      <c r="W38" s="772">
        <f t="shared" si="14"/>
        <v>100</v>
      </c>
      <c r="X38" s="2950"/>
      <c r="Y38" s="3190" t="s">
        <v>2549</v>
      </c>
      <c r="Z38" s="2951" t="str">
        <f t="shared" si="18"/>
        <v>物业管理</v>
      </c>
      <c r="AA38" s="2953">
        <f t="shared" si="15"/>
        <v>1</v>
      </c>
      <c r="AB38" s="2953">
        <f t="shared" si="16"/>
        <v>1</v>
      </c>
      <c r="AC38" s="2953">
        <f t="shared" si="17"/>
        <v>1</v>
      </c>
    </row>
    <row r="39" spans="1:29" ht="15">
      <c r="A39" s="469"/>
      <c r="B39" s="2947"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28"/>
      <c r="Q39" s="2952" t="str">
        <f t="shared" si="11"/>
        <v>市政基础设施</v>
      </c>
      <c r="R39" s="771" t="s">
        <v>21</v>
      </c>
      <c r="S39" s="772">
        <f t="shared" si="12"/>
        <v>100</v>
      </c>
      <c r="T39" s="771" t="s">
        <v>21</v>
      </c>
      <c r="U39" s="772">
        <f t="shared" si="13"/>
        <v>100</v>
      </c>
      <c r="V39" s="771" t="s">
        <v>21</v>
      </c>
      <c r="W39" s="772">
        <f t="shared" si="14"/>
        <v>100</v>
      </c>
      <c r="X39" s="2950"/>
      <c r="Y39" s="3190"/>
      <c r="Z39" s="2951" t="str">
        <f t="shared" si="18"/>
        <v>市政基础设施</v>
      </c>
      <c r="AA39" s="2953">
        <f t="shared" si="15"/>
        <v>1</v>
      </c>
      <c r="AB39" s="2953">
        <f t="shared" si="16"/>
        <v>1</v>
      </c>
      <c r="AC39" s="2953">
        <f t="shared" si="17"/>
        <v>1</v>
      </c>
    </row>
    <row r="40" spans="1:29" ht="15">
      <c r="A40" s="469"/>
      <c r="B40" s="2947" t="s">
        <v>2557</v>
      </c>
      <c r="C40" s="2609" t="s">
        <v>3191</v>
      </c>
      <c r="D40" s="432">
        <v>100</v>
      </c>
      <c r="E40" s="2610" t="s">
        <v>3191</v>
      </c>
      <c r="F40" s="458">
        <f>SUMIF(118:118,E40,119:119)-SUMIF(118:118,C40,119:119)+100</f>
        <v>100</v>
      </c>
      <c r="G40" s="2609" t="s">
        <v>3191</v>
      </c>
      <c r="H40" s="432">
        <f>SUMIF(118:118,G40,119:119)-SUMIF(118:118,C40,119:119)+100</f>
        <v>100</v>
      </c>
      <c r="I40" s="2610" t="s">
        <v>3191</v>
      </c>
      <c r="J40" s="432">
        <f>SUMIF(118:118,I40,119:119)-SUMIF(118:118,C40,119:119)+100</f>
        <v>100</v>
      </c>
      <c r="K40" s="423">
        <v>5</v>
      </c>
      <c r="L40" s="1136"/>
      <c r="M40" s="1127"/>
      <c r="N40" s="1127"/>
      <c r="O40" s="1127"/>
      <c r="P40" s="3228"/>
      <c r="Q40" s="2952" t="str">
        <f t="shared" si="11"/>
        <v>房型</v>
      </c>
      <c r="R40" s="771" t="s">
        <v>21</v>
      </c>
      <c r="S40" s="772">
        <f t="shared" si="12"/>
        <v>100</v>
      </c>
      <c r="T40" s="771" t="s">
        <v>21</v>
      </c>
      <c r="U40" s="772">
        <f t="shared" si="13"/>
        <v>100</v>
      </c>
      <c r="V40" s="771" t="s">
        <v>21</v>
      </c>
      <c r="W40" s="772">
        <f t="shared" si="14"/>
        <v>100</v>
      </c>
      <c r="X40" s="2950"/>
      <c r="Y40" s="3190"/>
      <c r="Z40" s="2951" t="str">
        <f t="shared" si="18"/>
        <v>房型</v>
      </c>
      <c r="AA40" s="2953">
        <f t="shared" si="15"/>
        <v>1</v>
      </c>
      <c r="AB40" s="2953">
        <f t="shared" si="16"/>
        <v>1</v>
      </c>
      <c r="AC40" s="2953">
        <f t="shared" si="17"/>
        <v>1</v>
      </c>
    </row>
    <row r="41" spans="1:29" s="468" customFormat="1" ht="28.5" hidden="1">
      <c r="A41" s="465"/>
      <c r="B41" s="2947"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8"/>
      <c r="Q41" s="773" t="str">
        <f t="shared" si="11"/>
        <v>单套/主力户型建筑面积</v>
      </c>
      <c r="R41" s="774" t="s">
        <v>21</v>
      </c>
      <c r="S41" s="775">
        <f t="shared" si="12"/>
        <v>100</v>
      </c>
      <c r="T41" s="774" t="s">
        <v>21</v>
      </c>
      <c r="U41" s="775">
        <f t="shared" si="13"/>
        <v>100</v>
      </c>
      <c r="V41" s="774" t="s">
        <v>21</v>
      </c>
      <c r="W41" s="775">
        <f t="shared" si="14"/>
        <v>100</v>
      </c>
      <c r="X41" s="776"/>
      <c r="Y41" s="3190"/>
      <c r="Z41" s="777" t="str">
        <f t="shared" si="18"/>
        <v>单套/主力户型建筑面积</v>
      </c>
      <c r="AA41" s="2953">
        <f t="shared" si="15"/>
        <v>1</v>
      </c>
      <c r="AB41" s="2953">
        <f t="shared" si="16"/>
        <v>1</v>
      </c>
      <c r="AC41" s="2953">
        <f t="shared" si="17"/>
        <v>1</v>
      </c>
    </row>
    <row r="42" spans="1:29" ht="15.75" thickBot="1">
      <c r="A42" s="469"/>
      <c r="B42" s="2947"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28"/>
      <c r="Q42" s="2952" t="str">
        <f t="shared" si="11"/>
        <v>内部装修</v>
      </c>
      <c r="R42" s="771" t="s">
        <v>21</v>
      </c>
      <c r="S42" s="772">
        <f t="shared" si="12"/>
        <v>100</v>
      </c>
      <c r="T42" s="771" t="s">
        <v>21</v>
      </c>
      <c r="U42" s="772">
        <f t="shared" si="13"/>
        <v>100</v>
      </c>
      <c r="V42" s="771" t="s">
        <v>21</v>
      </c>
      <c r="W42" s="772">
        <f t="shared" si="14"/>
        <v>100</v>
      </c>
      <c r="X42" s="2950"/>
      <c r="Y42" s="3190"/>
      <c r="Z42" s="2951" t="str">
        <f t="shared" si="18"/>
        <v>内部装修</v>
      </c>
      <c r="AA42" s="2953">
        <f t="shared" si="15"/>
        <v>1</v>
      </c>
      <c r="AB42" s="2953">
        <f t="shared" si="16"/>
        <v>1</v>
      </c>
      <c r="AC42" s="2953">
        <f t="shared" si="17"/>
        <v>1</v>
      </c>
    </row>
    <row r="43" spans="1:29" ht="15" hidden="1">
      <c r="A43" s="469"/>
      <c r="B43" s="2947"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8"/>
      <c r="Q43" s="2952" t="str">
        <f t="shared" si="11"/>
        <v>内部装修维护情况</v>
      </c>
      <c r="R43" s="771" t="s">
        <v>21</v>
      </c>
      <c r="S43" s="772">
        <f t="shared" si="12"/>
        <v>100</v>
      </c>
      <c r="T43" s="771" t="s">
        <v>21</v>
      </c>
      <c r="U43" s="772">
        <f t="shared" si="13"/>
        <v>100</v>
      </c>
      <c r="V43" s="771" t="s">
        <v>21</v>
      </c>
      <c r="W43" s="772">
        <f t="shared" si="14"/>
        <v>100</v>
      </c>
      <c r="X43" s="2950"/>
      <c r="Y43" s="3190"/>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8"/>
      <c r="Q44" s="2938">
        <f t="shared" si="11"/>
        <v>111</v>
      </c>
      <c r="R44" s="767" t="s">
        <v>21</v>
      </c>
      <c r="S44" s="768">
        <f t="shared" si="12"/>
        <v>100</v>
      </c>
      <c r="T44" s="767" t="s">
        <v>21</v>
      </c>
      <c r="U44" s="768">
        <f t="shared" si="13"/>
        <v>100</v>
      </c>
      <c r="V44" s="767" t="s">
        <v>21</v>
      </c>
      <c r="W44" s="768">
        <f t="shared" si="14"/>
        <v>100</v>
      </c>
      <c r="X44" s="769"/>
      <c r="Y44" s="3190"/>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8"/>
      <c r="Q45" s="2952">
        <f t="shared" si="11"/>
        <v>111</v>
      </c>
      <c r="R45" s="771" t="s">
        <v>21</v>
      </c>
      <c r="S45" s="772">
        <f t="shared" si="12"/>
        <v>100</v>
      </c>
      <c r="T45" s="771" t="s">
        <v>21</v>
      </c>
      <c r="U45" s="772">
        <f t="shared" si="13"/>
        <v>100</v>
      </c>
      <c r="V45" s="771" t="s">
        <v>21</v>
      </c>
      <c r="W45" s="772">
        <f t="shared" si="14"/>
        <v>100</v>
      </c>
      <c r="X45" s="2950"/>
      <c r="Y45" s="3190"/>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29"/>
      <c r="Q46" s="2952">
        <f t="shared" si="11"/>
        <v>111</v>
      </c>
      <c r="R46" s="771" t="s">
        <v>20</v>
      </c>
      <c r="S46" s="772">
        <f t="shared" si="12"/>
        <v>100</v>
      </c>
      <c r="T46" s="771" t="s">
        <v>20</v>
      </c>
      <c r="U46" s="772">
        <f t="shared" si="13"/>
        <v>100</v>
      </c>
      <c r="V46" s="771" t="s">
        <v>20</v>
      </c>
      <c r="W46" s="772">
        <f t="shared" si="14"/>
        <v>100</v>
      </c>
      <c r="X46" s="2950"/>
      <c r="Y46" s="3230"/>
      <c r="Z46" s="2951">
        <f t="shared" si="18"/>
        <v>111</v>
      </c>
      <c r="AA46" s="2953">
        <f t="shared" si="15"/>
        <v>1</v>
      </c>
      <c r="AB46" s="2953">
        <f t="shared" si="16"/>
        <v>1</v>
      </c>
      <c r="AC46" s="2953">
        <f t="shared" si="17"/>
        <v>1</v>
      </c>
    </row>
    <row r="47" spans="1:29" ht="15">
      <c r="A47" s="476" t="s">
        <v>2561</v>
      </c>
      <c r="B47" s="477"/>
      <c r="C47" s="1403" t="s">
        <v>19</v>
      </c>
      <c r="D47" s="1404"/>
      <c r="E47" s="1405">
        <v>9300</v>
      </c>
      <c r="F47" s="1406"/>
      <c r="G47" s="1407">
        <v>9800</v>
      </c>
      <c r="H47" s="1408"/>
      <c r="I47" s="1405">
        <v>10000</v>
      </c>
      <c r="J47" s="1408"/>
      <c r="K47" s="2617"/>
      <c r="L47" s="1139"/>
      <c r="M47" s="1140"/>
      <c r="N47" s="1127"/>
      <c r="O47" s="1140"/>
      <c r="P47" s="3185" t="str">
        <f>A47</f>
        <v>成交单价（元/平方米）</v>
      </c>
      <c r="Q47" s="3185"/>
      <c r="R47" s="3231">
        <f>E47</f>
        <v>9300</v>
      </c>
      <c r="S47" s="3231"/>
      <c r="T47" s="3231">
        <f>G47</f>
        <v>9800</v>
      </c>
      <c r="U47" s="3231"/>
      <c r="V47" s="3231">
        <f>I47</f>
        <v>10000</v>
      </c>
      <c r="W47" s="3231"/>
      <c r="X47" s="756"/>
      <c r="Y47" s="778"/>
      <c r="Z47" s="756"/>
      <c r="AA47" s="756"/>
      <c r="AB47" s="756"/>
      <c r="AC47" s="756"/>
    </row>
    <row r="48" spans="1:29" ht="15.75" thickBot="1">
      <c r="A48" s="483" t="s">
        <v>2562</v>
      </c>
      <c r="B48" s="484"/>
      <c r="C48" s="1409">
        <f>R49</f>
        <v>9874</v>
      </c>
      <c r="D48" s="1410"/>
      <c r="E48" s="1411">
        <f>R48</f>
        <v>9411</v>
      </c>
      <c r="F48" s="1411"/>
      <c r="G48" s="1409">
        <f>T48</f>
        <v>10392</v>
      </c>
      <c r="H48" s="1410"/>
      <c r="I48" s="1411">
        <f>V48</f>
        <v>9820</v>
      </c>
      <c r="J48" s="1410"/>
      <c r="K48" s="2618"/>
      <c r="L48" s="1139"/>
      <c r="M48" s="1140"/>
      <c r="N48" s="1140"/>
      <c r="O48" s="1140"/>
      <c r="P48" s="3185" t="str">
        <f>A48</f>
        <v>比较价值（元/平方米）</v>
      </c>
      <c r="Q48" s="3185"/>
      <c r="R48" s="3231">
        <f>IF(F1="售价",ROUND(PRODUCT(R47,AA7:AA46),0),ROUND(PRODUCT(R47,AA7:AA46),1))</f>
        <v>9411</v>
      </c>
      <c r="S48" s="3231"/>
      <c r="T48" s="3231">
        <f>IF(F1="售价",ROUND(PRODUCT(T47,AB7:AB46),0),ROUND(PRODUCT(T47,AB7:AB46),1))</f>
        <v>10392</v>
      </c>
      <c r="U48" s="3231"/>
      <c r="V48" s="3231">
        <f>IF(F1="售价",ROUND(PRODUCT(V47,AC7:AC46),0),ROUND(PRODUCT(V47,AC7:AC46),1))</f>
        <v>9820</v>
      </c>
      <c r="W48" s="3231"/>
      <c r="X48" s="756"/>
      <c r="Y48" s="756"/>
      <c r="Z48" s="756"/>
      <c r="AA48" s="756"/>
      <c r="AB48" s="756"/>
      <c r="AC48" s="756"/>
    </row>
    <row r="49" spans="1:29" ht="15.75" thickBot="1">
      <c r="A49" s="489" t="s">
        <v>2563</v>
      </c>
      <c r="B49" s="490"/>
      <c r="C49" s="1412">
        <f>R49</f>
        <v>9874</v>
      </c>
      <c r="D49" s="1413"/>
      <c r="E49" s="1413"/>
      <c r="F49" s="1413"/>
      <c r="G49" s="1413"/>
      <c r="H49" s="1413"/>
      <c r="I49" s="1413"/>
      <c r="J49" s="1413"/>
      <c r="K49" s="2619"/>
      <c r="L49" s="1139"/>
      <c r="M49" s="1140"/>
      <c r="N49" s="1140"/>
      <c r="O49" s="1140"/>
      <c r="P49" s="3179" t="str">
        <f>A49</f>
        <v>估价对象XX用房的比较价值（楼面单价，元/平方米）</v>
      </c>
      <c r="Q49" s="3180"/>
      <c r="R49" s="3232">
        <f>IF(F1="售价",ROUND(AVERAGE(R48:V48),0),ROUND(AVERAGE(R48:V48),1))</f>
        <v>9874</v>
      </c>
      <c r="S49" s="3232"/>
      <c r="T49" s="3232"/>
      <c r="U49" s="3232"/>
      <c r="V49" s="3232"/>
      <c r="W49" s="323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1.1935483870967767E-2</v>
      </c>
      <c r="F52" s="497" t="str">
        <f>IF(OR(E52&gt;=0.3,E52&lt;=-0.3),"超过30%","")</f>
        <v/>
      </c>
      <c r="G52" s="496">
        <f>IF(G47&lt;G48,G48/G47-1,G47/G48-1)</f>
        <v>6.0408163265306181E-2</v>
      </c>
      <c r="H52" s="497" t="str">
        <f>IF(OR(G52&gt;=0.3,G52&lt;=-0.3),"超过30%","")</f>
        <v/>
      </c>
      <c r="I52" s="496">
        <f>IF(I47&lt;I48,I48/I47-1,I47/I48-1)</f>
        <v>1.8329938900203624E-2</v>
      </c>
      <c r="J52" s="497" t="str">
        <f>IF(OR(I52&gt;=0.3,I52&lt;=-0.3),"超过30%","")</f>
        <v/>
      </c>
      <c r="K52" s="1101"/>
      <c r="L52" s="1102"/>
      <c r="M52" s="1140"/>
      <c r="N52" s="1140"/>
      <c r="O52" s="1140"/>
    </row>
    <row r="53" spans="1:29" ht="13.5" customHeight="1">
      <c r="A53" s="1140"/>
      <c r="B53" s="1140"/>
      <c r="C53" s="494" t="s">
        <v>2565</v>
      </c>
      <c r="D53" s="498"/>
      <c r="E53" s="496">
        <f>IF(E48&lt;G48,G48/E48-1,E48/G48-1)</f>
        <v>0.10423971947720756</v>
      </c>
      <c r="F53" s="497" t="str">
        <f>IF(OR(E53&gt;=0.2,E53&lt;=-0.2),"超过20%","")</f>
        <v/>
      </c>
      <c r="G53" s="496">
        <f>IF(G48&lt;I48,I48/G48-1,G48/I48-1)</f>
        <v>5.8248472505091575E-2</v>
      </c>
      <c r="H53" s="497" t="str">
        <f>IF(OR(G53&gt;=0.2,G53&lt;=-0.2),"超过20%","")</f>
        <v/>
      </c>
      <c r="I53" s="496">
        <f>IF(I48&lt;E48,E48/I48-1,I48/E48-1)</f>
        <v>4.3459781107215045E-2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2532</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527" t="s">
        <v>3187</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3191</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3109</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11417</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14768</v>
      </c>
      <c r="C3" s="397" t="s">
        <v>2518</v>
      </c>
      <c r="D3" s="396">
        <f>IF(D1="",'数据-汇总表'!E3,SUMIF('数据-汇总表'!$C19:$C33,D1,'数据-汇总表'!$E19:$E33))</f>
        <v>7730.57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82" t="s">
        <v>2520</v>
      </c>
      <c r="D4" s="3195"/>
      <c r="E4" s="3196" t="s">
        <v>2521</v>
      </c>
      <c r="F4" s="3197"/>
      <c r="G4" s="3182" t="s">
        <v>2522</v>
      </c>
      <c r="H4" s="3195"/>
      <c r="I4" s="3182" t="s">
        <v>2523</v>
      </c>
      <c r="J4" s="3195"/>
      <c r="K4" s="2592" t="s">
        <v>2524</v>
      </c>
      <c r="L4" s="1126"/>
      <c r="M4" s="1127"/>
      <c r="N4" s="1127"/>
      <c r="O4" s="1127"/>
      <c r="P4" s="3198" t="s">
        <v>2525</v>
      </c>
      <c r="Q4" s="3199"/>
      <c r="R4" s="3204" t="s">
        <v>2521</v>
      </c>
      <c r="S4" s="3205"/>
      <c r="T4" s="3204" t="s">
        <v>2522</v>
      </c>
      <c r="U4" s="3205"/>
      <c r="V4" s="3191" t="s">
        <v>2523</v>
      </c>
      <c r="W4" s="3191"/>
      <c r="X4" s="1808"/>
      <c r="Y4" s="3204" t="s">
        <v>2525</v>
      </c>
      <c r="Z4" s="3205"/>
      <c r="AA4" s="3192" t="s">
        <v>2521</v>
      </c>
      <c r="AB4" s="3192" t="s">
        <v>2522</v>
      </c>
      <c r="AC4" s="3192" t="s">
        <v>2523</v>
      </c>
    </row>
    <row r="5" spans="1:29" ht="15">
      <c r="A5" s="401"/>
      <c r="B5" s="402"/>
      <c r="C5" s="3222" t="s">
        <v>2526</v>
      </c>
      <c r="D5" s="3213"/>
      <c r="E5" s="3220" t="s">
        <v>3203</v>
      </c>
      <c r="F5" s="3221"/>
      <c r="G5" s="3212" t="s">
        <v>3204</v>
      </c>
      <c r="H5" s="3213"/>
      <c r="I5" s="3212" t="s">
        <v>3205</v>
      </c>
      <c r="J5" s="3213"/>
      <c r="K5" s="2593"/>
      <c r="L5" s="1126"/>
      <c r="M5" s="1127"/>
      <c r="N5" s="1127"/>
      <c r="O5" s="1127"/>
      <c r="P5" s="3200"/>
      <c r="Q5" s="3201"/>
      <c r="R5" s="3206"/>
      <c r="S5" s="3207"/>
      <c r="T5" s="3206"/>
      <c r="U5" s="3207"/>
      <c r="V5" s="3191"/>
      <c r="W5" s="3191"/>
      <c r="X5" s="1808"/>
      <c r="Y5" s="3206"/>
      <c r="Z5" s="3207"/>
      <c r="AA5" s="3193"/>
      <c r="AB5" s="3193"/>
      <c r="AC5" s="3193"/>
    </row>
    <row r="6" spans="1:29" ht="31.5" customHeight="1" thickBot="1">
      <c r="A6" s="403"/>
      <c r="B6" s="404"/>
      <c r="C6" s="3210" t="s">
        <v>2530</v>
      </c>
      <c r="D6" s="3211"/>
      <c r="E6" s="3223" t="s">
        <v>3206</v>
      </c>
      <c r="F6" s="3219"/>
      <c r="G6" s="3224" t="s">
        <v>3207</v>
      </c>
      <c r="H6" s="3211"/>
      <c r="I6" s="3224" t="s">
        <v>3208</v>
      </c>
      <c r="J6" s="3211"/>
      <c r="K6" s="2593" t="s">
        <v>2531</v>
      </c>
      <c r="L6" s="1126"/>
      <c r="M6" s="1127"/>
      <c r="N6" s="1127"/>
      <c r="O6" s="1127"/>
      <c r="P6" s="3202"/>
      <c r="Q6" s="3203"/>
      <c r="R6" s="3206"/>
      <c r="S6" s="3207"/>
      <c r="T6" s="3208"/>
      <c r="U6" s="3209"/>
      <c r="V6" s="3191"/>
      <c r="W6" s="3191"/>
      <c r="X6" s="1808"/>
      <c r="Y6" s="3208"/>
      <c r="Z6" s="3209"/>
      <c r="AA6" s="3194"/>
      <c r="AB6" s="3194"/>
      <c r="AC6" s="3194"/>
    </row>
    <row r="7" spans="1:29" s="115" customFormat="1" ht="15.75" thickBot="1">
      <c r="A7" s="405" t="s">
        <v>2532</v>
      </c>
      <c r="B7" s="406"/>
      <c r="C7" s="407">
        <f>'数据-取费表'!B2</f>
        <v>43433</v>
      </c>
      <c r="D7" s="408">
        <v>100</v>
      </c>
      <c r="E7" s="409">
        <v>43377</v>
      </c>
      <c r="F7" s="410">
        <f>SUMIF(58:58,YEAR(E7)&amp;"-"&amp;MONTH(E7),59:59)</f>
        <v>100</v>
      </c>
      <c r="G7" s="409">
        <v>43378</v>
      </c>
      <c r="H7" s="408">
        <f>SUMIF(58:58,YEAR(G7)&amp;"-"&amp;MONTH(G7),59:59)</f>
        <v>100</v>
      </c>
      <c r="I7" s="409">
        <v>43374</v>
      </c>
      <c r="J7" s="408">
        <f>SUMIF(58:58,YEAR(I7)&amp;"-"&amp;MONTH(I7),59:59)</f>
        <v>100</v>
      </c>
      <c r="K7" s="2594"/>
      <c r="L7" s="1128"/>
      <c r="M7" s="1129"/>
      <c r="N7" s="1129"/>
      <c r="O7" s="1129"/>
      <c r="P7" s="3214" t="s">
        <v>2533</v>
      </c>
      <c r="Q7" s="3216"/>
      <c r="R7" s="767" t="s">
        <v>23</v>
      </c>
      <c r="S7" s="768">
        <f t="shared" ref="S7:S15" si="0">F7</f>
        <v>100</v>
      </c>
      <c r="T7" s="767" t="s">
        <v>23</v>
      </c>
      <c r="U7" s="768">
        <f t="shared" ref="U7:U15" si="1">H7</f>
        <v>100</v>
      </c>
      <c r="V7" s="767" t="s">
        <v>23</v>
      </c>
      <c r="W7" s="768">
        <f t="shared" ref="W7:W15" si="2">J7</f>
        <v>100</v>
      </c>
      <c r="X7" s="769"/>
      <c r="Y7" s="3214" t="s">
        <v>2533</v>
      </c>
      <c r="Z7" s="3215"/>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214" t="s">
        <v>2536</v>
      </c>
      <c r="Q8" s="3215"/>
      <c r="R8" s="767" t="s">
        <v>23</v>
      </c>
      <c r="S8" s="768">
        <f t="shared" si="0"/>
        <v>100</v>
      </c>
      <c r="T8" s="767" t="s">
        <v>23</v>
      </c>
      <c r="U8" s="768">
        <f t="shared" si="1"/>
        <v>100</v>
      </c>
      <c r="V8" s="767" t="s">
        <v>23</v>
      </c>
      <c r="W8" s="768">
        <f t="shared" si="2"/>
        <v>100</v>
      </c>
      <c r="X8" s="769"/>
      <c r="Y8" s="3214" t="s">
        <v>2536</v>
      </c>
      <c r="Z8" s="3215"/>
      <c r="AA8" s="770">
        <f t="shared" ref="AA8:AA19" si="3">D8/F8</f>
        <v>1</v>
      </c>
      <c r="AB8" s="770">
        <f t="shared" ref="AB8:AB19" si="4">D8/H8</f>
        <v>1</v>
      </c>
      <c r="AC8" s="770">
        <f t="shared" ref="AC8:AC19" si="5">D8/J8</f>
        <v>1</v>
      </c>
    </row>
    <row r="9" spans="1:29" s="115" customFormat="1">
      <c r="A9" s="412" t="s">
        <v>2537</v>
      </c>
      <c r="B9" s="71" t="s">
        <v>2538</v>
      </c>
      <c r="C9" s="413" t="s">
        <v>3116</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184"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770">
        <f t="shared" si="5"/>
        <v>1</v>
      </c>
    </row>
    <row r="10" spans="1:29" s="424" customFormat="1" ht="27">
      <c r="A10" s="418"/>
      <c r="B10" s="419"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184"/>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75" thickBot="1">
      <c r="A11" s="425"/>
      <c r="B11" s="419" t="s">
        <v>2542</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184"/>
      <c r="Q11" s="1790" t="str">
        <f t="shared" si="6"/>
        <v>容积率</v>
      </c>
      <c r="R11" s="767" t="s">
        <v>21</v>
      </c>
      <c r="S11" s="768">
        <f t="shared" si="0"/>
        <v>100</v>
      </c>
      <c r="T11" s="767" t="s">
        <v>21</v>
      </c>
      <c r="U11" s="768">
        <f t="shared" si="1"/>
        <v>92</v>
      </c>
      <c r="V11" s="767" t="s">
        <v>21</v>
      </c>
      <c r="W11" s="768">
        <f t="shared" si="2"/>
        <v>104</v>
      </c>
      <c r="X11" s="769"/>
      <c r="Y11" s="3032"/>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84"/>
      <c r="Q12" s="1790">
        <f t="shared" si="6"/>
        <v>111</v>
      </c>
      <c r="R12" s="767" t="s">
        <v>21</v>
      </c>
      <c r="S12" s="768">
        <f t="shared" si="0"/>
        <v>100</v>
      </c>
      <c r="T12" s="767" t="s">
        <v>21</v>
      </c>
      <c r="U12" s="768">
        <f t="shared" si="1"/>
        <v>100</v>
      </c>
      <c r="V12" s="767" t="s">
        <v>21</v>
      </c>
      <c r="W12" s="768">
        <f t="shared" si="2"/>
        <v>100</v>
      </c>
      <c r="X12" s="769"/>
      <c r="Y12" s="3032"/>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84"/>
      <c r="Q13" s="1790">
        <f t="shared" si="6"/>
        <v>111</v>
      </c>
      <c r="R13" s="767" t="s">
        <v>21</v>
      </c>
      <c r="S13" s="768">
        <f t="shared" si="0"/>
        <v>100</v>
      </c>
      <c r="T13" s="767" t="s">
        <v>21</v>
      </c>
      <c r="U13" s="768">
        <f t="shared" si="1"/>
        <v>100</v>
      </c>
      <c r="V13" s="767" t="s">
        <v>21</v>
      </c>
      <c r="W13" s="768">
        <f t="shared" si="2"/>
        <v>100</v>
      </c>
      <c r="X13" s="769"/>
      <c r="Y13" s="3032"/>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84"/>
      <c r="Q14" s="1790">
        <f t="shared" si="6"/>
        <v>111</v>
      </c>
      <c r="R14" s="767" t="s">
        <v>21</v>
      </c>
      <c r="S14" s="768">
        <f t="shared" si="0"/>
        <v>100</v>
      </c>
      <c r="T14" s="767" t="s">
        <v>21</v>
      </c>
      <c r="U14" s="768">
        <f t="shared" si="1"/>
        <v>100</v>
      </c>
      <c r="V14" s="767" t="s">
        <v>21</v>
      </c>
      <c r="W14" s="768">
        <f t="shared" si="2"/>
        <v>100</v>
      </c>
      <c r="X14" s="769"/>
      <c r="Y14" s="3032"/>
      <c r="Z14" s="55">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5" t="s">
        <v>2544</v>
      </c>
      <c r="Q15" s="1805" t="str">
        <f t="shared" si="6"/>
        <v>居住社区成熟度</v>
      </c>
      <c r="R15" s="771" t="s">
        <v>21</v>
      </c>
      <c r="S15" s="772">
        <f t="shared" si="0"/>
        <v>102</v>
      </c>
      <c r="T15" s="771" t="s">
        <v>21</v>
      </c>
      <c r="U15" s="772">
        <f t="shared" si="1"/>
        <v>102</v>
      </c>
      <c r="V15" s="771" t="s">
        <v>21</v>
      </c>
      <c r="W15" s="772">
        <f t="shared" si="2"/>
        <v>100</v>
      </c>
      <c r="X15" s="1808"/>
      <c r="Y15" s="3187" t="s">
        <v>2544</v>
      </c>
      <c r="Z15" s="1809" t="str">
        <f t="shared" si="7"/>
        <v>居住社区成熟度</v>
      </c>
      <c r="AA15" s="1806">
        <f t="shared" si="3"/>
        <v>0.98039215686274506</v>
      </c>
      <c r="AB15" s="1806">
        <f t="shared" si="4"/>
        <v>0.98039215686274506</v>
      </c>
      <c r="AC15" s="1806">
        <f t="shared" si="5"/>
        <v>1</v>
      </c>
    </row>
    <row r="16" spans="1:29" ht="15">
      <c r="A16" s="425"/>
      <c r="B16" s="443"/>
      <c r="C16" s="444" t="s">
        <v>3161</v>
      </c>
      <c r="D16" s="445"/>
      <c r="E16" s="2600" t="s">
        <v>3150</v>
      </c>
      <c r="F16" s="445"/>
      <c r="G16" s="2601" t="s">
        <v>3150</v>
      </c>
      <c r="H16" s="447"/>
      <c r="I16" s="2601" t="s">
        <v>3161</v>
      </c>
      <c r="J16" s="445"/>
      <c r="K16" s="2602"/>
      <c r="L16" s="1136"/>
      <c r="M16" s="1127"/>
      <c r="N16" s="1127"/>
      <c r="O16" s="1127"/>
      <c r="P16" s="3226"/>
      <c r="Q16" s="1805"/>
      <c r="R16" s="771"/>
      <c r="S16" s="772"/>
      <c r="T16" s="771"/>
      <c r="U16" s="772"/>
      <c r="V16" s="771"/>
      <c r="W16" s="772"/>
      <c r="X16" s="1808"/>
      <c r="Y16" s="3188"/>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6"/>
      <c r="Q17" s="1805" t="str">
        <f>B17</f>
        <v>交通便捷度</v>
      </c>
      <c r="R17" s="771" t="s">
        <v>21</v>
      </c>
      <c r="S17" s="772">
        <f>F17</f>
        <v>100</v>
      </c>
      <c r="T17" s="771" t="s">
        <v>21</v>
      </c>
      <c r="U17" s="772">
        <f>H17</f>
        <v>102</v>
      </c>
      <c r="V17" s="771" t="s">
        <v>21</v>
      </c>
      <c r="W17" s="772">
        <f>J17</f>
        <v>102</v>
      </c>
      <c r="X17" s="1808"/>
      <c r="Y17" s="3188"/>
      <c r="Z17" s="1809" t="str">
        <f>Q17</f>
        <v>交通便捷度</v>
      </c>
      <c r="AA17" s="1806">
        <f t="shared" si="3"/>
        <v>1</v>
      </c>
      <c r="AB17" s="1806">
        <f t="shared" si="4"/>
        <v>0.98039215686274506</v>
      </c>
      <c r="AC17" s="1806">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6"/>
      <c r="Q18" s="1805"/>
      <c r="R18" s="771"/>
      <c r="S18" s="772"/>
      <c r="T18" s="771"/>
      <c r="U18" s="772"/>
      <c r="V18" s="771"/>
      <c r="W18" s="772"/>
      <c r="X18" s="1808"/>
      <c r="Y18" s="3188"/>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26"/>
      <c r="Q19" s="1805" t="str">
        <f>B19</f>
        <v>公共配套设施</v>
      </c>
      <c r="R19" s="771" t="s">
        <v>21</v>
      </c>
      <c r="S19" s="772">
        <f>F19</f>
        <v>102</v>
      </c>
      <c r="T19" s="771" t="s">
        <v>21</v>
      </c>
      <c r="U19" s="772">
        <f>H19</f>
        <v>102</v>
      </c>
      <c r="V19" s="771" t="s">
        <v>21</v>
      </c>
      <c r="W19" s="772">
        <f>J19</f>
        <v>100</v>
      </c>
      <c r="X19" s="1808"/>
      <c r="Y19" s="3188"/>
      <c r="Z19" s="1809" t="str">
        <f>Q19</f>
        <v>公共配套设施</v>
      </c>
      <c r="AA19" s="1806">
        <f t="shared" si="3"/>
        <v>0.98039215686274506</v>
      </c>
      <c r="AB19" s="1806">
        <f t="shared" si="4"/>
        <v>0.98039215686274506</v>
      </c>
      <c r="AC19" s="1806">
        <f t="shared" si="5"/>
        <v>1</v>
      </c>
    </row>
    <row r="20" spans="1:29" ht="15">
      <c r="A20" s="425"/>
      <c r="B20" s="453"/>
      <c r="C20" s="444" t="s">
        <v>3161</v>
      </c>
      <c r="D20" s="445"/>
      <c r="E20" s="2600" t="s">
        <v>3150</v>
      </c>
      <c r="F20" s="445"/>
      <c r="G20" s="2601" t="s">
        <v>3150</v>
      </c>
      <c r="H20" s="445"/>
      <c r="I20" s="2601" t="s">
        <v>3161</v>
      </c>
      <c r="J20" s="445"/>
      <c r="K20" s="2602"/>
      <c r="L20" s="1136"/>
      <c r="M20" s="1127"/>
      <c r="N20" s="1127"/>
      <c r="O20" s="1127"/>
      <c r="P20" s="3226"/>
      <c r="Q20" s="1805"/>
      <c r="R20" s="771"/>
      <c r="S20" s="772"/>
      <c r="T20" s="771"/>
      <c r="U20" s="772"/>
      <c r="V20" s="771"/>
      <c r="W20" s="772"/>
      <c r="X20" s="1808"/>
      <c r="Y20" s="3188"/>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6"/>
      <c r="Q21" s="1805" t="str">
        <f>B21</f>
        <v>基础设施水平</v>
      </c>
      <c r="R21" s="771" t="s">
        <v>17</v>
      </c>
      <c r="S21" s="772">
        <f>F21</f>
        <v>100</v>
      </c>
      <c r="T21" s="771" t="s">
        <v>17</v>
      </c>
      <c r="U21" s="772">
        <f>H21</f>
        <v>100</v>
      </c>
      <c r="V21" s="771" t="s">
        <v>17</v>
      </c>
      <c r="W21" s="772">
        <f>J21</f>
        <v>100</v>
      </c>
      <c r="X21" s="1808"/>
      <c r="Y21" s="3188"/>
      <c r="Z21" s="1809" t="str">
        <f>Q21</f>
        <v>基础设施水平</v>
      </c>
      <c r="AA21" s="1806">
        <f t="shared" ref="AA21" si="8">D21/F21</f>
        <v>1</v>
      </c>
      <c r="AB21" s="1806">
        <f t="shared" ref="AB21" si="9">D21/H21</f>
        <v>1</v>
      </c>
      <c r="AC21" s="1806">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6"/>
      <c r="Q22" s="1805"/>
      <c r="R22" s="771"/>
      <c r="S22" s="772"/>
      <c r="T22" s="771"/>
      <c r="U22" s="772"/>
      <c r="V22" s="771"/>
      <c r="W22" s="772"/>
      <c r="X22" s="1808"/>
      <c r="Y22" s="3188"/>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26"/>
      <c r="Q23" s="1805" t="str">
        <f>B23</f>
        <v>自然及人文环境</v>
      </c>
      <c r="R23" s="771" t="s">
        <v>21</v>
      </c>
      <c r="S23" s="772">
        <f>F23</f>
        <v>100</v>
      </c>
      <c r="T23" s="771" t="s">
        <v>21</v>
      </c>
      <c r="U23" s="772">
        <f>H23</f>
        <v>102</v>
      </c>
      <c r="V23" s="771" t="s">
        <v>21</v>
      </c>
      <c r="W23" s="772">
        <f>J23</f>
        <v>102</v>
      </c>
      <c r="X23" s="1808"/>
      <c r="Y23" s="3188"/>
      <c r="Z23" s="1809" t="str">
        <f>Q23</f>
        <v>自然及人文环境</v>
      </c>
      <c r="AA23" s="1806">
        <f>D23/F23</f>
        <v>1</v>
      </c>
      <c r="AB23" s="1806">
        <f>D23/H23</f>
        <v>0.98039215686274506</v>
      </c>
      <c r="AC23" s="1806">
        <f>D23/J23</f>
        <v>0.98039215686274506</v>
      </c>
    </row>
    <row r="24" spans="1:29" ht="15.75" thickBot="1">
      <c r="A24" s="425"/>
      <c r="B24" s="453"/>
      <c r="C24" s="444" t="s">
        <v>3161</v>
      </c>
      <c r="D24" s="445"/>
      <c r="E24" s="2600" t="s">
        <v>3161</v>
      </c>
      <c r="F24" s="445"/>
      <c r="G24" s="2601" t="s">
        <v>3150</v>
      </c>
      <c r="H24" s="445"/>
      <c r="I24" s="2601" t="s">
        <v>3150</v>
      </c>
      <c r="J24" s="445"/>
      <c r="K24" s="2602"/>
      <c r="L24" s="1136"/>
      <c r="M24" s="1127"/>
      <c r="N24" s="1127"/>
      <c r="O24" s="1127"/>
      <c r="P24" s="3226"/>
      <c r="Q24" s="1805"/>
      <c r="R24" s="771"/>
      <c r="S24" s="772"/>
      <c r="T24" s="771"/>
      <c r="U24" s="772"/>
      <c r="V24" s="771"/>
      <c r="W24" s="772"/>
      <c r="X24" s="1808"/>
      <c r="Y24" s="3188"/>
      <c r="Z24" s="1809"/>
      <c r="AA24" s="1806">
        <v>1</v>
      </c>
      <c r="AB24" s="1806">
        <v>1</v>
      </c>
      <c r="AC24" s="1806">
        <v>1</v>
      </c>
    </row>
    <row r="25" spans="1:29" ht="15" hidden="1">
      <c r="A25" s="425"/>
      <c r="B25" s="419"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6"/>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88"/>
      <c r="Z25" s="1809" t="str">
        <f>Q25</f>
        <v>楼层-1</v>
      </c>
      <c r="AA25" s="1806">
        <f t="shared" ref="AA25:AA46" si="15">D25/F25</f>
        <v>1</v>
      </c>
      <c r="AB25" s="1806">
        <f t="shared" ref="AB25:AB46" si="16">D25/H25</f>
        <v>1</v>
      </c>
      <c r="AC25" s="1806">
        <f t="shared" ref="AC25:AC46" si="17">D25/J25</f>
        <v>1</v>
      </c>
    </row>
    <row r="26" spans="1:29" ht="15" hidden="1">
      <c r="A26" s="425"/>
      <c r="B26" s="419"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6"/>
      <c r="Q26" s="1805" t="str">
        <f t="shared" si="11"/>
        <v>朝向</v>
      </c>
      <c r="R26" s="771" t="s">
        <v>21</v>
      </c>
      <c r="S26" s="772">
        <f t="shared" si="12"/>
        <v>100</v>
      </c>
      <c r="T26" s="771" t="s">
        <v>21</v>
      </c>
      <c r="U26" s="772">
        <f t="shared" si="13"/>
        <v>100</v>
      </c>
      <c r="V26" s="771" t="s">
        <v>21</v>
      </c>
      <c r="W26" s="772">
        <f t="shared" si="14"/>
        <v>100</v>
      </c>
      <c r="X26" s="1808"/>
      <c r="Y26" s="3188"/>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6"/>
      <c r="Q27" s="1790">
        <f t="shared" si="11"/>
        <v>111</v>
      </c>
      <c r="R27" s="767" t="s">
        <v>21</v>
      </c>
      <c r="S27" s="768">
        <f t="shared" si="12"/>
        <v>100</v>
      </c>
      <c r="T27" s="767" t="s">
        <v>21</v>
      </c>
      <c r="U27" s="768">
        <f t="shared" si="13"/>
        <v>100</v>
      </c>
      <c r="V27" s="767" t="s">
        <v>21</v>
      </c>
      <c r="W27" s="768">
        <f t="shared" si="14"/>
        <v>100</v>
      </c>
      <c r="X27" s="769"/>
      <c r="Y27" s="3188"/>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6"/>
      <c r="Q28" s="1805">
        <f t="shared" si="11"/>
        <v>111</v>
      </c>
      <c r="R28" s="771" t="s">
        <v>21</v>
      </c>
      <c r="S28" s="772">
        <f t="shared" si="12"/>
        <v>100</v>
      </c>
      <c r="T28" s="771" t="s">
        <v>21</v>
      </c>
      <c r="U28" s="772">
        <f t="shared" si="13"/>
        <v>100</v>
      </c>
      <c r="V28" s="771" t="s">
        <v>21</v>
      </c>
      <c r="W28" s="772">
        <f t="shared" si="14"/>
        <v>100</v>
      </c>
      <c r="X28" s="1808"/>
      <c r="Y28" s="3188"/>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6"/>
      <c r="Q29" s="1805">
        <f t="shared" si="11"/>
        <v>111</v>
      </c>
      <c r="R29" s="771" t="s">
        <v>21</v>
      </c>
      <c r="S29" s="772">
        <f t="shared" si="12"/>
        <v>100</v>
      </c>
      <c r="T29" s="771" t="s">
        <v>21</v>
      </c>
      <c r="U29" s="772">
        <f t="shared" si="13"/>
        <v>100</v>
      </c>
      <c r="V29" s="771" t="s">
        <v>21</v>
      </c>
      <c r="W29" s="772">
        <f t="shared" si="14"/>
        <v>100</v>
      </c>
      <c r="X29" s="1808"/>
      <c r="Y29" s="3188"/>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6"/>
      <c r="Q30" s="1805">
        <f t="shared" si="11"/>
        <v>111</v>
      </c>
      <c r="R30" s="771" t="s">
        <v>21</v>
      </c>
      <c r="S30" s="772">
        <f t="shared" si="12"/>
        <v>100</v>
      </c>
      <c r="T30" s="771" t="s">
        <v>21</v>
      </c>
      <c r="U30" s="772">
        <f t="shared" si="13"/>
        <v>100</v>
      </c>
      <c r="V30" s="771" t="s">
        <v>21</v>
      </c>
      <c r="W30" s="772">
        <f t="shared" si="14"/>
        <v>100</v>
      </c>
      <c r="X30" s="1808"/>
      <c r="Y30" s="3188"/>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6"/>
      <c r="Q31" s="1805">
        <f t="shared" si="11"/>
        <v>111</v>
      </c>
      <c r="R31" s="771" t="s">
        <v>21</v>
      </c>
      <c r="S31" s="772">
        <f t="shared" si="12"/>
        <v>100</v>
      </c>
      <c r="T31" s="771" t="s">
        <v>21</v>
      </c>
      <c r="U31" s="772">
        <f t="shared" si="13"/>
        <v>100</v>
      </c>
      <c r="V31" s="771" t="s">
        <v>21</v>
      </c>
      <c r="W31" s="772">
        <f t="shared" si="14"/>
        <v>100</v>
      </c>
      <c r="X31" s="1808"/>
      <c r="Y31" s="3188"/>
      <c r="Z31" s="1809">
        <f t="shared" si="18"/>
        <v>111</v>
      </c>
      <c r="AA31" s="1806">
        <f t="shared" si="15"/>
        <v>1</v>
      </c>
      <c r="AB31" s="1806">
        <f t="shared" si="16"/>
        <v>1</v>
      </c>
      <c r="AC31" s="1806">
        <f t="shared" si="17"/>
        <v>1</v>
      </c>
    </row>
    <row r="32" spans="1:29" ht="15">
      <c r="A32" s="437" t="s">
        <v>2547</v>
      </c>
      <c r="B32" s="71" t="s">
        <v>2548</v>
      </c>
      <c r="C32" s="2613" t="s">
        <v>3117</v>
      </c>
      <c r="D32" s="464">
        <v>100</v>
      </c>
      <c r="E32" s="2614" t="s">
        <v>3202</v>
      </c>
      <c r="F32" s="458">
        <f>SUMIF(100:100,E32,101:101)-SUMIF(100:100,C32,101:101)+100</f>
        <v>90</v>
      </c>
      <c r="G32" s="2613" t="s">
        <v>3202</v>
      </c>
      <c r="H32" s="464">
        <f>SUMIF(100:100,G32,101:101)-SUMIF(100:100,C32,101:101)+100</f>
        <v>90</v>
      </c>
      <c r="I32" s="2614" t="s">
        <v>3117</v>
      </c>
      <c r="J32" s="432">
        <f>SUMIF(100:100,I32,101:101)-SUMIF(100:100,C32,101:101)+100</f>
        <v>100</v>
      </c>
      <c r="K32" s="423">
        <v>10</v>
      </c>
      <c r="L32" s="1136"/>
      <c r="M32" s="1127"/>
      <c r="N32" s="1127"/>
      <c r="O32" s="1127"/>
      <c r="P32" s="3227" t="s">
        <v>2549</v>
      </c>
      <c r="Q32" s="1805" t="str">
        <f t="shared" si="11"/>
        <v>建筑类型</v>
      </c>
      <c r="R32" s="771" t="s">
        <v>21</v>
      </c>
      <c r="S32" s="772">
        <f t="shared" si="12"/>
        <v>90</v>
      </c>
      <c r="T32" s="771" t="s">
        <v>21</v>
      </c>
      <c r="U32" s="772">
        <f t="shared" si="13"/>
        <v>90</v>
      </c>
      <c r="V32" s="771" t="s">
        <v>21</v>
      </c>
      <c r="W32" s="772">
        <f t="shared" si="14"/>
        <v>100</v>
      </c>
      <c r="X32" s="1808"/>
      <c r="Y32" s="3190" t="s">
        <v>2549</v>
      </c>
      <c r="Z32" s="1809" t="str">
        <f t="shared" si="18"/>
        <v>建筑类型</v>
      </c>
      <c r="AA32" s="1806">
        <f t="shared" si="15"/>
        <v>1.1111111111111112</v>
      </c>
      <c r="AB32" s="1806">
        <f t="shared" si="16"/>
        <v>1.1111111111111112</v>
      </c>
      <c r="AC32" s="1806">
        <f t="shared" si="17"/>
        <v>1</v>
      </c>
    </row>
    <row r="33" spans="1:29" s="468" customFormat="1" ht="15">
      <c r="A33" s="465"/>
      <c r="B33" s="419" t="s">
        <v>2550</v>
      </c>
      <c r="C33" s="466">
        <f>'数据-基础表'!B3</f>
        <v>268028.17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28"/>
      <c r="Q33" s="773" t="str">
        <f t="shared" si="11"/>
        <v>项目建筑规模</v>
      </c>
      <c r="R33" s="774" t="s">
        <v>21</v>
      </c>
      <c r="S33" s="775">
        <f t="shared" si="12"/>
        <v>102</v>
      </c>
      <c r="T33" s="774" t="s">
        <v>21</v>
      </c>
      <c r="U33" s="775">
        <f t="shared" si="13"/>
        <v>99</v>
      </c>
      <c r="V33" s="774" t="s">
        <v>21</v>
      </c>
      <c r="W33" s="775">
        <f t="shared" si="14"/>
        <v>101</v>
      </c>
      <c r="X33" s="776"/>
      <c r="Y33" s="3190"/>
      <c r="Z33" s="777" t="str">
        <f t="shared" si="18"/>
        <v>项目建筑规模</v>
      </c>
      <c r="AA33" s="1806">
        <f t="shared" si="15"/>
        <v>0.98039215686274506</v>
      </c>
      <c r="AB33" s="1806">
        <f t="shared" si="16"/>
        <v>1.0101010101010102</v>
      </c>
      <c r="AC33" s="1806">
        <f t="shared" si="17"/>
        <v>0.99009900990099009</v>
      </c>
    </row>
    <row r="34" spans="1:29" ht="15">
      <c r="A34" s="469"/>
      <c r="B34" s="419"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28"/>
      <c r="Q34" s="1805" t="str">
        <f t="shared" si="11"/>
        <v>建筑结构</v>
      </c>
      <c r="R34" s="771" t="s">
        <v>21</v>
      </c>
      <c r="S34" s="772">
        <f t="shared" si="12"/>
        <v>100</v>
      </c>
      <c r="T34" s="771" t="s">
        <v>21</v>
      </c>
      <c r="U34" s="772">
        <f t="shared" si="13"/>
        <v>100</v>
      </c>
      <c r="V34" s="771" t="s">
        <v>21</v>
      </c>
      <c r="W34" s="772">
        <f t="shared" si="14"/>
        <v>100</v>
      </c>
      <c r="X34" s="1808"/>
      <c r="Y34" s="3190"/>
      <c r="Z34" s="1809" t="str">
        <f t="shared" si="18"/>
        <v>建筑结构</v>
      </c>
      <c r="AA34" s="1806">
        <f t="shared" si="15"/>
        <v>1</v>
      </c>
      <c r="AB34" s="1806">
        <f t="shared" si="16"/>
        <v>1</v>
      </c>
      <c r="AC34" s="1806">
        <f t="shared" si="17"/>
        <v>1</v>
      </c>
    </row>
    <row r="35" spans="1:29" ht="15">
      <c r="A35" s="469"/>
      <c r="B35" s="419"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28"/>
      <c r="Q35" s="1805" t="str">
        <f t="shared" si="11"/>
        <v>建筑品质</v>
      </c>
      <c r="R35" s="771" t="s">
        <v>21</v>
      </c>
      <c r="S35" s="772">
        <f t="shared" si="12"/>
        <v>100</v>
      </c>
      <c r="T35" s="771" t="s">
        <v>21</v>
      </c>
      <c r="U35" s="772">
        <f t="shared" si="13"/>
        <v>100</v>
      </c>
      <c r="V35" s="771" t="s">
        <v>21</v>
      </c>
      <c r="W35" s="772">
        <f t="shared" si="14"/>
        <v>100</v>
      </c>
      <c r="X35" s="1808"/>
      <c r="Y35" s="3190"/>
      <c r="Z35" s="1809" t="str">
        <f t="shared" si="18"/>
        <v>建筑品质</v>
      </c>
      <c r="AA35" s="1806">
        <f t="shared" si="15"/>
        <v>1</v>
      </c>
      <c r="AB35" s="1806">
        <f t="shared" si="16"/>
        <v>1</v>
      </c>
      <c r="AC35" s="1806">
        <f t="shared" si="17"/>
        <v>1</v>
      </c>
    </row>
    <row r="36" spans="1:29" ht="15">
      <c r="A36" s="469"/>
      <c r="B36" s="419"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28"/>
      <c r="Q36" s="1805" t="str">
        <f t="shared" si="11"/>
        <v>公共部分装修</v>
      </c>
      <c r="R36" s="771" t="s">
        <v>21</v>
      </c>
      <c r="S36" s="772">
        <f t="shared" si="12"/>
        <v>100</v>
      </c>
      <c r="T36" s="771" t="s">
        <v>21</v>
      </c>
      <c r="U36" s="772">
        <f t="shared" si="13"/>
        <v>100</v>
      </c>
      <c r="V36" s="771" t="s">
        <v>21</v>
      </c>
      <c r="W36" s="772">
        <f t="shared" si="14"/>
        <v>100</v>
      </c>
      <c r="X36" s="1808"/>
      <c r="Y36" s="3190"/>
      <c r="Z36" s="1809" t="str">
        <f t="shared" si="18"/>
        <v>公共部分装修</v>
      </c>
      <c r="AA36" s="1806">
        <f t="shared" si="15"/>
        <v>1</v>
      </c>
      <c r="AB36" s="1806">
        <f t="shared" si="16"/>
        <v>1</v>
      </c>
      <c r="AC36" s="1806">
        <f t="shared" si="17"/>
        <v>1</v>
      </c>
    </row>
    <row r="37" spans="1:29" s="115" customFormat="1" ht="15">
      <c r="A37" s="470"/>
      <c r="B37" s="419"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8"/>
      <c r="Q37" s="1790" t="str">
        <f t="shared" si="11"/>
        <v>成新度</v>
      </c>
      <c r="R37" s="767" t="s">
        <v>21</v>
      </c>
      <c r="S37" s="768">
        <f t="shared" si="12"/>
        <v>100</v>
      </c>
      <c r="T37" s="767" t="s">
        <v>21</v>
      </c>
      <c r="U37" s="768">
        <f t="shared" si="13"/>
        <v>100</v>
      </c>
      <c r="V37" s="767" t="s">
        <v>21</v>
      </c>
      <c r="W37" s="768">
        <f t="shared" si="14"/>
        <v>100</v>
      </c>
      <c r="X37" s="769"/>
      <c r="Y37" s="3190"/>
      <c r="Z37" s="55" t="str">
        <f t="shared" si="18"/>
        <v>成新度</v>
      </c>
      <c r="AA37" s="770">
        <f t="shared" si="15"/>
        <v>1</v>
      </c>
      <c r="AB37" s="770">
        <f t="shared" si="16"/>
        <v>1</v>
      </c>
      <c r="AC37" s="770">
        <f t="shared" si="17"/>
        <v>1</v>
      </c>
    </row>
    <row r="38" spans="1:29" ht="15">
      <c r="A38" s="469"/>
      <c r="B38" s="419"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28" t="s">
        <v>2549</v>
      </c>
      <c r="Q38" s="1805" t="str">
        <f t="shared" si="11"/>
        <v>物业管理</v>
      </c>
      <c r="R38" s="771" t="s">
        <v>21</v>
      </c>
      <c r="S38" s="772">
        <f t="shared" si="12"/>
        <v>100</v>
      </c>
      <c r="T38" s="771" t="s">
        <v>21</v>
      </c>
      <c r="U38" s="772">
        <f t="shared" si="13"/>
        <v>100</v>
      </c>
      <c r="V38" s="771" t="s">
        <v>21</v>
      </c>
      <c r="W38" s="772">
        <f t="shared" si="14"/>
        <v>100</v>
      </c>
      <c r="X38" s="1808"/>
      <c r="Y38" s="3190" t="s">
        <v>2549</v>
      </c>
      <c r="Z38" s="1809" t="str">
        <f t="shared" si="18"/>
        <v>物业管理</v>
      </c>
      <c r="AA38" s="1806">
        <f t="shared" si="15"/>
        <v>1</v>
      </c>
      <c r="AB38" s="1806">
        <f t="shared" si="16"/>
        <v>1</v>
      </c>
      <c r="AC38" s="1806">
        <f t="shared" si="17"/>
        <v>1</v>
      </c>
    </row>
    <row r="39" spans="1:29" ht="15">
      <c r="A39" s="469"/>
      <c r="B39" s="419"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28"/>
      <c r="Q39" s="1805" t="str">
        <f t="shared" si="11"/>
        <v>市政基础设施</v>
      </c>
      <c r="R39" s="771" t="s">
        <v>21</v>
      </c>
      <c r="S39" s="772">
        <f t="shared" si="12"/>
        <v>100</v>
      </c>
      <c r="T39" s="771" t="s">
        <v>21</v>
      </c>
      <c r="U39" s="772">
        <f t="shared" si="13"/>
        <v>100</v>
      </c>
      <c r="V39" s="771" t="s">
        <v>21</v>
      </c>
      <c r="W39" s="772">
        <f t="shared" si="14"/>
        <v>100</v>
      </c>
      <c r="X39" s="1808"/>
      <c r="Y39" s="3190"/>
      <c r="Z39" s="1809" t="str">
        <f t="shared" si="18"/>
        <v>市政基础设施</v>
      </c>
      <c r="AA39" s="1806">
        <f t="shared" si="15"/>
        <v>1</v>
      </c>
      <c r="AB39" s="1806">
        <f t="shared" si="16"/>
        <v>1</v>
      </c>
      <c r="AC39" s="1806">
        <f t="shared" si="17"/>
        <v>1</v>
      </c>
    </row>
    <row r="40" spans="1:29" ht="15">
      <c r="A40" s="469"/>
      <c r="B40" s="419" t="s">
        <v>2557</v>
      </c>
      <c r="C40" s="2609" t="s">
        <v>3213</v>
      </c>
      <c r="D40" s="432">
        <v>100</v>
      </c>
      <c r="E40" s="2609" t="s">
        <v>3213</v>
      </c>
      <c r="F40" s="458">
        <f>SUMIF(118:118,E40,119:119)-SUMIF(118:118,C40,119:119)+100</f>
        <v>100</v>
      </c>
      <c r="G40" s="2609" t="s">
        <v>3213</v>
      </c>
      <c r="H40" s="432">
        <f>SUMIF(118:118,G40,119:119)-SUMIF(118:118,C40,119:119)+100</f>
        <v>100</v>
      </c>
      <c r="I40" s="2609" t="s">
        <v>3213</v>
      </c>
      <c r="J40" s="432">
        <f>SUMIF(118:118,I40,119:119)-SUMIF(118:118,C40,119:119)+100</f>
        <v>100</v>
      </c>
      <c r="K40" s="423">
        <v>5</v>
      </c>
      <c r="L40" s="1136"/>
      <c r="M40" s="1127"/>
      <c r="N40" s="1127"/>
      <c r="O40" s="1127"/>
      <c r="P40" s="3228"/>
      <c r="Q40" s="1805" t="str">
        <f t="shared" si="11"/>
        <v>房型</v>
      </c>
      <c r="R40" s="771" t="s">
        <v>21</v>
      </c>
      <c r="S40" s="772">
        <f t="shared" si="12"/>
        <v>100</v>
      </c>
      <c r="T40" s="771" t="s">
        <v>21</v>
      </c>
      <c r="U40" s="772">
        <f t="shared" si="13"/>
        <v>100</v>
      </c>
      <c r="V40" s="771" t="s">
        <v>21</v>
      </c>
      <c r="W40" s="772">
        <f t="shared" si="14"/>
        <v>100</v>
      </c>
      <c r="X40" s="1808"/>
      <c r="Y40" s="3190"/>
      <c r="Z40" s="1809" t="str">
        <f t="shared" si="18"/>
        <v>房型</v>
      </c>
      <c r="AA40" s="1806">
        <f t="shared" si="15"/>
        <v>1</v>
      </c>
      <c r="AB40" s="1806">
        <f t="shared" si="16"/>
        <v>1</v>
      </c>
      <c r="AC40" s="1806">
        <f t="shared" si="17"/>
        <v>1</v>
      </c>
    </row>
    <row r="41" spans="1:29" s="468" customFormat="1" ht="28.5" hidden="1">
      <c r="A41" s="465"/>
      <c r="B41" s="419"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8"/>
      <c r="Q41" s="773" t="str">
        <f t="shared" si="11"/>
        <v>单套/主力户型建筑面积</v>
      </c>
      <c r="R41" s="774" t="s">
        <v>21</v>
      </c>
      <c r="S41" s="775">
        <f t="shared" si="12"/>
        <v>100</v>
      </c>
      <c r="T41" s="774" t="s">
        <v>21</v>
      </c>
      <c r="U41" s="775">
        <f t="shared" si="13"/>
        <v>100</v>
      </c>
      <c r="V41" s="774" t="s">
        <v>21</v>
      </c>
      <c r="W41" s="775">
        <f t="shared" si="14"/>
        <v>100</v>
      </c>
      <c r="X41" s="776"/>
      <c r="Y41" s="3190"/>
      <c r="Z41" s="777" t="str">
        <f t="shared" si="18"/>
        <v>单套/主力户型建筑面积</v>
      </c>
      <c r="AA41" s="1806">
        <f t="shared" si="15"/>
        <v>1</v>
      </c>
      <c r="AB41" s="1806">
        <f t="shared" si="16"/>
        <v>1</v>
      </c>
      <c r="AC41" s="1806">
        <f t="shared" si="17"/>
        <v>1</v>
      </c>
    </row>
    <row r="42" spans="1:29" ht="15.75" thickBot="1">
      <c r="A42" s="469"/>
      <c r="B42" s="419"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28"/>
      <c r="Q42" s="1805" t="str">
        <f t="shared" si="11"/>
        <v>内部装修</v>
      </c>
      <c r="R42" s="771" t="s">
        <v>21</v>
      </c>
      <c r="S42" s="772">
        <f t="shared" si="12"/>
        <v>100</v>
      </c>
      <c r="T42" s="771" t="s">
        <v>21</v>
      </c>
      <c r="U42" s="772">
        <f t="shared" si="13"/>
        <v>100</v>
      </c>
      <c r="V42" s="771" t="s">
        <v>21</v>
      </c>
      <c r="W42" s="772">
        <f t="shared" si="14"/>
        <v>100</v>
      </c>
      <c r="X42" s="1808"/>
      <c r="Y42" s="3190"/>
      <c r="Z42" s="1809" t="str">
        <f t="shared" si="18"/>
        <v>内部装修</v>
      </c>
      <c r="AA42" s="1806">
        <f t="shared" si="15"/>
        <v>1</v>
      </c>
      <c r="AB42" s="1806">
        <f t="shared" si="16"/>
        <v>1</v>
      </c>
      <c r="AC42" s="1806">
        <f t="shared" si="17"/>
        <v>1</v>
      </c>
    </row>
    <row r="43" spans="1:29" ht="15" hidden="1">
      <c r="A43" s="469"/>
      <c r="B43" s="419"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8"/>
      <c r="Q43" s="1805" t="str">
        <f t="shared" si="11"/>
        <v>内部装修维护情况</v>
      </c>
      <c r="R43" s="771" t="s">
        <v>21</v>
      </c>
      <c r="S43" s="772">
        <f t="shared" si="12"/>
        <v>100</v>
      </c>
      <c r="T43" s="771" t="s">
        <v>21</v>
      </c>
      <c r="U43" s="772">
        <f t="shared" si="13"/>
        <v>100</v>
      </c>
      <c r="V43" s="771" t="s">
        <v>21</v>
      </c>
      <c r="W43" s="772">
        <f t="shared" si="14"/>
        <v>100</v>
      </c>
      <c r="X43" s="1808"/>
      <c r="Y43" s="3190"/>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8"/>
      <c r="Q44" s="1790">
        <f t="shared" si="11"/>
        <v>111</v>
      </c>
      <c r="R44" s="767" t="s">
        <v>21</v>
      </c>
      <c r="S44" s="768">
        <f t="shared" si="12"/>
        <v>100</v>
      </c>
      <c r="T44" s="767" t="s">
        <v>21</v>
      </c>
      <c r="U44" s="768">
        <f t="shared" si="13"/>
        <v>100</v>
      </c>
      <c r="V44" s="767" t="s">
        <v>21</v>
      </c>
      <c r="W44" s="768">
        <f t="shared" si="14"/>
        <v>100</v>
      </c>
      <c r="X44" s="769"/>
      <c r="Y44" s="3190"/>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8"/>
      <c r="Q45" s="1805">
        <f t="shared" si="11"/>
        <v>111</v>
      </c>
      <c r="R45" s="771" t="s">
        <v>21</v>
      </c>
      <c r="S45" s="772">
        <f t="shared" si="12"/>
        <v>100</v>
      </c>
      <c r="T45" s="771" t="s">
        <v>21</v>
      </c>
      <c r="U45" s="772">
        <f t="shared" si="13"/>
        <v>100</v>
      </c>
      <c r="V45" s="771" t="s">
        <v>21</v>
      </c>
      <c r="W45" s="772">
        <f t="shared" si="14"/>
        <v>100</v>
      </c>
      <c r="X45" s="1808"/>
      <c r="Y45" s="3190"/>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29"/>
      <c r="Q46" s="1805">
        <f t="shared" si="11"/>
        <v>111</v>
      </c>
      <c r="R46" s="771" t="s">
        <v>20</v>
      </c>
      <c r="S46" s="772">
        <f t="shared" si="12"/>
        <v>100</v>
      </c>
      <c r="T46" s="771" t="s">
        <v>20</v>
      </c>
      <c r="U46" s="772">
        <f t="shared" si="13"/>
        <v>100</v>
      </c>
      <c r="V46" s="771" t="s">
        <v>20</v>
      </c>
      <c r="W46" s="772">
        <f t="shared" si="14"/>
        <v>100</v>
      </c>
      <c r="X46" s="1808"/>
      <c r="Y46" s="3230"/>
      <c r="Z46" s="1809">
        <f t="shared" si="18"/>
        <v>111</v>
      </c>
      <c r="AA46" s="1806">
        <f t="shared" si="15"/>
        <v>1</v>
      </c>
      <c r="AB46" s="1806">
        <f t="shared" si="16"/>
        <v>1</v>
      </c>
      <c r="AC46" s="1806">
        <f t="shared" si="17"/>
        <v>1</v>
      </c>
    </row>
    <row r="47" spans="1:29" ht="15">
      <c r="A47" s="476" t="s">
        <v>2561</v>
      </c>
      <c r="B47" s="477"/>
      <c r="C47" s="1403" t="s">
        <v>19</v>
      </c>
      <c r="D47" s="1404"/>
      <c r="E47" s="1405">
        <v>13700</v>
      </c>
      <c r="F47" s="1406"/>
      <c r="G47" s="1407">
        <v>14000</v>
      </c>
      <c r="H47" s="1408"/>
      <c r="I47" s="1405">
        <v>15500</v>
      </c>
      <c r="J47" s="1408"/>
      <c r="K47" s="2617"/>
      <c r="L47" s="1139"/>
      <c r="M47" s="1140"/>
      <c r="N47" s="1127"/>
      <c r="O47" s="1140"/>
      <c r="P47" s="3185" t="str">
        <f>A47</f>
        <v>成交单价（元/平方米）</v>
      </c>
      <c r="Q47" s="3185"/>
      <c r="R47" s="3231">
        <f>E47</f>
        <v>13700</v>
      </c>
      <c r="S47" s="3231"/>
      <c r="T47" s="3231">
        <f>G47</f>
        <v>14000</v>
      </c>
      <c r="U47" s="3231"/>
      <c r="V47" s="3231">
        <f>I47</f>
        <v>15500</v>
      </c>
      <c r="W47" s="3231"/>
      <c r="X47" s="756"/>
      <c r="Y47" s="778"/>
      <c r="Z47" s="756"/>
      <c r="AA47" s="756"/>
      <c r="AB47" s="756"/>
      <c r="AC47" s="756"/>
    </row>
    <row r="48" spans="1:29" ht="15.75" thickBot="1">
      <c r="A48" s="483" t="s">
        <v>2562</v>
      </c>
      <c r="B48" s="484"/>
      <c r="C48" s="1409">
        <f>R49</f>
        <v>14768</v>
      </c>
      <c r="D48" s="1410"/>
      <c r="E48" s="1411">
        <f>R48</f>
        <v>14344</v>
      </c>
      <c r="F48" s="1411"/>
      <c r="G48" s="1409">
        <f>T48</f>
        <v>15778</v>
      </c>
      <c r="H48" s="1410"/>
      <c r="I48" s="1411">
        <f>V48</f>
        <v>14183</v>
      </c>
      <c r="J48" s="1410"/>
      <c r="K48" s="2618"/>
      <c r="L48" s="1139"/>
      <c r="M48" s="1140"/>
      <c r="N48" s="1140"/>
      <c r="O48" s="1140"/>
      <c r="P48" s="3185" t="str">
        <f>A48</f>
        <v>比较价值（元/平方米）</v>
      </c>
      <c r="Q48" s="3185"/>
      <c r="R48" s="3231">
        <f>IF(F1="售价",ROUND(PRODUCT(R47,AA7:AA46),0),ROUND(PRODUCT(R47,AA7:AA46),1))</f>
        <v>14344</v>
      </c>
      <c r="S48" s="3231"/>
      <c r="T48" s="3231">
        <f>IF(F1="售价",ROUND(PRODUCT(T47,AB7:AB46),0),ROUND(PRODUCT(T47,AB7:AB46),1))</f>
        <v>15778</v>
      </c>
      <c r="U48" s="3231"/>
      <c r="V48" s="3231">
        <f>IF(F1="售价",ROUND(PRODUCT(V47,AC7:AC46),0),ROUND(PRODUCT(V47,AC7:AC46),1))</f>
        <v>14183</v>
      </c>
      <c r="W48" s="3231"/>
      <c r="X48" s="756"/>
      <c r="Y48" s="756"/>
      <c r="Z48" s="756"/>
      <c r="AA48" s="756"/>
      <c r="AB48" s="756"/>
      <c r="AC48" s="756"/>
    </row>
    <row r="49" spans="1:29" ht="15.75" thickBot="1">
      <c r="A49" s="489" t="s">
        <v>2563</v>
      </c>
      <c r="B49" s="490"/>
      <c r="C49" s="1412">
        <f>R49</f>
        <v>14768</v>
      </c>
      <c r="D49" s="1413"/>
      <c r="E49" s="1413"/>
      <c r="F49" s="1413"/>
      <c r="G49" s="1413"/>
      <c r="H49" s="1413"/>
      <c r="I49" s="1413"/>
      <c r="J49" s="1413"/>
      <c r="K49" s="2619"/>
      <c r="L49" s="1139"/>
      <c r="M49" s="1140"/>
      <c r="N49" s="1140"/>
      <c r="O49" s="1140"/>
      <c r="P49" s="3179" t="str">
        <f>A49</f>
        <v>估价对象XX用房的比较价值（楼面单价，元/平方米）</v>
      </c>
      <c r="Q49" s="3180"/>
      <c r="R49" s="3232">
        <f>IF(F1="售价",ROUND(AVERAGE(R48:V48),0),ROUND(AVERAGE(R48:V48),1))</f>
        <v>14768</v>
      </c>
      <c r="S49" s="3232"/>
      <c r="T49" s="3232"/>
      <c r="U49" s="3232"/>
      <c r="V49" s="3232"/>
      <c r="W49" s="323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4.7007299270072966E-2</v>
      </c>
      <c r="F52" s="497" t="str">
        <f>IF(OR(E52&gt;=0.3,E52&lt;=-0.3),"超过30%","")</f>
        <v/>
      </c>
      <c r="G52" s="496">
        <f>IF(G47&lt;G48,G48/G47-1,G47/G48-1)</f>
        <v>0.127</v>
      </c>
      <c r="H52" s="497" t="str">
        <f>IF(OR(G52&gt;=0.3,G52&lt;=-0.3),"超过30%","")</f>
        <v/>
      </c>
      <c r="I52" s="496">
        <f>IF(I47&lt;I48,I48/I47-1,I47/I48-1)</f>
        <v>9.2857646478178069E-2</v>
      </c>
      <c r="J52" s="497" t="str">
        <f>IF(OR(I52&gt;=0.3,I52&lt;=-0.3),"超过30%","")</f>
        <v/>
      </c>
      <c r="K52" s="1101"/>
      <c r="L52" s="1102"/>
      <c r="M52" s="1140"/>
      <c r="N52" s="1140"/>
      <c r="O52" s="1140"/>
    </row>
    <row r="53" spans="1:29" ht="13.5" customHeight="1">
      <c r="A53" s="1140"/>
      <c r="B53" s="1140"/>
      <c r="C53" s="494" t="s">
        <v>2565</v>
      </c>
      <c r="D53" s="498"/>
      <c r="E53" s="496">
        <f>IF(E48&lt;G48,G48/E48-1,E48/G48-1)</f>
        <v>9.9972113775794735E-2</v>
      </c>
      <c r="F53" s="497" t="str">
        <f>IF(OR(E53&gt;=0.2,E53&lt;=-0.2),"超过20%","")</f>
        <v/>
      </c>
      <c r="G53" s="496">
        <f>IF(G48&lt;I48,I48/G48-1,G48/I48-1)</f>
        <v>0.11245857716985119</v>
      </c>
      <c r="H53" s="497" t="str">
        <f>IF(OR(G53&gt;=0.2,G53&lt;=-0.2),"超过20%","")</f>
        <v/>
      </c>
      <c r="I53" s="496">
        <f>IF(I48&lt;E48,E48/I48-1,I48/E48-1)</f>
        <v>1.1351618134386232E-2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2568</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2570</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2979" t="s">
        <v>3211</v>
      </c>
      <c r="D100" s="2979" t="s">
        <v>3210</v>
      </c>
      <c r="E100" s="2979" t="s">
        <v>3209</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3213</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0" sqref="E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3180</v>
      </c>
      <c r="E1" s="1816" t="s">
        <v>1387</v>
      </c>
      <c r="F1" s="1279">
        <f ca="1">J53</f>
        <v>38.61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3729</v>
      </c>
      <c r="C2" s="1840" t="s">
        <v>1516</v>
      </c>
      <c r="D2" s="1840"/>
      <c r="E2" s="1841"/>
      <c r="F2" s="1842"/>
      <c r="G2" s="1843"/>
      <c r="H2" s="1835"/>
      <c r="I2" s="1835"/>
      <c r="J2" s="1835"/>
      <c r="K2" s="1836"/>
      <c r="L2" s="1835"/>
      <c r="M2" s="1835"/>
    </row>
    <row r="3" spans="1:37" ht="18" customHeight="1" thickBot="1">
      <c r="A3" s="1844" t="s">
        <v>1517</v>
      </c>
      <c r="B3" s="1845">
        <f ca="1">IF(ISERROR(B2*10000/F43),0,ROUND(B2*10000/F43,0))</f>
        <v>16587</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222</v>
      </c>
      <c r="D5" s="1817" t="s">
        <v>1402</v>
      </c>
      <c r="E5" s="1289"/>
      <c r="F5" s="1290"/>
      <c r="G5" s="1846"/>
      <c r="H5" s="341">
        <v>1</v>
      </c>
      <c r="I5" s="342" t="s">
        <v>1401</v>
      </c>
      <c r="J5" s="1288">
        <f ca="1">J6+J10+J12</f>
        <v>0</v>
      </c>
      <c r="K5" s="1817" t="s">
        <v>1402</v>
      </c>
      <c r="L5" s="1289"/>
      <c r="M5" s="1290"/>
    </row>
    <row r="6" spans="1:37" ht="18" customHeight="1">
      <c r="A6" s="1287" t="s">
        <v>1035</v>
      </c>
      <c r="B6" s="3235" t="s">
        <v>1403</v>
      </c>
      <c r="C6" s="1292">
        <f ca="1">ROUND(F6*F8*F7*(1-F9)/10000,0)</f>
        <v>222</v>
      </c>
      <c r="D6" s="161" t="s">
        <v>3017</v>
      </c>
      <c r="E6" s="344" t="s">
        <v>1405</v>
      </c>
      <c r="F6" s="345">
        <f ca="1">INDIRECT("'数据-取费表'!u"&amp;$G$1)</f>
        <v>3</v>
      </c>
      <c r="G6" s="1846"/>
      <c r="H6" s="1287" t="s">
        <v>1035</v>
      </c>
      <c r="I6" s="3235" t="s">
        <v>1403</v>
      </c>
      <c r="J6" s="343">
        <f ca="1">ROUND(M6*M8*M7*(1-M9)/10000,0)</f>
        <v>0</v>
      </c>
      <c r="K6" s="161" t="s">
        <v>3016</v>
      </c>
      <c r="L6" s="344" t="s">
        <v>1405</v>
      </c>
      <c r="M6" s="345">
        <f ca="1">INDIRECT("'数据-取费表'!z"&amp;$G$1)</f>
        <v>0</v>
      </c>
    </row>
    <row r="7" spans="1:37" ht="18" customHeight="1">
      <c r="A7" s="1291"/>
      <c r="B7" s="3236"/>
      <c r="C7" s="1293"/>
      <c r="D7" s="349"/>
      <c r="E7" s="1294" t="s">
        <v>1406</v>
      </c>
      <c r="F7" s="345">
        <f ca="1">IF(INDIRECT("'数据-取费表'!ah"&amp;$G$1)="",INDIRECT("'数据-取费表'!k"&amp;$G$1),INDIRECT("'数据-取费表'!ah"&amp;$G$1))</f>
        <v>2248.14</v>
      </c>
      <c r="G7" s="1846"/>
      <c r="H7" s="346"/>
      <c r="I7" s="3236"/>
      <c r="J7" s="348"/>
      <c r="K7" s="349"/>
      <c r="L7" s="344" t="s">
        <v>1406</v>
      </c>
      <c r="M7" s="345">
        <f ca="1">F7</f>
        <v>2248.14</v>
      </c>
    </row>
    <row r="8" spans="1:37" ht="18" customHeight="1">
      <c r="A8" s="346"/>
      <c r="B8" s="3236"/>
      <c r="C8" s="348"/>
      <c r="D8" s="349"/>
      <c r="E8" s="344" t="s">
        <v>1407</v>
      </c>
      <c r="F8" s="345">
        <f ca="1">INDIRECT("'数据-取费表'!ai"&amp;$G$1)</f>
        <v>365</v>
      </c>
      <c r="G8" s="1846"/>
      <c r="H8" s="346"/>
      <c r="I8" s="3236"/>
      <c r="J8" s="348"/>
      <c r="K8" s="349"/>
      <c r="L8" s="344" t="s">
        <v>1407</v>
      </c>
      <c r="M8" s="345">
        <f ca="1">INDIRECT("'数据-取费表'!ai"&amp;$G$1)</f>
        <v>365</v>
      </c>
    </row>
    <row r="9" spans="1:37" ht="18" customHeight="1">
      <c r="A9" s="346"/>
      <c r="B9" s="3237"/>
      <c r="C9" s="348"/>
      <c r="D9" s="349"/>
      <c r="E9" s="344" t="s">
        <v>1408</v>
      </c>
      <c r="F9" s="354">
        <f ca="1">INDIRECT("'数据-取费表'!w"&amp;$G$1)</f>
        <v>0.1</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3181</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803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520</v>
      </c>
      <c r="D14" s="1795" t="s">
        <v>1418</v>
      </c>
      <c r="E14" s="1789"/>
      <c r="F14" s="361"/>
      <c r="G14" s="1846"/>
      <c r="H14" s="1197" t="s">
        <v>1035</v>
      </c>
      <c r="I14" s="344" t="s">
        <v>1419</v>
      </c>
      <c r="J14" s="24">
        <f ca="1">C29</f>
        <v>803</v>
      </c>
      <c r="K14" s="15"/>
      <c r="L14" s="975"/>
      <c r="M14" s="976"/>
    </row>
    <row r="15" spans="1:37" s="1853" customFormat="1" ht="18" customHeight="1" thickBot="1">
      <c r="A15" s="1197" t="s">
        <v>1036</v>
      </c>
      <c r="B15" s="344" t="s">
        <v>1420</v>
      </c>
      <c r="C15" s="24">
        <f ca="1">ROUND(C14*F15,0)</f>
        <v>16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19</v>
      </c>
      <c r="K16" s="1333" t="s">
        <v>1425</v>
      </c>
      <c r="L16" s="1334"/>
      <c r="M16" s="1290"/>
    </row>
    <row r="17" spans="1:37" s="1853" customFormat="1" ht="18" customHeight="1">
      <c r="A17" s="1197" t="s">
        <v>1390</v>
      </c>
      <c r="B17" s="344" t="s">
        <v>1426</v>
      </c>
      <c r="C17" s="24">
        <f ca="1">ROUND(F17*(F43+INDIRECT("'数据-取费表'!S"&amp;$G$1))/10000,0)</f>
        <v>45</v>
      </c>
      <c r="D17" s="344" t="s">
        <v>1427</v>
      </c>
      <c r="E17" s="344" t="s">
        <v>1428</v>
      </c>
      <c r="F17" s="26">
        <f>'数据-取费表'!B35</f>
        <v>200</v>
      </c>
      <c r="G17" s="1849"/>
      <c r="H17" s="1197" t="s">
        <v>1035</v>
      </c>
      <c r="I17" s="344" t="s">
        <v>1429</v>
      </c>
      <c r="J17" s="24">
        <f ca="1">ROUND(IF(项目基本情况!B11="自然人",J5*M17,J18+J19+J20),1)</f>
        <v>7.3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8</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589</v>
      </c>
      <c r="D19" s="137" t="s">
        <v>1436</v>
      </c>
      <c r="E19" s="1813"/>
      <c r="F19" s="26"/>
      <c r="G19" s="1846"/>
      <c r="H19" s="1197" t="s">
        <v>1036</v>
      </c>
      <c r="I19" s="344" t="s">
        <v>1437</v>
      </c>
      <c r="J19" s="24">
        <f ca="1">IF(K19="按租金收入计税",ROUND(J5*M19,2),ROUND(C29*M19*0.7,2))</f>
        <v>6.75</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12</v>
      </c>
      <c r="D20" s="366" t="s">
        <v>1440</v>
      </c>
      <c r="E20" s="344" t="s">
        <v>1422</v>
      </c>
      <c r="F20" s="364">
        <f>'数据-取费表'!B37</f>
        <v>0.02</v>
      </c>
      <c r="G20" s="1849"/>
      <c r="H20" s="1197" t="s">
        <v>1389</v>
      </c>
      <c r="I20" s="161" t="s">
        <v>1441</v>
      </c>
      <c r="J20" s="25">
        <f ca="1">ROUND(M20*M21/10000,2)</f>
        <v>0.56999999999999995</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706.9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12</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29</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-19</v>
      </c>
      <c r="K25" s="1341" t="s">
        <v>1464</v>
      </c>
      <c r="L25" s="1342"/>
      <c r="M25" s="1343"/>
    </row>
    <row r="26" spans="1:37">
      <c r="A26" s="1197" t="s">
        <v>1034</v>
      </c>
      <c r="B26" s="344" t="s">
        <v>1465</v>
      </c>
      <c r="C26" s="24">
        <f ca="1">ROUND((C19+C20)*F26,0)</f>
        <v>120</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803</v>
      </c>
      <c r="D29" s="1338"/>
      <c r="E29" s="1336"/>
      <c r="F29" s="1339"/>
      <c r="G29" s="1849"/>
      <c r="H29" s="377" t="s">
        <v>1033</v>
      </c>
      <c r="I29" s="378" t="s">
        <v>1479</v>
      </c>
      <c r="J29" s="379">
        <f ca="1">ROUND(J26/(1+F40)^F41,0)</f>
        <v>0</v>
      </c>
      <c r="K29" s="380" t="s">
        <v>1480</v>
      </c>
      <c r="L29" s="381"/>
      <c r="M29" s="382">
        <f ca="1">INDIRECT("'数据-取费表'!k"&amp;$G$1)</f>
        <v>2248.14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55</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39.1</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11.84</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26.64</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0.56999999999999995</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706.9</v>
      </c>
      <c r="G35" s="1846"/>
      <c r="H35" s="742"/>
      <c r="I35" s="1855"/>
      <c r="J35" s="1856"/>
      <c r="K35" s="1857"/>
      <c r="L35" s="1854"/>
      <c r="M35" s="1854"/>
    </row>
    <row r="36" spans="1:18" ht="18" customHeight="1">
      <c r="A36" s="1348" t="s">
        <v>1039</v>
      </c>
      <c r="B36" s="344" t="s">
        <v>1449</v>
      </c>
      <c r="C36" s="24">
        <f ca="1">ROUND(C29*F36,1)</f>
        <v>12</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1.2</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2.2000000000000002</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167</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3729</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16587</v>
      </c>
      <c r="D43" s="380" t="s">
        <v>1488</v>
      </c>
      <c r="E43" s="381" t="s">
        <v>1489</v>
      </c>
      <c r="F43" s="382">
        <f ca="1">INDIRECT("'数据-取费表'!k"&amp;$G$1)</f>
        <v>2248.14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-4937</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40</v>
      </c>
      <c r="M47" s="1833" t="str">
        <f>IF(ISNUMBER(FIND("住宅",C1)),"住宅","非住宅")</f>
        <v>非住宅</v>
      </c>
      <c r="O47" s="1879" t="s">
        <v>1040</v>
      </c>
      <c r="P47" s="1880" t="s">
        <v>1528</v>
      </c>
      <c r="Q47" s="1881">
        <f ca="1">C40+J29</f>
        <v>3729</v>
      </c>
      <c r="R47" s="1881" t="s">
        <v>1529</v>
      </c>
    </row>
    <row r="48" spans="1:18" s="1837" customFormat="1" ht="28.5" thickBot="1">
      <c r="A48" s="1356" t="s">
        <v>1135</v>
      </c>
      <c r="B48" s="342" t="s">
        <v>1401</v>
      </c>
      <c r="C48" s="1812">
        <f ca="1">C49+C53+C55</f>
        <v>0</v>
      </c>
      <c r="D48" s="1358"/>
      <c r="E48" s="1359"/>
      <c r="F48" s="1177"/>
      <c r="G48" s="789"/>
      <c r="H48" s="790"/>
      <c r="I48" s="1882" t="s">
        <v>1530</v>
      </c>
      <c r="J48" s="1883" t="s">
        <v>3184</v>
      </c>
      <c r="K48" s="1884" t="s">
        <v>1531</v>
      </c>
      <c r="L48" s="1885">
        <f ca="1">INDIRECT("'数据-取费表'!f"&amp;$G$1)</f>
        <v>39.61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803</v>
      </c>
      <c r="R49" s="1881" t="s">
        <v>1529</v>
      </c>
    </row>
    <row r="50" spans="1:18" s="1837" customFormat="1" ht="13.5" thickBot="1">
      <c r="A50" s="1191"/>
      <c r="B50" s="1194"/>
      <c r="C50" s="1364"/>
      <c r="D50" s="1168"/>
      <c r="E50" s="1273" t="s">
        <v>1406</v>
      </c>
      <c r="F50" s="1274">
        <f ca="1">F7</f>
        <v>2248.14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1580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38.61</v>
      </c>
      <c r="K53" s="3233" t="s">
        <v>1548</v>
      </c>
      <c r="L53" s="3234"/>
      <c r="O53" s="1879" t="s">
        <v>1046</v>
      </c>
      <c r="P53" s="1880" t="s">
        <v>1549</v>
      </c>
      <c r="Q53" s="1881">
        <f ca="1">Q47+Q48</f>
        <v>3729</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803</v>
      </c>
      <c r="D56" s="1909"/>
      <c r="E56" s="1910"/>
      <c r="F56" s="1902"/>
      <c r="I56" s="1911" t="s">
        <v>1554</v>
      </c>
      <c r="J56" s="1912" t="s">
        <v>3046</v>
      </c>
      <c r="K56" s="1882" t="s">
        <v>1555</v>
      </c>
      <c r="L56" s="1885" t="str">
        <f ca="1">IF(L48&lt;J51,"——",L48-J53)</f>
        <v>——</v>
      </c>
      <c r="O56" s="1879" t="s">
        <v>1040</v>
      </c>
      <c r="P56" s="1880" t="s">
        <v>1528</v>
      </c>
      <c r="Q56" s="1881">
        <f ca="1">C40+J29</f>
        <v>3729</v>
      </c>
      <c r="R56" s="1881" t="s">
        <v>1529</v>
      </c>
    </row>
    <row r="57" spans="1:18" s="1837" customFormat="1" ht="24.75" thickBot="1">
      <c r="A57" s="1913"/>
      <c r="B57" s="1165" t="s">
        <v>1478</v>
      </c>
      <c r="C57" s="279">
        <f ca="1">C29</f>
        <v>803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81</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68</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67.45</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0.56999999999999995</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3729</v>
      </c>
      <c r="R62" s="1881" t="s">
        <v>1047</v>
      </c>
    </row>
    <row r="63" spans="1:18" s="1837" customFormat="1" ht="13.5" thickBot="1">
      <c r="A63" s="369"/>
      <c r="B63" s="1171"/>
      <c r="C63" s="29"/>
      <c r="D63" s="1181"/>
      <c r="E63" s="1165" t="s">
        <v>1499</v>
      </c>
      <c r="F63" s="345">
        <f t="shared" ca="1" si="0"/>
        <v>706.9</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12</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1.2</v>
      </c>
      <c r="D65" s="1179" t="s">
        <v>1454</v>
      </c>
      <c r="E65" s="1165" t="s">
        <v>1455</v>
      </c>
      <c r="F65" s="373">
        <f t="shared" ca="1" si="0"/>
        <v>1.5E-3</v>
      </c>
      <c r="I65" s="1924" t="s">
        <v>1579</v>
      </c>
      <c r="J65" s="1925">
        <v>40</v>
      </c>
      <c r="K65" s="1925">
        <v>30</v>
      </c>
      <c r="L65" s="1925">
        <v>50</v>
      </c>
      <c r="M65" s="1927">
        <v>0.02</v>
      </c>
      <c r="O65" s="1879" t="s">
        <v>1040</v>
      </c>
      <c r="P65" s="1880" t="s">
        <v>1580</v>
      </c>
      <c r="Q65" s="1881">
        <f ca="1">C40+J29</f>
        <v>3729</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-81</v>
      </c>
      <c r="D67" s="1178" t="s">
        <v>1464</v>
      </c>
      <c r="E67" s="1183"/>
      <c r="F67" s="1184"/>
      <c r="O67" s="1889" t="s">
        <v>1042</v>
      </c>
      <c r="P67" s="1880" t="s">
        <v>1562</v>
      </c>
      <c r="Q67" s="1928">
        <f ca="1">L51</f>
        <v>1580</v>
      </c>
      <c r="R67" s="1881" t="s">
        <v>1582</v>
      </c>
    </row>
    <row r="68" spans="1:18" s="1837" customFormat="1" ht="16.5" thickBot="1">
      <c r="A68" s="1162" t="s">
        <v>1032</v>
      </c>
      <c r="B68" s="1163" t="s">
        <v>1485</v>
      </c>
      <c r="C68" s="343">
        <f ca="1">ROUND(C67*(1-((1+F70)/(1+F68))^F69)/(F68-F70),0)</f>
        <v>-1208</v>
      </c>
      <c r="D68" s="1180" t="s">
        <v>1469</v>
      </c>
      <c r="E68" s="1165" t="s">
        <v>1470</v>
      </c>
      <c r="F68" s="354">
        <f ca="1">F40</f>
        <v>0.06</v>
      </c>
      <c r="O68" s="1889" t="s">
        <v>1043</v>
      </c>
      <c r="P68" s="1929" t="s">
        <v>1583</v>
      </c>
      <c r="Q68" s="1881">
        <f ca="1">ROUND(Q69-Q70*Q71,0)</f>
        <v>99</v>
      </c>
      <c r="R68" s="1881" t="s">
        <v>1051</v>
      </c>
    </row>
    <row r="69" spans="1:18" s="1837" customFormat="1" ht="13.5" thickBot="1">
      <c r="A69" s="1166"/>
      <c r="B69" s="1167"/>
      <c r="C69" s="348"/>
      <c r="D69" s="1185" t="s">
        <v>1473</v>
      </c>
      <c r="E69" s="1165" t="s">
        <v>1474</v>
      </c>
      <c r="F69" s="376">
        <f ca="1">F41</f>
        <v>38.61</v>
      </c>
      <c r="O69" s="1889" t="s">
        <v>1048</v>
      </c>
      <c r="P69" s="1929" t="s">
        <v>1584</v>
      </c>
      <c r="Q69" s="1881">
        <f ca="1">C39</f>
        <v>167</v>
      </c>
      <c r="R69" s="1881" t="s">
        <v>1529</v>
      </c>
    </row>
    <row r="70" spans="1:18" s="1837" customFormat="1" ht="13.5" thickBot="1">
      <c r="A70" s="1169"/>
      <c r="B70" s="1170"/>
      <c r="C70" s="352"/>
      <c r="D70" s="1181"/>
      <c r="E70" s="1165" t="s">
        <v>1477</v>
      </c>
      <c r="F70" s="1271"/>
      <c r="O70" s="1889" t="s">
        <v>1049</v>
      </c>
      <c r="P70" s="1929" t="s">
        <v>1585</v>
      </c>
      <c r="Q70" s="1881">
        <f ca="1">C13</f>
        <v>803</v>
      </c>
      <c r="R70" s="1881" t="s">
        <v>1529</v>
      </c>
    </row>
    <row r="71" spans="1:18" s="1837" customFormat="1" ht="13.5" thickBot="1">
      <c r="A71" s="1186" t="s">
        <v>1033</v>
      </c>
      <c r="B71" s="1187" t="s">
        <v>1487</v>
      </c>
      <c r="C71" s="379">
        <f ca="1">ROUND(C68*10000/F71,0)</f>
        <v>-5373</v>
      </c>
      <c r="D71" s="1188" t="s">
        <v>1488</v>
      </c>
      <c r="E71" s="1189" t="s">
        <v>1489</v>
      </c>
      <c r="F71" s="382">
        <f ca="1">F43</f>
        <v>2248.14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68</v>
      </c>
      <c r="D75" s="1837"/>
      <c r="E75" s="1837"/>
      <c r="F75" s="1837"/>
      <c r="K75" s="1863"/>
      <c r="L75" s="1837"/>
      <c r="O75" s="1879" t="s">
        <v>1046</v>
      </c>
      <c r="P75" s="1880" t="s">
        <v>1549</v>
      </c>
      <c r="Q75" s="1881">
        <f ca="1">Q65+Q66</f>
        <v>3729</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0.59299999999999997</v>
      </c>
    </row>
    <row r="80" spans="1:18">
      <c r="B80" s="383" t="s">
        <v>1511</v>
      </c>
      <c r="C80" s="315">
        <f ca="1">ROUND(C75/C39,3)</f>
        <v>0.40699999999999997</v>
      </c>
    </row>
    <row r="81" spans="2:3">
      <c r="B81" s="311" t="s">
        <v>1512</v>
      </c>
      <c r="C81" s="279"/>
    </row>
    <row r="82" spans="2:3">
      <c r="B82" s="314" t="s">
        <v>1513</v>
      </c>
      <c r="C82" s="316">
        <f ca="1">1-C83</f>
        <v>0.78500000000000003</v>
      </c>
    </row>
    <row r="83" spans="2:3">
      <c r="B83" s="314" t="s">
        <v>1514</v>
      </c>
      <c r="C83" s="315">
        <f ca="1">ROUND(C13/C40,3)</f>
        <v>0.215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35" t="s">
        <v>1403</v>
      </c>
      <c r="C6" s="1292">
        <f ca="1">ROUND(F6*F8*F7*(1-F9),0)</f>
        <v>0</v>
      </c>
      <c r="D6" s="161" t="s">
        <v>3014</v>
      </c>
      <c r="E6" s="344" t="s">
        <v>1405</v>
      </c>
      <c r="F6" s="345">
        <f ca="1">INDIRECT("'数据-取费表'!u"&amp;$G$1)</f>
        <v>0</v>
      </c>
      <c r="G6" s="1846"/>
      <c r="H6" s="1287" t="s">
        <v>1035</v>
      </c>
      <c r="I6" s="3235" t="s">
        <v>1403</v>
      </c>
      <c r="J6" s="343">
        <f ca="1">ROUND(M6*M8*M7*(1-M9),0)</f>
        <v>0</v>
      </c>
      <c r="K6" s="1829" t="s">
        <v>3015</v>
      </c>
      <c r="L6" s="344" t="s">
        <v>1405</v>
      </c>
      <c r="M6" s="345">
        <f ca="1">INDIRECT("'数据-取费表'!z"&amp;$G$1)</f>
        <v>0</v>
      </c>
    </row>
    <row r="7" spans="1:37" ht="18" customHeight="1">
      <c r="A7" s="1291"/>
      <c r="B7" s="3236"/>
      <c r="C7" s="1293"/>
      <c r="D7" s="349"/>
      <c r="E7" s="1294" t="s">
        <v>1406</v>
      </c>
      <c r="F7" s="345">
        <f ca="1">IF(INDIRECT("'数据-取费表'!ah"&amp;$G$1)="",INDIRECT("'数据-取费表'!k"&amp;$G$1),INDIRECT("'数据-取费表'!ah"&amp;$G$1))</f>
        <v>0</v>
      </c>
      <c r="G7" s="1846"/>
      <c r="H7" s="346"/>
      <c r="I7" s="3236"/>
      <c r="J7" s="348"/>
      <c r="K7" s="349"/>
      <c r="L7" s="344" t="s">
        <v>1406</v>
      </c>
      <c r="M7" s="345">
        <f ca="1">F7</f>
        <v>0</v>
      </c>
    </row>
    <row r="8" spans="1:37" ht="18" customHeight="1">
      <c r="A8" s="346"/>
      <c r="B8" s="3236"/>
      <c r="C8" s="348"/>
      <c r="D8" s="349"/>
      <c r="E8" s="344" t="s">
        <v>1407</v>
      </c>
      <c r="F8" s="345">
        <f ca="1">INDIRECT("'数据-取费表'!ai"&amp;$G$1)</f>
        <v>0</v>
      </c>
      <c r="G8" s="1846"/>
      <c r="H8" s="346"/>
      <c r="I8" s="3236"/>
      <c r="J8" s="348"/>
      <c r="K8" s="349"/>
      <c r="L8" s="344" t="s">
        <v>1407</v>
      </c>
      <c r="M8" s="345">
        <f ca="1">INDIRECT("'数据-取费表'!ai"&amp;$G$1)</f>
        <v>0</v>
      </c>
    </row>
    <row r="9" spans="1:37" ht="18" customHeight="1">
      <c r="A9" s="346"/>
      <c r="B9" s="3237"/>
      <c r="C9" s="348"/>
      <c r="D9" s="349"/>
      <c r="E9" s="344" t="s">
        <v>1408</v>
      </c>
      <c r="F9" s="354">
        <f ca="1">INDIRECT("'数据-取费表'!w"&amp;$G$1)</f>
        <v>0</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c r="G10" s="1846"/>
      <c r="H10" s="1287" t="s">
        <v>1039</v>
      </c>
      <c r="I10" s="1818" t="s">
        <v>1409</v>
      </c>
      <c r="J10" s="343">
        <f ca="1">ROUND(IF(M10="押一",J6/12*M11,IF(M10="押二",J6/12*2*M11,IF(M10="押三",J6/12*3*M11,J11*M11))),0)</f>
        <v>0</v>
      </c>
      <c r="K10" s="1830" t="s">
        <v>3027</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3028</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3" t="s">
        <v>1548</v>
      </c>
      <c r="L53" s="3234"/>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2510</v>
      </c>
      <c r="B1" s="2558"/>
      <c r="C1" s="2558"/>
      <c r="D1" s="2558"/>
      <c r="E1" s="2559"/>
    </row>
    <row r="2" spans="1:6" ht="15.75">
      <c r="A2" s="2560" t="s">
        <v>2314</v>
      </c>
      <c r="B2" s="2561">
        <f ca="1">SUMIF(B6:B13,"&lt;&gt;#ref!",B6:B13)</f>
        <v>14509</v>
      </c>
      <c r="C2" s="2562" t="s">
        <v>2503</v>
      </c>
      <c r="D2" s="2563" t="s">
        <v>2504</v>
      </c>
      <c r="E2" s="2564">
        <f>SUM(E6:E13)</f>
        <v>36531.25</v>
      </c>
    </row>
    <row r="3" spans="1:6" ht="15.75">
      <c r="A3" s="2560" t="s">
        <v>1395</v>
      </c>
      <c r="B3" s="2561">
        <f ca="1">ROUND(B2*10000/E2,0)</f>
        <v>3972</v>
      </c>
      <c r="C3" s="2562" t="s">
        <v>2511</v>
      </c>
      <c r="D3" s="2565"/>
      <c r="E3" s="2566"/>
    </row>
    <row r="4" spans="1:6" ht="15.75">
      <c r="A4" s="2567"/>
      <c r="B4" s="2565"/>
      <c r="C4" s="2565"/>
      <c r="D4" s="2565"/>
      <c r="E4" s="2566"/>
    </row>
    <row r="5" spans="1:6" ht="15">
      <c r="A5" s="2568" t="s">
        <v>2505</v>
      </c>
      <c r="B5" s="3238" t="s">
        <v>2506</v>
      </c>
      <c r="C5" s="3238"/>
      <c r="D5" s="2569"/>
      <c r="E5" s="2570" t="s">
        <v>2507</v>
      </c>
      <c r="F5" s="2571" t="s">
        <v>2508</v>
      </c>
    </row>
    <row r="6" spans="1:6">
      <c r="A6" s="2572">
        <f>'数据-取费表'!AN6</f>
        <v>0</v>
      </c>
      <c r="B6" s="2571" t="e">
        <f ca="1">IF(F6="是",'数据-取费表'!AO6,0)</f>
        <v>#REF!</v>
      </c>
      <c r="C6" s="2562" t="s">
        <v>2503</v>
      </c>
      <c r="D6" s="2565"/>
      <c r="E6" s="2573">
        <f>IF(OR(A6=0,F6="否"),0,'数据-取费表'!K6+'数据-取费表'!S6)</f>
        <v>0</v>
      </c>
      <c r="F6" s="2574" t="s">
        <v>2509</v>
      </c>
    </row>
    <row r="7" spans="1:6">
      <c r="A7" s="2572">
        <f>'数据-取费表'!AN7</f>
        <v>0</v>
      </c>
      <c r="B7" s="2571" t="e">
        <f ca="1">IF(F7="是",'数据-取费表'!AO7,0)</f>
        <v>#REF!</v>
      </c>
      <c r="C7" s="2562" t="s">
        <v>2503</v>
      </c>
      <c r="D7" s="2565"/>
      <c r="E7" s="2573">
        <f>IF(OR(A7=0,F7="否"),0,'数据-取费表'!K7+'数据-取费表'!S7)</f>
        <v>0</v>
      </c>
      <c r="F7" s="2574" t="s">
        <v>2509</v>
      </c>
    </row>
    <row r="8" spans="1:6">
      <c r="A8" s="2572" t="str">
        <f>'数据-取费表'!AN8</f>
        <v>收益法-商业</v>
      </c>
      <c r="B8" s="2571">
        <f ca="1">IF(F8="是",'数据-取费表'!AO8,0)</f>
        <v>3729</v>
      </c>
      <c r="C8" s="2562" t="s">
        <v>2503</v>
      </c>
      <c r="D8" s="2565"/>
      <c r="E8" s="2573">
        <f>IF(OR(A8=0,F8="否"),0,'数据-取费表'!K8+'数据-取费表'!S8)</f>
        <v>2259.9</v>
      </c>
      <c r="F8" s="2574" t="s">
        <v>2509</v>
      </c>
    </row>
    <row r="9" spans="1:6">
      <c r="A9" s="2572" t="str">
        <f>'数据-取费表'!AN9</f>
        <v>收益法-车库</v>
      </c>
      <c r="B9" s="2571">
        <f ca="1">IF(F9="是",'数据-取费表'!AO9,0)</f>
        <v>10780</v>
      </c>
      <c r="C9" s="2562" t="s">
        <v>2503</v>
      </c>
      <c r="D9" s="2565"/>
      <c r="E9" s="2573">
        <f>IF(OR(A9=0,F9="否"),0,'数据-取费表'!K9+'数据-取费表'!S9)</f>
        <v>34271.35</v>
      </c>
      <c r="F9" s="2574" t="s">
        <v>2509</v>
      </c>
    </row>
    <row r="10" spans="1:6">
      <c r="A10" s="2572">
        <f>'数据-取费表'!AN10</f>
        <v>0</v>
      </c>
      <c r="B10" s="2571" t="e">
        <f ca="1">IF(F10="是",'数据-取费表'!AO10,0)</f>
        <v>#REF!</v>
      </c>
      <c r="C10" s="2562" t="s">
        <v>2503</v>
      </c>
      <c r="D10" s="2565"/>
      <c r="E10" s="2573">
        <f>IF(OR(A10=0,F10="否"),0,'数据-取费表'!K10+'数据-取费表'!S10)</f>
        <v>0</v>
      </c>
      <c r="F10" s="2574" t="s">
        <v>2509</v>
      </c>
    </row>
    <row r="11" spans="1:6">
      <c r="A11" s="2572">
        <f>'数据-取费表'!AN11</f>
        <v>0</v>
      </c>
      <c r="B11" s="2571" t="e">
        <f ca="1">IF(F11="是",'数据-取费表'!AO11,0)</f>
        <v>#REF!</v>
      </c>
      <c r="C11" s="2562" t="s">
        <v>2503</v>
      </c>
      <c r="D11" s="2565"/>
      <c r="E11" s="2573">
        <f>IF(OR(A11=0,F11="否"),0,'数据-取费表'!K11+'数据-取费表'!S11)</f>
        <v>0</v>
      </c>
      <c r="F11" s="2574" t="s">
        <v>2509</v>
      </c>
    </row>
    <row r="12" spans="1:6">
      <c r="A12" s="2572">
        <f>'数据-取费表'!AN12</f>
        <v>0</v>
      </c>
      <c r="B12" s="2571" t="e">
        <f ca="1">IF(F12="是",'数据-取费表'!AO12,0)</f>
        <v>#REF!</v>
      </c>
      <c r="C12" s="2562" t="s">
        <v>2503</v>
      </c>
      <c r="D12" s="2565"/>
      <c r="E12" s="2573">
        <f>IF(OR(A12=0,F12="否"),0,'数据-取费表'!K12+'数据-取费表'!S12)</f>
        <v>0</v>
      </c>
      <c r="F12" s="2574" t="s">
        <v>2509</v>
      </c>
    </row>
    <row r="13" spans="1:6" ht="15" thickBot="1">
      <c r="A13" s="2575">
        <f>'数据-取费表'!AN13</f>
        <v>0</v>
      </c>
      <c r="B13" s="2571" t="e">
        <f ca="1">IF(F13="是",'数据-取费表'!AO13,0)</f>
        <v>#REF!</v>
      </c>
      <c r="C13" s="2576" t="s">
        <v>2503</v>
      </c>
      <c r="D13" s="2577"/>
      <c r="E13" s="2573">
        <f>IF(OR(A13=0,F13="否"),0,'数据-取费表'!K13+'数据-取费表'!S13)</f>
        <v>0</v>
      </c>
      <c r="F13" s="257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45" t="s">
        <v>1077</v>
      </c>
      <c r="B2" s="3246" t="s">
        <v>1078</v>
      </c>
      <c r="C2" s="3246"/>
      <c r="D2" s="1297" t="s">
        <v>1079</v>
      </c>
      <c r="E2" s="1297" t="s">
        <v>1080</v>
      </c>
      <c r="F2" s="1297" t="s">
        <v>1081</v>
      </c>
      <c r="G2" s="1297" t="s">
        <v>1082</v>
      </c>
      <c r="H2" s="1297" t="s">
        <v>1083</v>
      </c>
      <c r="I2" s="1298" t="s">
        <v>1084</v>
      </c>
    </row>
    <row r="3" spans="1:9">
      <c r="A3" s="3245"/>
      <c r="B3" s="3246" t="s">
        <v>1085</v>
      </c>
      <c r="C3" s="3246"/>
      <c r="D3" s="1299"/>
      <c r="E3" s="1297"/>
      <c r="F3" s="1300"/>
      <c r="G3" s="1300"/>
      <c r="H3" s="1301"/>
      <c r="I3" s="1302">
        <f>ROUND(D3*E3*F3*G3*H3/10000,0)</f>
        <v>0</v>
      </c>
    </row>
    <row r="4" spans="1:9">
      <c r="A4" s="3245"/>
      <c r="B4" s="3246" t="s">
        <v>1086</v>
      </c>
      <c r="C4" s="3246"/>
      <c r="D4" s="1299"/>
      <c r="E4" s="1297"/>
      <c r="F4" s="1300"/>
      <c r="G4" s="1300"/>
      <c r="H4" s="1301"/>
      <c r="I4" s="1302">
        <f t="shared" ref="I4:I9" si="0">ROUND(D4*E4*F4*G4*H4/10000,0)</f>
        <v>0</v>
      </c>
    </row>
    <row r="5" spans="1:9">
      <c r="A5" s="3245"/>
      <c r="B5" s="3246" t="s">
        <v>1087</v>
      </c>
      <c r="C5" s="3246"/>
      <c r="D5" s="1299"/>
      <c r="E5" s="1297"/>
      <c r="F5" s="1300"/>
      <c r="G5" s="1300"/>
      <c r="H5" s="1301"/>
      <c r="I5" s="1302">
        <f t="shared" si="0"/>
        <v>0</v>
      </c>
    </row>
    <row r="6" spans="1:9">
      <c r="A6" s="3245"/>
      <c r="B6" s="3246" t="s">
        <v>1088</v>
      </c>
      <c r="C6" s="3246"/>
      <c r="D6" s="1299"/>
      <c r="E6" s="1297"/>
      <c r="F6" s="1300"/>
      <c r="G6" s="1300"/>
      <c r="H6" s="1301"/>
      <c r="I6" s="1302">
        <f t="shared" si="0"/>
        <v>0</v>
      </c>
    </row>
    <row r="7" spans="1:9">
      <c r="A7" s="3245"/>
      <c r="B7" s="3246" t="s">
        <v>1089</v>
      </c>
      <c r="C7" s="3246"/>
      <c r="D7" s="1299"/>
      <c r="E7" s="1297"/>
      <c r="F7" s="1300"/>
      <c r="G7" s="1300"/>
      <c r="H7" s="1301"/>
      <c r="I7" s="1302">
        <f t="shared" si="0"/>
        <v>0</v>
      </c>
    </row>
    <row r="8" spans="1:9">
      <c r="A8" s="3245"/>
      <c r="B8" s="3246" t="s">
        <v>1090</v>
      </c>
      <c r="C8" s="3246"/>
      <c r="D8" s="1299"/>
      <c r="E8" s="1297"/>
      <c r="F8" s="1300"/>
      <c r="G8" s="1300"/>
      <c r="H8" s="1301"/>
      <c r="I8" s="1302">
        <f t="shared" si="0"/>
        <v>0</v>
      </c>
    </row>
    <row r="9" spans="1:9">
      <c r="A9" s="3245"/>
      <c r="B9" s="3246" t="s">
        <v>1091</v>
      </c>
      <c r="C9" s="3246"/>
      <c r="D9" s="1299"/>
      <c r="E9" s="1297"/>
      <c r="F9" s="1300"/>
      <c r="G9" s="1300"/>
      <c r="H9" s="1301"/>
      <c r="I9" s="1302">
        <f t="shared" si="0"/>
        <v>0</v>
      </c>
    </row>
    <row r="10" spans="1:9">
      <c r="A10" s="3245"/>
      <c r="B10" s="3247" t="s">
        <v>1092</v>
      </c>
      <c r="C10" s="3247"/>
      <c r="D10" s="1303"/>
      <c r="E10" s="1303" t="e">
        <f>ROUND(D1*10000/D10/H9,0)</f>
        <v>#DIV/0!</v>
      </c>
      <c r="F10" s="1304"/>
      <c r="G10" s="1304"/>
      <c r="H10" s="1305"/>
      <c r="I10" s="1306">
        <f>SUM(I3:I9)</f>
        <v>0</v>
      </c>
    </row>
    <row r="11" spans="1:9" ht="14.25">
      <c r="A11" s="3245" t="s">
        <v>1093</v>
      </c>
      <c r="B11" s="3246" t="s">
        <v>1094</v>
      </c>
      <c r="C11" s="3246"/>
      <c r="D11" s="1299" t="s">
        <v>1095</v>
      </c>
      <c r="E11" s="1299" t="s">
        <v>1096</v>
      </c>
      <c r="F11" s="1300" t="s">
        <v>1097</v>
      </c>
      <c r="G11" s="1300" t="s">
        <v>1083</v>
      </c>
      <c r="H11" s="1307" t="s">
        <v>1098</v>
      </c>
      <c r="I11" s="1298" t="s">
        <v>1084</v>
      </c>
    </row>
    <row r="12" spans="1:9">
      <c r="A12" s="3245"/>
      <c r="B12" s="3246" t="s">
        <v>1099</v>
      </c>
      <c r="C12" s="3246"/>
      <c r="D12" s="1299"/>
      <c r="E12" s="1299"/>
      <c r="F12" s="1300"/>
      <c r="G12" s="1301"/>
      <c r="H12" s="1308"/>
      <c r="I12" s="1298">
        <f>ROUND(D12*E12*F12*G12/10000,0)</f>
        <v>0</v>
      </c>
    </row>
    <row r="13" spans="1:9">
      <c r="A13" s="3245"/>
      <c r="B13" s="3246" t="s">
        <v>1100</v>
      </c>
      <c r="C13" s="3246"/>
      <c r="D13" s="1299"/>
      <c r="E13" s="1299"/>
      <c r="F13" s="1300"/>
      <c r="G13" s="1301"/>
      <c r="H13" s="1308"/>
      <c r="I13" s="1298">
        <f>ROUND(D13*E13*F13*G13/10000,0)</f>
        <v>0</v>
      </c>
    </row>
    <row r="14" spans="1:9">
      <c r="A14" s="3245"/>
      <c r="B14" s="3246" t="s">
        <v>1101</v>
      </c>
      <c r="C14" s="3246"/>
      <c r="D14" s="1299"/>
      <c r="E14" s="1299"/>
      <c r="F14" s="1300"/>
      <c r="G14" s="1301"/>
      <c r="H14" s="1308"/>
      <c r="I14" s="1298">
        <f>ROUND(D14*E14*F14*G14/10000,0)</f>
        <v>0</v>
      </c>
    </row>
    <row r="15" spans="1:9">
      <c r="A15" s="3245"/>
      <c r="B15" s="3247" t="s">
        <v>1092</v>
      </c>
      <c r="C15" s="3247"/>
      <c r="D15" s="1303"/>
      <c r="E15" s="1303">
        <f>SUM(E12:E14)</f>
        <v>0</v>
      </c>
      <c r="F15" s="1304"/>
      <c r="G15" s="1301"/>
      <c r="H15" s="1308"/>
      <c r="I15" s="1309">
        <f>SUM(I12:I14)</f>
        <v>0</v>
      </c>
    </row>
    <row r="16" spans="1:9" ht="24">
      <c r="A16" s="3245" t="s">
        <v>1102</v>
      </c>
      <c r="B16" s="3246" t="s">
        <v>1103</v>
      </c>
      <c r="C16" s="3246"/>
      <c r="D16" s="1299" t="s">
        <v>1079</v>
      </c>
      <c r="E16" s="1310" t="s">
        <v>1104</v>
      </c>
      <c r="F16" s="1300" t="s">
        <v>1105</v>
      </c>
      <c r="G16" s="1301" t="s">
        <v>1083</v>
      </c>
      <c r="H16" s="1307" t="s">
        <v>1098</v>
      </c>
      <c r="I16" s="1298" t="s">
        <v>1084</v>
      </c>
    </row>
    <row r="17" spans="1:9" ht="14.25">
      <c r="A17" s="3245"/>
      <c r="B17" s="3246" t="s">
        <v>1106</v>
      </c>
      <c r="C17" s="3246"/>
      <c r="D17" s="1299"/>
      <c r="E17" s="1299"/>
      <c r="F17" s="1300"/>
      <c r="G17" s="1301"/>
      <c r="H17" s="1311"/>
      <c r="I17" s="1312">
        <f>ROUND(D17*E17*F17*G17/10000,0)</f>
        <v>0</v>
      </c>
    </row>
    <row r="18" spans="1:9" ht="14.25">
      <c r="A18" s="3245"/>
      <c r="B18" s="3246" t="s">
        <v>1107</v>
      </c>
      <c r="C18" s="3246"/>
      <c r="D18" s="1299"/>
      <c r="E18" s="1299"/>
      <c r="F18" s="1300"/>
      <c r="G18" s="1301"/>
      <c r="H18" s="1311"/>
      <c r="I18" s="1312">
        <f>ROUND(D18*E18*F18*G18/10000,0)</f>
        <v>0</v>
      </c>
    </row>
    <row r="19" spans="1:9" ht="14.25">
      <c r="A19" s="3245"/>
      <c r="B19" s="3246" t="s">
        <v>1108</v>
      </c>
      <c r="C19" s="3246"/>
      <c r="D19" s="1299"/>
      <c r="E19" s="1299"/>
      <c r="F19" s="1300"/>
      <c r="G19" s="1301"/>
      <c r="H19" s="1311"/>
      <c r="I19" s="1312">
        <f>ROUND(D19*E19*F19*G19/10000,0)</f>
        <v>0</v>
      </c>
    </row>
    <row r="20" spans="1:9">
      <c r="A20" s="3245"/>
      <c r="B20" s="3247" t="s">
        <v>1092</v>
      </c>
      <c r="C20" s="3247"/>
      <c r="D20" s="1303">
        <f>SUM(D17:D19)</f>
        <v>0</v>
      </c>
      <c r="E20" s="1303"/>
      <c r="F20" s="1304"/>
      <c r="G20" s="1301"/>
      <c r="H20" s="1308"/>
      <c r="I20" s="1309">
        <f>SUM(I17:I19)</f>
        <v>0</v>
      </c>
    </row>
    <row r="21" spans="1:9">
      <c r="A21" s="3245" t="s">
        <v>1109</v>
      </c>
      <c r="B21" s="3248"/>
      <c r="C21" s="3248"/>
      <c r="D21" s="3248"/>
      <c r="E21" s="3248"/>
      <c r="F21" s="3248"/>
      <c r="G21" s="3248"/>
      <c r="H21" s="1760">
        <v>0.1</v>
      </c>
      <c r="I21" s="1306">
        <f>ROUND(I10*H21,0)</f>
        <v>0</v>
      </c>
    </row>
    <row r="22" spans="1:9" ht="14.25">
      <c r="A22" s="3249" t="s">
        <v>1110</v>
      </c>
      <c r="B22" s="3250"/>
      <c r="C22" s="3251"/>
      <c r="D22" s="1313" t="s">
        <v>1111</v>
      </c>
      <c r="E22" s="1313" t="s">
        <v>1112</v>
      </c>
      <c r="F22" s="1314" t="s">
        <v>1113</v>
      </c>
      <c r="G22" s="1314" t="s">
        <v>1114</v>
      </c>
      <c r="H22" s="1307" t="s">
        <v>1115</v>
      </c>
      <c r="I22" s="1298" t="s">
        <v>1116</v>
      </c>
    </row>
    <row r="23" spans="1:9" ht="14.25" thickBot="1">
      <c r="A23" s="3252"/>
      <c r="B23" s="3253"/>
      <c r="C23" s="3254"/>
      <c r="D23" s="1315"/>
      <c r="E23" s="1315"/>
      <c r="F23" s="1315"/>
      <c r="G23" s="1316"/>
      <c r="H23" s="1317"/>
      <c r="I23" s="1318">
        <f>ROUND(E23*D23*F23*(1-G23)/10000,0)</f>
        <v>0</v>
      </c>
    </row>
    <row r="26" spans="1:9">
      <c r="A26" s="1319" t="s">
        <v>1117</v>
      </c>
      <c r="B26" s="1319"/>
      <c r="C26" s="1319"/>
      <c r="D26" s="1319"/>
      <c r="E26" s="3242">
        <f>C27-C30-C31-C32</f>
        <v>0</v>
      </c>
      <c r="F26" s="3242"/>
      <c r="G26" s="3242"/>
      <c r="H26" s="1732" t="s">
        <v>1340</v>
      </c>
    </row>
    <row r="27" spans="1:9">
      <c r="A27" s="1320">
        <v>1</v>
      </c>
      <c r="B27" s="1321" t="s">
        <v>1118</v>
      </c>
      <c r="C27" s="1321">
        <f>C28+C29</f>
        <v>0</v>
      </c>
      <c r="D27" s="1321"/>
      <c r="E27" s="3243"/>
      <c r="F27" s="3243"/>
      <c r="G27" s="3243"/>
    </row>
    <row r="28" spans="1:9">
      <c r="A28" s="1322" t="s">
        <v>1119</v>
      </c>
      <c r="B28" s="1321" t="s">
        <v>1120</v>
      </c>
      <c r="C28" s="1321"/>
      <c r="D28" s="1321"/>
      <c r="E28" s="3243"/>
      <c r="F28" s="3243"/>
      <c r="G28" s="324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4"/>
      <c r="F32" s="3244"/>
      <c r="G32" s="3244"/>
    </row>
    <row r="33" spans="1:7" hidden="1">
      <c r="A33" s="3239" t="s">
        <v>1129</v>
      </c>
      <c r="B33" s="3240"/>
      <c r="C33" s="3240"/>
      <c r="D33" s="3241"/>
      <c r="E33" s="3242"/>
      <c r="F33" s="3242"/>
      <c r="G33" s="3242"/>
    </row>
    <row r="34" spans="1:7" hidden="1">
      <c r="A34" s="1324">
        <v>1</v>
      </c>
      <c r="B34" s="1321" t="s">
        <v>1130</v>
      </c>
      <c r="C34" s="1321"/>
      <c r="D34" s="1321"/>
      <c r="E34" s="3243"/>
      <c r="F34" s="3243"/>
      <c r="G34" s="3243"/>
    </row>
    <row r="35" spans="1:7" hidden="1">
      <c r="A35" s="1324">
        <v>2</v>
      </c>
      <c r="B35" s="1321" t="s">
        <v>1131</v>
      </c>
      <c r="C35" s="1321"/>
      <c r="D35" s="1321"/>
      <c r="E35" s="3243"/>
      <c r="F35" s="3243"/>
      <c r="G35" s="3243"/>
    </row>
    <row r="36" spans="1:7" hidden="1">
      <c r="A36" s="1324">
        <v>3</v>
      </c>
      <c r="B36" s="1321" t="s">
        <v>1132</v>
      </c>
      <c r="C36" s="1321"/>
      <c r="D36" s="1321"/>
      <c r="E36" s="3243"/>
      <c r="F36" s="3243"/>
      <c r="G36" s="3243"/>
    </row>
    <row r="37" spans="1:7" hidden="1">
      <c r="A37" s="1324">
        <v>4</v>
      </c>
      <c r="B37" s="1321" t="s">
        <v>1133</v>
      </c>
      <c r="C37" s="1321"/>
      <c r="D37" s="1321"/>
      <c r="E37" s="3243"/>
      <c r="F37" s="3243"/>
      <c r="G37" s="3243"/>
    </row>
    <row r="38" spans="1:7" hidden="1">
      <c r="A38" s="3239" t="s">
        <v>1134</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18569.88平方米，建筑面积为59366.37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18569.88平方米，规划建筑面积为59366.37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2018年11月29日（评估专业人员实地查勘之日）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4" sqref="C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3180</v>
      </c>
      <c r="E1" s="1816" t="s">
        <v>1387</v>
      </c>
      <c r="F1" s="1279">
        <f ca="1">J53</f>
        <v>48.61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10780</v>
      </c>
      <c r="C2" s="1840" t="s">
        <v>1516</v>
      </c>
      <c r="D2" s="1840"/>
      <c r="E2" s="1841"/>
      <c r="F2" s="1842"/>
      <c r="G2" s="1843"/>
      <c r="H2" s="1835"/>
      <c r="I2" s="1835"/>
      <c r="J2" s="1835"/>
      <c r="K2" s="1836"/>
      <c r="L2" s="1835"/>
      <c r="M2" s="1835"/>
    </row>
    <row r="3" spans="1:37" ht="18" customHeight="1" thickBot="1">
      <c r="A3" s="1844" t="s">
        <v>1517</v>
      </c>
      <c r="B3" s="1845">
        <f ca="1">IF(ISERROR(B2*10000/F43),0,ROUND(B2*10000/F43,0))</f>
        <v>3162</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648</v>
      </c>
      <c r="D5" s="1817" t="s">
        <v>1402</v>
      </c>
      <c r="E5" s="1289"/>
      <c r="F5" s="1290"/>
      <c r="G5" s="1846"/>
      <c r="H5" s="341">
        <v>1</v>
      </c>
      <c r="I5" s="342" t="s">
        <v>1401</v>
      </c>
      <c r="J5" s="1288">
        <f ca="1">J6+J10+J12</f>
        <v>0</v>
      </c>
      <c r="K5" s="1817" t="s">
        <v>1402</v>
      </c>
      <c r="L5" s="1289"/>
      <c r="M5" s="1290"/>
    </row>
    <row r="6" spans="1:37" ht="18" customHeight="1">
      <c r="A6" s="1287" t="s">
        <v>1035</v>
      </c>
      <c r="B6" s="3235" t="s">
        <v>1403</v>
      </c>
      <c r="C6" s="1292">
        <f ca="1">ROUND(F6*F8*F7*(1-F9)/10000,0)</f>
        <v>648</v>
      </c>
      <c r="D6" s="161" t="s">
        <v>3017</v>
      </c>
      <c r="E6" s="344" t="s">
        <v>1405</v>
      </c>
      <c r="F6" s="345">
        <f ca="1">INDIRECT("'数据-取费表'!u"&amp;$G$1)</f>
        <v>500</v>
      </c>
      <c r="G6" s="1846"/>
      <c r="H6" s="1287" t="s">
        <v>1035</v>
      </c>
      <c r="I6" s="3235" t="s">
        <v>1403</v>
      </c>
      <c r="J6" s="343">
        <f ca="1">ROUND(M6*M8*M7*(1-M9)/10000,0)</f>
        <v>0</v>
      </c>
      <c r="K6" s="161" t="s">
        <v>3016</v>
      </c>
      <c r="L6" s="344" t="s">
        <v>1405</v>
      </c>
      <c r="M6" s="345">
        <f ca="1">INDIRECT("'数据-取费表'!z"&amp;$G$1)</f>
        <v>0</v>
      </c>
    </row>
    <row r="7" spans="1:37" ht="18" customHeight="1">
      <c r="A7" s="1291"/>
      <c r="B7" s="3236"/>
      <c r="C7" s="1293"/>
      <c r="D7" s="349"/>
      <c r="E7" s="2943" t="s">
        <v>1406</v>
      </c>
      <c r="F7" s="345">
        <f ca="1">IF(INDIRECT("'数据-取费表'!ah"&amp;$G$1)="",INDIRECT("'数据-取费表'!k"&amp;$G$1),INDIRECT("'数据-取费表'!ah"&amp;$G$1))</f>
        <v>1136</v>
      </c>
      <c r="G7" s="1846"/>
      <c r="H7" s="346"/>
      <c r="I7" s="3236"/>
      <c r="J7" s="348"/>
      <c r="K7" s="349"/>
      <c r="L7" s="344" t="s">
        <v>1406</v>
      </c>
      <c r="M7" s="345">
        <f ca="1">F7</f>
        <v>1136</v>
      </c>
    </row>
    <row r="8" spans="1:37" ht="18" customHeight="1">
      <c r="A8" s="346"/>
      <c r="B8" s="3236"/>
      <c r="C8" s="348"/>
      <c r="D8" s="349"/>
      <c r="E8" s="344" t="s">
        <v>1407</v>
      </c>
      <c r="F8" s="345">
        <f ca="1">INDIRECT("'数据-取费表'!ai"&amp;$G$1)</f>
        <v>12</v>
      </c>
      <c r="G8" s="1846"/>
      <c r="H8" s="346"/>
      <c r="I8" s="3236"/>
      <c r="J8" s="348"/>
      <c r="K8" s="349"/>
      <c r="L8" s="344" t="s">
        <v>1407</v>
      </c>
      <c r="M8" s="345">
        <f ca="1">INDIRECT("'数据-取费表'!ai"&amp;$G$1)</f>
        <v>12</v>
      </c>
    </row>
    <row r="9" spans="1:37" ht="18" customHeight="1">
      <c r="A9" s="346"/>
      <c r="B9" s="3237"/>
      <c r="C9" s="348"/>
      <c r="D9" s="349"/>
      <c r="E9" s="344" t="s">
        <v>1408</v>
      </c>
      <c r="F9" s="354">
        <f ca="1">INDIRECT("'数据-取费表'!w"&amp;$G$1)</f>
        <v>0.05</v>
      </c>
      <c r="G9" s="1846"/>
      <c r="H9" s="346"/>
      <c r="I9" s="3237"/>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3185</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10056</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7539</v>
      </c>
      <c r="D14" s="2946" t="s">
        <v>1418</v>
      </c>
      <c r="E14" s="2945"/>
      <c r="F14" s="361"/>
      <c r="G14" s="1846"/>
      <c r="H14" s="1197" t="s">
        <v>1035</v>
      </c>
      <c r="I14" s="344" t="s">
        <v>1419</v>
      </c>
      <c r="J14" s="24">
        <f ca="1">C29</f>
        <v>10056</v>
      </c>
      <c r="K14" s="2942"/>
      <c r="L14" s="975"/>
      <c r="M14" s="976"/>
    </row>
    <row r="15" spans="1:37" s="1853" customFormat="1" ht="18" customHeight="1" thickBot="1">
      <c r="A15" s="1197" t="s">
        <v>1036</v>
      </c>
      <c r="B15" s="344" t="s">
        <v>1420</v>
      </c>
      <c r="C15" s="24">
        <f ca="1">ROUND(C14*F15,0)</f>
        <v>226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244</v>
      </c>
      <c r="K16" s="1333" t="s">
        <v>1425</v>
      </c>
      <c r="L16" s="2949"/>
      <c r="M16" s="1290"/>
    </row>
    <row r="17" spans="1:37" s="1853" customFormat="1" ht="18" customHeight="1">
      <c r="A17" s="1197" t="s">
        <v>1390</v>
      </c>
      <c r="B17" s="344" t="s">
        <v>1426</v>
      </c>
      <c r="C17" s="24">
        <f ca="1">ROUND(F17*(F43+INDIRECT("'数据-取费表'!S"&amp;$G$1))/10000,0)</f>
        <v>685</v>
      </c>
      <c r="D17" s="344" t="s">
        <v>1427</v>
      </c>
      <c r="E17" s="344" t="s">
        <v>1428</v>
      </c>
      <c r="F17" s="26">
        <f>'数据-取费表'!B35</f>
        <v>200</v>
      </c>
      <c r="G17" s="1849"/>
      <c r="H17" s="1197" t="s">
        <v>1035</v>
      </c>
      <c r="I17" s="344" t="s">
        <v>1429</v>
      </c>
      <c r="J17" s="24">
        <f ca="1">ROUND(IF(项目基本情况!B11="自然人",J5*M17,J18+J19+J20),1)</f>
        <v>93.1</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113</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8563</v>
      </c>
      <c r="D19" s="137" t="s">
        <v>1436</v>
      </c>
      <c r="E19" s="2941"/>
      <c r="F19" s="26"/>
      <c r="G19" s="1846"/>
      <c r="H19" s="1197" t="s">
        <v>1036</v>
      </c>
      <c r="I19" s="344" t="s">
        <v>1437</v>
      </c>
      <c r="J19" s="24">
        <f ca="1">IF(K19="按租金收入计税",ROUND(J5*M19,2),ROUND(C29*M19*0.7,2))</f>
        <v>84.47</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171</v>
      </c>
      <c r="D20" s="366" t="s">
        <v>1440</v>
      </c>
      <c r="E20" s="344" t="s">
        <v>1422</v>
      </c>
      <c r="F20" s="364">
        <f>'数据-取费表'!B37</f>
        <v>0.02</v>
      </c>
      <c r="G20" s="1849"/>
      <c r="H20" s="1197" t="s">
        <v>1389</v>
      </c>
      <c r="I20" s="161" t="s">
        <v>1441</v>
      </c>
      <c r="J20" s="25">
        <f ca="1">ROUND(M20*M21/10000,2)</f>
        <v>8.58</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10720.130000000001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150.80000000000001</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415</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-244</v>
      </c>
      <c r="K25" s="1341" t="s">
        <v>1464</v>
      </c>
      <c r="L25" s="1342"/>
      <c r="M25" s="1343"/>
    </row>
    <row r="26" spans="1:37">
      <c r="A26" s="1197" t="s">
        <v>1034</v>
      </c>
      <c r="B26" s="344" t="s">
        <v>1465</v>
      </c>
      <c r="C26" s="24">
        <f ca="1">ROUND((C19+C20)*F26,0)</f>
        <v>262</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10056</v>
      </c>
      <c r="D29" s="1338"/>
      <c r="E29" s="1336"/>
      <c r="F29" s="1339"/>
      <c r="G29" s="1849"/>
      <c r="H29" s="377" t="s">
        <v>1033</v>
      </c>
      <c r="I29" s="378" t="s">
        <v>1479</v>
      </c>
      <c r="J29" s="379">
        <f ca="1">ROUND(J26/(1+F40)^F41,0)</f>
        <v>0</v>
      </c>
      <c r="K29" s="380" t="s">
        <v>1480</v>
      </c>
      <c r="L29" s="381"/>
      <c r="M29" s="382">
        <f ca="1">INDIRECT("'数据-取费表'!k"&amp;$G$1)</f>
        <v>34093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293</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120.9</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34.56</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77.760000000000005</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8.58</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10720.130000000001</v>
      </c>
      <c r="G35" s="1846"/>
      <c r="H35" s="742"/>
      <c r="I35" s="1855"/>
      <c r="J35" s="1856"/>
      <c r="K35" s="1857"/>
      <c r="L35" s="1854"/>
      <c r="M35" s="1854"/>
    </row>
    <row r="36" spans="1:18" ht="18" customHeight="1">
      <c r="A36" s="1348" t="s">
        <v>1039</v>
      </c>
      <c r="B36" s="344" t="s">
        <v>1449</v>
      </c>
      <c r="C36" s="24">
        <f ca="1">ROUND(C29*F36,1)</f>
        <v>150.80000000000001</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15.1</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6.5</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355</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10780</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3162</v>
      </c>
      <c r="D43" s="380" t="s">
        <v>1488</v>
      </c>
      <c r="E43" s="381" t="s">
        <v>1489</v>
      </c>
      <c r="F43" s="382">
        <f ca="1">INDIRECT("'数据-取费表'!k"&amp;$G$1)</f>
        <v>34093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-29258</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50</v>
      </c>
      <c r="M47" s="1833" t="str">
        <f>IF(ISNUMBER(FIND("住宅",C1)),"住宅","非住宅")</f>
        <v>非住宅</v>
      </c>
      <c r="O47" s="1879" t="s">
        <v>1040</v>
      </c>
      <c r="P47" s="1880" t="s">
        <v>1528</v>
      </c>
      <c r="Q47" s="1881">
        <f ca="1">C40+J29</f>
        <v>10780</v>
      </c>
      <c r="R47" s="1881" t="s">
        <v>1529</v>
      </c>
    </row>
    <row r="48" spans="1:18" s="1837" customFormat="1" ht="28.5" thickBot="1">
      <c r="A48" s="1356" t="s">
        <v>1135</v>
      </c>
      <c r="B48" s="342" t="s">
        <v>1401</v>
      </c>
      <c r="C48" s="2940">
        <f ca="1">C49+C53+C55</f>
        <v>0</v>
      </c>
      <c r="D48" s="1358"/>
      <c r="E48" s="1359"/>
      <c r="F48" s="1177"/>
      <c r="G48" s="789"/>
      <c r="H48" s="790"/>
      <c r="I48" s="1882" t="s">
        <v>1530</v>
      </c>
      <c r="J48" s="1883" t="s">
        <v>3184</v>
      </c>
      <c r="K48" s="1884" t="s">
        <v>1531</v>
      </c>
      <c r="L48" s="1885">
        <f ca="1">INDIRECT("'数据-取费表'!f"&amp;$G$1)</f>
        <v>49.61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10056</v>
      </c>
      <c r="R49" s="1881" t="s">
        <v>1529</v>
      </c>
    </row>
    <row r="50" spans="1:18" s="1837" customFormat="1" ht="13.5" thickBot="1">
      <c r="A50" s="1191"/>
      <c r="B50" s="1194"/>
      <c r="C50" s="1364"/>
      <c r="D50" s="1168"/>
      <c r="E50" s="1273" t="s">
        <v>1406</v>
      </c>
      <c r="F50" s="1274">
        <f ca="1">F7</f>
        <v>1136</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-9855</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48.61</v>
      </c>
      <c r="K53" s="3233" t="s">
        <v>1548</v>
      </c>
      <c r="L53" s="3234"/>
      <c r="O53" s="1879" t="s">
        <v>1046</v>
      </c>
      <c r="P53" s="1880" t="s">
        <v>1549</v>
      </c>
      <c r="Q53" s="1881">
        <f ca="1">Q47+Q48</f>
        <v>10780</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10056</v>
      </c>
      <c r="D56" s="1909"/>
      <c r="E56" s="1910"/>
      <c r="F56" s="1902"/>
      <c r="I56" s="1911" t="s">
        <v>1554</v>
      </c>
      <c r="J56" s="1912" t="s">
        <v>3046</v>
      </c>
      <c r="K56" s="1882" t="s">
        <v>1555</v>
      </c>
      <c r="L56" s="1885" t="str">
        <f ca="1">IF(L48&lt;J51,"——",L48-J53)</f>
        <v>——</v>
      </c>
      <c r="O56" s="1879" t="s">
        <v>1040</v>
      </c>
      <c r="P56" s="1880" t="s">
        <v>1528</v>
      </c>
      <c r="Q56" s="1881">
        <f ca="1">C40+J29</f>
        <v>10780</v>
      </c>
      <c r="R56" s="1881" t="s">
        <v>1529</v>
      </c>
    </row>
    <row r="57" spans="1:18" s="1837" customFormat="1" ht="24.75" thickBot="1">
      <c r="A57" s="1913"/>
      <c r="B57" s="1165" t="s">
        <v>1478</v>
      </c>
      <c r="C57" s="279">
        <f ca="1">C29</f>
        <v>10056</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1019</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853.3</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844.7</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8.58</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10780</v>
      </c>
      <c r="R62" s="1881" t="s">
        <v>1047</v>
      </c>
    </row>
    <row r="63" spans="1:18" s="1837" customFormat="1" ht="13.5" thickBot="1">
      <c r="A63" s="369"/>
      <c r="B63" s="1171"/>
      <c r="C63" s="29"/>
      <c r="D63" s="1181"/>
      <c r="E63" s="1165" t="s">
        <v>1499</v>
      </c>
      <c r="F63" s="345">
        <f t="shared" ca="1" si="0"/>
        <v>10720.130000000001</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150.80000000000001</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15.1</v>
      </c>
      <c r="D65" s="1179" t="s">
        <v>1454</v>
      </c>
      <c r="E65" s="1165" t="s">
        <v>1422</v>
      </c>
      <c r="F65" s="373">
        <f t="shared" ca="1" si="0"/>
        <v>1.5E-3</v>
      </c>
      <c r="I65" s="1924" t="s">
        <v>1579</v>
      </c>
      <c r="J65" s="1925">
        <v>40</v>
      </c>
      <c r="K65" s="1925">
        <v>30</v>
      </c>
      <c r="L65" s="1925">
        <v>50</v>
      </c>
      <c r="M65" s="1927">
        <v>0.02</v>
      </c>
      <c r="O65" s="1879" t="s">
        <v>1040</v>
      </c>
      <c r="P65" s="1880" t="s">
        <v>1580</v>
      </c>
      <c r="Q65" s="1881">
        <f ca="1">C40+J29</f>
        <v>10780</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-1019</v>
      </c>
      <c r="D67" s="1178" t="s">
        <v>1464</v>
      </c>
      <c r="E67" s="1183"/>
      <c r="F67" s="1184"/>
      <c r="O67" s="1889" t="s">
        <v>1042</v>
      </c>
      <c r="P67" s="1880" t="s">
        <v>1562</v>
      </c>
      <c r="Q67" s="1928">
        <f ca="1">L51</f>
        <v>-9855</v>
      </c>
      <c r="R67" s="1881" t="s">
        <v>1582</v>
      </c>
    </row>
    <row r="68" spans="1:18" s="1837" customFormat="1" ht="16.5" thickBot="1">
      <c r="A68" s="1162" t="s">
        <v>1032</v>
      </c>
      <c r="B68" s="1163" t="s">
        <v>1485</v>
      </c>
      <c r="C68" s="343">
        <f ca="1">ROUND(C67*(1-((1+F70)/(1+F68))^F69)/(F68-F70),0)</f>
        <v>-18478</v>
      </c>
      <c r="D68" s="1180" t="s">
        <v>1469</v>
      </c>
      <c r="E68" s="1165" t="s">
        <v>1470</v>
      </c>
      <c r="F68" s="354">
        <f ca="1">F40</f>
        <v>0.05</v>
      </c>
      <c r="O68" s="1889" t="s">
        <v>1043</v>
      </c>
      <c r="P68" s="1929" t="s">
        <v>1583</v>
      </c>
      <c r="Q68" s="1881">
        <f ca="1">ROUND(Q69-Q70*Q71,0)</f>
        <v>-500</v>
      </c>
      <c r="R68" s="1881" t="s">
        <v>1051</v>
      </c>
    </row>
    <row r="69" spans="1:18" s="1837" customFormat="1" ht="13.5" thickBot="1">
      <c r="A69" s="1166"/>
      <c r="B69" s="1167"/>
      <c r="C69" s="348"/>
      <c r="D69" s="1185" t="s">
        <v>1473</v>
      </c>
      <c r="E69" s="1165" t="s">
        <v>1474</v>
      </c>
      <c r="F69" s="376">
        <f ca="1">F41</f>
        <v>48.61</v>
      </c>
      <c r="O69" s="1889" t="s">
        <v>1048</v>
      </c>
      <c r="P69" s="1929" t="s">
        <v>1584</v>
      </c>
      <c r="Q69" s="1881">
        <f ca="1">C39</f>
        <v>355</v>
      </c>
      <c r="R69" s="1881" t="s">
        <v>1529</v>
      </c>
    </row>
    <row r="70" spans="1:18" s="1837" customFormat="1" ht="13.5" thickBot="1">
      <c r="A70" s="1169"/>
      <c r="B70" s="1170"/>
      <c r="C70" s="352"/>
      <c r="D70" s="1181"/>
      <c r="E70" s="1165" t="s">
        <v>1477</v>
      </c>
      <c r="F70" s="1271"/>
      <c r="O70" s="1889" t="s">
        <v>1049</v>
      </c>
      <c r="P70" s="1929" t="s">
        <v>1585</v>
      </c>
      <c r="Q70" s="1881">
        <f ca="1">C13</f>
        <v>10056</v>
      </c>
      <c r="R70" s="1881" t="s">
        <v>1529</v>
      </c>
    </row>
    <row r="71" spans="1:18" s="1837" customFormat="1" ht="13.5" thickBot="1">
      <c r="A71" s="1186" t="s">
        <v>1033</v>
      </c>
      <c r="B71" s="1187" t="s">
        <v>1487</v>
      </c>
      <c r="C71" s="379">
        <f ca="1">ROUND(C68*10000/F71,0)</f>
        <v>-5420</v>
      </c>
      <c r="D71" s="1188" t="s">
        <v>1488</v>
      </c>
      <c r="E71" s="1189" t="s">
        <v>1489</v>
      </c>
      <c r="F71" s="382">
        <f ca="1">F43</f>
        <v>34093</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855</v>
      </c>
      <c r="D75" s="1837"/>
      <c r="E75" s="1837"/>
      <c r="F75" s="1837"/>
      <c r="K75" s="1863"/>
      <c r="L75" s="1837"/>
      <c r="O75" s="1879" t="s">
        <v>1046</v>
      </c>
      <c r="P75" s="1880" t="s">
        <v>1549</v>
      </c>
      <c r="Q75" s="1881">
        <f ca="1">Q65+Q66</f>
        <v>10780</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-1.4079999999999999</v>
      </c>
    </row>
    <row r="80" spans="1:18">
      <c r="B80" s="383" t="s">
        <v>1511</v>
      </c>
      <c r="C80" s="315">
        <f ca="1">ROUND(C75/C39,3)</f>
        <v>2.4079999999999999</v>
      </c>
    </row>
    <row r="81" spans="2:3">
      <c r="B81" s="311" t="s">
        <v>1512</v>
      </c>
      <c r="C81" s="279"/>
    </row>
    <row r="82" spans="2:3">
      <c r="B82" s="314" t="s">
        <v>1513</v>
      </c>
      <c r="C82" s="316">
        <f ca="1">1-C83</f>
        <v>6.6999999999999948E-2</v>
      </c>
    </row>
    <row r="83" spans="2:3">
      <c r="B83" s="314" t="s">
        <v>1514</v>
      </c>
      <c r="C83" s="315">
        <f ca="1">ROUND(C13/C40,3)</f>
        <v>0.93300000000000005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2626</v>
      </c>
      <c r="C1" s="1629" t="s">
        <v>2514</v>
      </c>
      <c r="D1" s="1616"/>
      <c r="E1" s="2653"/>
      <c r="F1" s="2580"/>
      <c r="G1" s="1626" t="s">
        <v>2627</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2314</v>
      </c>
      <c r="B2" s="1414" t="e">
        <f ca="1">IF(C2="——",ROUND(C49*D3/10000,0),ROUND(C49*D3/10000,0)-D2)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2316</v>
      </c>
      <c r="B3" s="606" t="e">
        <f ca="1">IF(C2="——",C49,ROUND(B2*10000/D3,0))</f>
        <v>#DIV/0!</v>
      </c>
      <c r="C3" s="397" t="s">
        <v>2628</v>
      </c>
      <c r="D3" s="396">
        <f>IF(D1="",'数据-汇总表'!E3,SUMIF('数据-汇总表'!$C19:$C33,D1,'数据-汇总表'!$E19:$E33))</f>
        <v>59366.369999999995</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1" t="s">
        <v>2632</v>
      </c>
      <c r="AC4" s="3192" t="s">
        <v>2633</v>
      </c>
    </row>
    <row r="5" spans="1:29" ht="15">
      <c r="A5" s="401"/>
      <c r="B5" s="402"/>
      <c r="C5" s="3222" t="s">
        <v>2526</v>
      </c>
      <c r="D5" s="3213"/>
      <c r="E5" s="3260" t="s">
        <v>2527</v>
      </c>
      <c r="F5" s="3221"/>
      <c r="G5" s="3222" t="s">
        <v>2528</v>
      </c>
      <c r="H5" s="3213"/>
      <c r="I5" s="3222" t="s">
        <v>2529</v>
      </c>
      <c r="J5" s="3213"/>
      <c r="K5" s="607"/>
      <c r="L5" s="1126"/>
      <c r="M5" s="1127"/>
      <c r="N5" s="1127"/>
      <c r="O5" s="1127"/>
      <c r="P5" s="3200"/>
      <c r="Q5" s="3201"/>
      <c r="R5" s="3206"/>
      <c r="S5" s="3207"/>
      <c r="T5" s="3206"/>
      <c r="U5" s="3207"/>
      <c r="V5" s="3191"/>
      <c r="W5" s="3191"/>
      <c r="X5" s="1808"/>
      <c r="Y5" s="3206"/>
      <c r="Z5" s="3207"/>
      <c r="AA5" s="3193"/>
      <c r="AB5" s="3191"/>
      <c r="AC5" s="3193"/>
    </row>
    <row r="6" spans="1:29" ht="15.75" thickBot="1">
      <c r="A6" s="403"/>
      <c r="B6" s="404"/>
      <c r="C6" s="3210" t="s">
        <v>2530</v>
      </c>
      <c r="D6" s="3211"/>
      <c r="E6" s="3218" t="s">
        <v>2530</v>
      </c>
      <c r="F6" s="3219"/>
      <c r="G6" s="3210" t="s">
        <v>2530</v>
      </c>
      <c r="H6" s="3211"/>
      <c r="I6" s="3210" t="s">
        <v>2530</v>
      </c>
      <c r="J6" s="3211"/>
      <c r="K6" s="607" t="s">
        <v>2531</v>
      </c>
      <c r="L6" s="1126"/>
      <c r="M6" s="1127"/>
      <c r="N6" s="1127"/>
      <c r="O6" s="1127"/>
      <c r="P6" s="3202"/>
      <c r="Q6" s="3203"/>
      <c r="R6" s="3206"/>
      <c r="S6" s="3207"/>
      <c r="T6" s="3208"/>
      <c r="U6" s="3209"/>
      <c r="V6" s="3191"/>
      <c r="W6" s="3191"/>
      <c r="X6" s="1808"/>
      <c r="Y6" s="3208"/>
      <c r="Z6" s="3209"/>
      <c r="AA6" s="3194"/>
      <c r="AB6" s="3191"/>
      <c r="AC6" s="3194"/>
    </row>
    <row r="7" spans="1:29" s="115" customFormat="1" ht="15.75" thickBot="1">
      <c r="A7" s="405" t="s">
        <v>2532</v>
      </c>
      <c r="B7" s="406"/>
      <c r="C7" s="407">
        <f>'数据-取费表'!B2</f>
        <v>43433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14" t="s">
        <v>2533</v>
      </c>
      <c r="Q7" s="3216"/>
      <c r="R7" s="767" t="s">
        <v>17</v>
      </c>
      <c r="S7" s="768">
        <f t="shared" ref="S7:S15" si="0">F7</f>
        <v>0</v>
      </c>
      <c r="T7" s="767" t="s">
        <v>17</v>
      </c>
      <c r="U7" s="768">
        <f t="shared" ref="U7:U15" si="1">H7</f>
        <v>0</v>
      </c>
      <c r="V7" s="767" t="s">
        <v>17</v>
      </c>
      <c r="W7" s="768">
        <f t="shared" ref="W7:W15" si="2">J7</f>
        <v>0</v>
      </c>
      <c r="X7" s="769"/>
      <c r="Y7" s="3214" t="s">
        <v>2533</v>
      </c>
      <c r="Z7" s="3215"/>
      <c r="AA7" s="770" t="e">
        <f>D7/F7</f>
        <v>#DIV/0!</v>
      </c>
      <c r="AB7" s="770" t="e">
        <f>D7/H7</f>
        <v>#DIV/0!</v>
      </c>
      <c r="AC7" s="770" t="e">
        <f>D7/J7</f>
        <v>#DIV/0!</v>
      </c>
    </row>
    <row r="8" spans="1:29" s="115" customFormat="1" ht="15.75" thickBot="1">
      <c r="A8" s="405" t="s">
        <v>2534</v>
      </c>
      <c r="B8" s="406"/>
      <c r="C8" s="411" t="s">
        <v>2636</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14" t="s">
        <v>2536</v>
      </c>
      <c r="Q8" s="3215"/>
      <c r="R8" s="767" t="s">
        <v>17</v>
      </c>
      <c r="S8" s="768">
        <f t="shared" si="0"/>
        <v>0</v>
      </c>
      <c r="T8" s="767" t="s">
        <v>17</v>
      </c>
      <c r="U8" s="768">
        <f t="shared" si="1"/>
        <v>0</v>
      </c>
      <c r="V8" s="767" t="s">
        <v>17</v>
      </c>
      <c r="W8" s="768">
        <f t="shared" si="2"/>
        <v>0</v>
      </c>
      <c r="X8" s="769"/>
      <c r="Y8" s="3214" t="s">
        <v>2536</v>
      </c>
      <c r="Z8" s="3215"/>
      <c r="AA8" s="770" t="e">
        <f t="shared" ref="AA8:AA46" si="3">D8/F8</f>
        <v>#DIV/0!</v>
      </c>
      <c r="AB8" s="770" t="e">
        <f t="shared" ref="AB8:AB46" si="4">D8/H8</f>
        <v>#DIV/0!</v>
      </c>
      <c r="AC8" s="770" t="e">
        <f t="shared" ref="AC8:AC46" si="5">D8/J8</f>
        <v>#DIV/0!</v>
      </c>
    </row>
    <row r="9" spans="1:29" s="115" customFormat="1">
      <c r="A9" s="412" t="s">
        <v>2537</v>
      </c>
      <c r="B9" s="71" t="s">
        <v>2538</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184"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184"/>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184"/>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84"/>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84"/>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84"/>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15">
      <c r="A15" s="437" t="s">
        <v>2543</v>
      </c>
      <c r="B15" s="69" t="s">
        <v>2637</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5" t="s">
        <v>2544</v>
      </c>
      <c r="Q15" s="1805" t="str">
        <f t="shared" si="6"/>
        <v>商业繁华度</v>
      </c>
      <c r="R15" s="771" t="s">
        <v>17</v>
      </c>
      <c r="S15" s="772">
        <f t="shared" si="0"/>
        <v>100</v>
      </c>
      <c r="T15" s="771" t="s">
        <v>17</v>
      </c>
      <c r="U15" s="772">
        <f t="shared" si="1"/>
        <v>100</v>
      </c>
      <c r="V15" s="771" t="s">
        <v>17</v>
      </c>
      <c r="W15" s="772">
        <f t="shared" si="2"/>
        <v>100</v>
      </c>
      <c r="X15" s="1808"/>
      <c r="Y15" s="3187" t="s">
        <v>2544</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26"/>
      <c r="Q16" s="1805"/>
      <c r="R16" s="771"/>
      <c r="S16" s="772"/>
      <c r="T16" s="771"/>
      <c r="U16" s="772"/>
      <c r="V16" s="771"/>
      <c r="W16" s="772"/>
      <c r="X16" s="1808"/>
      <c r="Y16" s="3188"/>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26"/>
      <c r="Q17" s="1805" t="str">
        <f>B17</f>
        <v>交通便捷度</v>
      </c>
      <c r="R17" s="771" t="s">
        <v>17</v>
      </c>
      <c r="S17" s="772">
        <f>F17</f>
        <v>100</v>
      </c>
      <c r="T17" s="771" t="s">
        <v>17</v>
      </c>
      <c r="U17" s="772">
        <f>H17</f>
        <v>100</v>
      </c>
      <c r="V17" s="771" t="s">
        <v>17</v>
      </c>
      <c r="W17" s="772">
        <f>J17</f>
        <v>100</v>
      </c>
      <c r="X17" s="1808"/>
      <c r="Y17" s="3188"/>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26"/>
      <c r="Q18" s="1805"/>
      <c r="R18" s="771"/>
      <c r="S18" s="772"/>
      <c r="T18" s="771"/>
      <c r="U18" s="772"/>
      <c r="V18" s="771"/>
      <c r="W18" s="772"/>
      <c r="X18" s="1808"/>
      <c r="Y18" s="3188"/>
      <c r="Z18" s="1809"/>
      <c r="AA18" s="1806">
        <v>1</v>
      </c>
      <c r="AB18" s="1806">
        <v>1</v>
      </c>
      <c r="AC18" s="1806">
        <v>1</v>
      </c>
    </row>
    <row r="19" spans="1:29" ht="15">
      <c r="A19" s="425"/>
      <c r="B19" s="448" t="s">
        <v>2638</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26"/>
      <c r="Q19" s="1805" t="str">
        <f>B19</f>
        <v>公共配套设施</v>
      </c>
      <c r="R19" s="771" t="s">
        <v>17</v>
      </c>
      <c r="S19" s="772">
        <f>F19</f>
        <v>100</v>
      </c>
      <c r="T19" s="771" t="s">
        <v>17</v>
      </c>
      <c r="U19" s="772">
        <f>H19</f>
        <v>100</v>
      </c>
      <c r="V19" s="771" t="s">
        <v>17</v>
      </c>
      <c r="W19" s="772">
        <f>J19</f>
        <v>100</v>
      </c>
      <c r="X19" s="1808"/>
      <c r="Y19" s="3188"/>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26"/>
      <c r="Q20" s="1805"/>
      <c r="R20" s="771"/>
      <c r="S20" s="772"/>
      <c r="T20" s="771"/>
      <c r="U20" s="772"/>
      <c r="V20" s="771"/>
      <c r="W20" s="772"/>
      <c r="X20" s="1808"/>
      <c r="Y20" s="3188"/>
      <c r="Z20" s="1809"/>
      <c r="AA20" s="1806">
        <v>1</v>
      </c>
      <c r="AB20" s="1806">
        <v>1</v>
      </c>
      <c r="AC20" s="1806">
        <v>1</v>
      </c>
    </row>
    <row r="21" spans="1:29" ht="15">
      <c r="A21" s="425"/>
      <c r="B21" s="1380" t="s">
        <v>2639</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26"/>
      <c r="Q21" s="1805" t="str">
        <f>B21</f>
        <v>基础设施水平</v>
      </c>
      <c r="R21" s="771" t="s">
        <v>17</v>
      </c>
      <c r="S21" s="772">
        <f>F21</f>
        <v>100</v>
      </c>
      <c r="T21" s="771" t="s">
        <v>17</v>
      </c>
      <c r="U21" s="772">
        <f>H21</f>
        <v>100</v>
      </c>
      <c r="V21" s="771" t="s">
        <v>17</v>
      </c>
      <c r="W21" s="772">
        <f>J21</f>
        <v>100</v>
      </c>
      <c r="X21" s="1808"/>
      <c r="Y21" s="3188"/>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26"/>
      <c r="Q22" s="1805"/>
      <c r="R22" s="771"/>
      <c r="S22" s="772"/>
      <c r="T22" s="771"/>
      <c r="U22" s="772"/>
      <c r="V22" s="771"/>
      <c r="W22" s="772"/>
      <c r="X22" s="1808"/>
      <c r="Y22" s="3188"/>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26"/>
      <c r="Q23" s="1805" t="str">
        <f>B23</f>
        <v>自然及人文环境</v>
      </c>
      <c r="R23" s="771" t="s">
        <v>17</v>
      </c>
      <c r="S23" s="772">
        <f>F23</f>
        <v>100</v>
      </c>
      <c r="T23" s="771" t="s">
        <v>17</v>
      </c>
      <c r="U23" s="772">
        <f>H23</f>
        <v>100</v>
      </c>
      <c r="V23" s="771" t="s">
        <v>17</v>
      </c>
      <c r="W23" s="772">
        <f>J23</f>
        <v>100</v>
      </c>
      <c r="X23" s="1808"/>
      <c r="Y23" s="3188"/>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26"/>
      <c r="Q24" s="1805"/>
      <c r="R24" s="771"/>
      <c r="S24" s="772"/>
      <c r="T24" s="771"/>
      <c r="U24" s="772"/>
      <c r="V24" s="771"/>
      <c r="W24" s="772"/>
      <c r="X24" s="1808"/>
      <c r="Y24" s="3188"/>
      <c r="Z24" s="1809"/>
      <c r="AA24" s="1806">
        <v>1</v>
      </c>
      <c r="AB24" s="1806">
        <v>1</v>
      </c>
      <c r="AC24" s="1806">
        <v>1</v>
      </c>
    </row>
    <row r="25" spans="1:29" ht="15">
      <c r="A25" s="425"/>
      <c r="B25" s="419" t="s">
        <v>2640</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26"/>
      <c r="Q25" s="1805" t="str">
        <f t="shared" ref="Q25:Q46" si="11">B25</f>
        <v>临街状况</v>
      </c>
      <c r="R25" s="771" t="s">
        <v>17</v>
      </c>
      <c r="S25" s="772">
        <f>F25</f>
        <v>100</v>
      </c>
      <c r="T25" s="771" t="s">
        <v>17</v>
      </c>
      <c r="U25" s="772">
        <f>H25</f>
        <v>100</v>
      </c>
      <c r="V25" s="771" t="s">
        <v>17</v>
      </c>
      <c r="W25" s="772">
        <f>J25</f>
        <v>100</v>
      </c>
      <c r="X25" s="1808"/>
      <c r="Y25" s="3188"/>
      <c r="Z25" s="1809" t="str">
        <f>Q25</f>
        <v>临街状况</v>
      </c>
      <c r="AA25" s="1806">
        <f t="shared" si="3"/>
        <v>1</v>
      </c>
      <c r="AB25" s="1806">
        <f t="shared" si="4"/>
        <v>1</v>
      </c>
      <c r="AC25" s="1806">
        <f t="shared" si="5"/>
        <v>1</v>
      </c>
    </row>
    <row r="26" spans="1:29" ht="15">
      <c r="A26" s="425"/>
      <c r="B26" s="1382" t="s">
        <v>2641</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26"/>
      <c r="Q26" s="1805" t="str">
        <f t="shared" si="11"/>
        <v>平面位置/可视性</v>
      </c>
      <c r="R26" s="771" t="s">
        <v>17</v>
      </c>
      <c r="S26" s="772">
        <f>F26</f>
        <v>100</v>
      </c>
      <c r="T26" s="771" t="s">
        <v>17</v>
      </c>
      <c r="U26" s="772">
        <f>H26</f>
        <v>100</v>
      </c>
      <c r="V26" s="771" t="s">
        <v>17</v>
      </c>
      <c r="W26" s="772">
        <f>J26</f>
        <v>100</v>
      </c>
      <c r="X26" s="1808"/>
      <c r="Y26" s="3188"/>
      <c r="Z26" s="1809" t="str">
        <f>Q26</f>
        <v>平面位置/可视性</v>
      </c>
      <c r="AA26" s="1806">
        <f t="shared" si="3"/>
        <v>1</v>
      </c>
      <c r="AB26" s="1806">
        <f t="shared" si="4"/>
        <v>1</v>
      </c>
      <c r="AC26" s="1806">
        <f t="shared" si="5"/>
        <v>1</v>
      </c>
    </row>
    <row r="27" spans="1:29" s="115" customFormat="1" ht="15">
      <c r="A27" s="428"/>
      <c r="B27" s="448" t="s">
        <v>2642</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26"/>
      <c r="Q27" s="1790" t="str">
        <f t="shared" si="11"/>
        <v>人流量</v>
      </c>
      <c r="R27" s="767" t="s">
        <v>17</v>
      </c>
      <c r="S27" s="768">
        <f>F27</f>
        <v>100</v>
      </c>
      <c r="T27" s="767" t="s">
        <v>17</v>
      </c>
      <c r="U27" s="768">
        <f>H27</f>
        <v>100</v>
      </c>
      <c r="V27" s="767" t="s">
        <v>17</v>
      </c>
      <c r="W27" s="768">
        <f>J27</f>
        <v>100</v>
      </c>
      <c r="X27" s="769"/>
      <c r="Y27" s="3188"/>
      <c r="Z27" s="55" t="str">
        <f>Q27</f>
        <v>人流量</v>
      </c>
      <c r="AA27" s="1806">
        <f>D27/F27</f>
        <v>1</v>
      </c>
      <c r="AB27" s="1806">
        <f>D27/H27</f>
        <v>1</v>
      </c>
      <c r="AC27" s="1806">
        <f>D27/J27</f>
        <v>1</v>
      </c>
    </row>
    <row r="28" spans="1:29" ht="15">
      <c r="A28" s="425"/>
      <c r="B28" s="419" t="s">
        <v>2643</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26"/>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88"/>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26"/>
      <c r="Q29" s="1805">
        <f t="shared" si="11"/>
        <v>111</v>
      </c>
      <c r="R29" s="771" t="s">
        <v>17</v>
      </c>
      <c r="S29" s="772">
        <f t="shared" si="12"/>
        <v>100</v>
      </c>
      <c r="T29" s="771" t="s">
        <v>17</v>
      </c>
      <c r="U29" s="772">
        <f t="shared" si="13"/>
        <v>100</v>
      </c>
      <c r="V29" s="771" t="s">
        <v>17</v>
      </c>
      <c r="W29" s="772">
        <f t="shared" si="14"/>
        <v>100</v>
      </c>
      <c r="X29" s="1808"/>
      <c r="Y29" s="3188"/>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26"/>
      <c r="Q30" s="1805">
        <f t="shared" si="11"/>
        <v>111</v>
      </c>
      <c r="R30" s="771" t="s">
        <v>17</v>
      </c>
      <c r="S30" s="772">
        <f t="shared" si="12"/>
        <v>100</v>
      </c>
      <c r="T30" s="771" t="s">
        <v>17</v>
      </c>
      <c r="U30" s="772">
        <f t="shared" si="13"/>
        <v>100</v>
      </c>
      <c r="V30" s="771" t="s">
        <v>17</v>
      </c>
      <c r="W30" s="772">
        <f t="shared" si="14"/>
        <v>100</v>
      </c>
      <c r="X30" s="1808"/>
      <c r="Y30" s="3188"/>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26"/>
      <c r="Q31" s="1805">
        <f t="shared" si="11"/>
        <v>111</v>
      </c>
      <c r="R31" s="771" t="s">
        <v>17</v>
      </c>
      <c r="S31" s="772">
        <f t="shared" si="12"/>
        <v>100</v>
      </c>
      <c r="T31" s="771" t="s">
        <v>17</v>
      </c>
      <c r="U31" s="772">
        <f t="shared" si="13"/>
        <v>100</v>
      </c>
      <c r="V31" s="771" t="s">
        <v>17</v>
      </c>
      <c r="W31" s="772">
        <f t="shared" si="14"/>
        <v>100</v>
      </c>
      <c r="X31" s="1808"/>
      <c r="Y31" s="3188"/>
      <c r="Z31" s="1809">
        <f t="shared" si="15"/>
        <v>111</v>
      </c>
      <c r="AA31" s="1806">
        <f t="shared" si="3"/>
        <v>1</v>
      </c>
      <c r="AB31" s="1806">
        <f t="shared" si="4"/>
        <v>1</v>
      </c>
      <c r="AC31" s="1806">
        <f t="shared" si="5"/>
        <v>1</v>
      </c>
    </row>
    <row r="32" spans="1:29" ht="15">
      <c r="A32" s="437" t="s">
        <v>2547</v>
      </c>
      <c r="B32" s="71" t="s">
        <v>2644</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27" t="s">
        <v>2549</v>
      </c>
      <c r="Q32" s="1805" t="str">
        <f t="shared" si="11"/>
        <v>商业类型</v>
      </c>
      <c r="R32" s="771" t="s">
        <v>17</v>
      </c>
      <c r="S32" s="772">
        <f t="shared" si="12"/>
        <v>100</v>
      </c>
      <c r="T32" s="771" t="s">
        <v>17</v>
      </c>
      <c r="U32" s="772">
        <f t="shared" si="13"/>
        <v>100</v>
      </c>
      <c r="V32" s="771" t="s">
        <v>17</v>
      </c>
      <c r="W32" s="772">
        <f t="shared" si="14"/>
        <v>100</v>
      </c>
      <c r="X32" s="1808"/>
      <c r="Y32" s="3190" t="s">
        <v>2549</v>
      </c>
      <c r="Z32" s="1809" t="str">
        <f t="shared" si="15"/>
        <v>商业类型</v>
      </c>
      <c r="AA32" s="1806">
        <f t="shared" si="3"/>
        <v>1</v>
      </c>
      <c r="AB32" s="1806">
        <f t="shared" si="4"/>
        <v>1</v>
      </c>
      <c r="AC32" s="1806">
        <f t="shared" si="5"/>
        <v>1</v>
      </c>
    </row>
    <row r="33" spans="1:29" s="468" customFormat="1" ht="15">
      <c r="A33" s="465"/>
      <c r="B33" s="419" t="s">
        <v>2550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28"/>
      <c r="Q33" s="773" t="str">
        <f t="shared" si="11"/>
        <v>项目建筑规模</v>
      </c>
      <c r="R33" s="774" t="s">
        <v>17</v>
      </c>
      <c r="S33" s="775" t="e">
        <f t="shared" si="12"/>
        <v>#N/A</v>
      </c>
      <c r="T33" s="774" t="s">
        <v>17</v>
      </c>
      <c r="U33" s="775" t="e">
        <f t="shared" si="13"/>
        <v>#N/A</v>
      </c>
      <c r="V33" s="774" t="s">
        <v>17</v>
      </c>
      <c r="W33" s="775" t="e">
        <f t="shared" si="14"/>
        <v>#N/A</v>
      </c>
      <c r="X33" s="776"/>
      <c r="Y33" s="3190"/>
      <c r="Z33" s="777" t="str">
        <f t="shared" si="15"/>
        <v>项目建筑规模</v>
      </c>
      <c r="AA33" s="1806" t="e">
        <f t="shared" si="3"/>
        <v>#N/A</v>
      </c>
      <c r="AB33" s="1806" t="e">
        <f t="shared" si="4"/>
        <v>#N/A</v>
      </c>
      <c r="AC33" s="1806" t="e">
        <f t="shared" si="5"/>
        <v>#N/A</v>
      </c>
    </row>
    <row r="34" spans="1:29" ht="15">
      <c r="A34" s="469"/>
      <c r="B34" s="419" t="s">
        <v>2551</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28"/>
      <c r="Q34" s="1805" t="str">
        <f t="shared" si="11"/>
        <v>建筑结构</v>
      </c>
      <c r="R34" s="771" t="s">
        <v>17</v>
      </c>
      <c r="S34" s="772">
        <f t="shared" si="12"/>
        <v>100</v>
      </c>
      <c r="T34" s="771" t="s">
        <v>17</v>
      </c>
      <c r="U34" s="772">
        <f t="shared" si="13"/>
        <v>100</v>
      </c>
      <c r="V34" s="771" t="s">
        <v>17</v>
      </c>
      <c r="W34" s="772">
        <f t="shared" si="14"/>
        <v>100</v>
      </c>
      <c r="X34" s="1808"/>
      <c r="Y34" s="3190"/>
      <c r="Z34" s="1809" t="str">
        <f t="shared" si="15"/>
        <v>建筑结构</v>
      </c>
      <c r="AA34" s="1806">
        <f t="shared" si="3"/>
        <v>1</v>
      </c>
      <c r="AB34" s="1806">
        <f t="shared" si="4"/>
        <v>1</v>
      </c>
      <c r="AC34" s="1806">
        <f t="shared" si="5"/>
        <v>1</v>
      </c>
    </row>
    <row r="35" spans="1:29" ht="15">
      <c r="A35" s="469"/>
      <c r="B35" s="419" t="s">
        <v>2645</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28"/>
      <c r="Q35" s="1805" t="str">
        <f t="shared" si="11"/>
        <v>公共部分装修</v>
      </c>
      <c r="R35" s="771" t="s">
        <v>17</v>
      </c>
      <c r="S35" s="772">
        <f t="shared" si="12"/>
        <v>100</v>
      </c>
      <c r="T35" s="771" t="s">
        <v>17</v>
      </c>
      <c r="U35" s="772">
        <f t="shared" si="13"/>
        <v>100</v>
      </c>
      <c r="V35" s="771" t="s">
        <v>17</v>
      </c>
      <c r="W35" s="772">
        <f t="shared" si="14"/>
        <v>100</v>
      </c>
      <c r="X35" s="1808"/>
      <c r="Y35" s="3190"/>
      <c r="Z35" s="1809" t="str">
        <f t="shared" si="15"/>
        <v>公共部分装修</v>
      </c>
      <c r="AA35" s="1806">
        <f t="shared" si="3"/>
        <v>1</v>
      </c>
      <c r="AB35" s="1806">
        <f t="shared" si="4"/>
        <v>1</v>
      </c>
      <c r="AC35" s="1806">
        <f t="shared" si="5"/>
        <v>1</v>
      </c>
    </row>
    <row r="36" spans="1:29" ht="15">
      <c r="A36" s="469"/>
      <c r="B36" s="419" t="s">
        <v>2646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28"/>
      <c r="Q36" s="1805" t="str">
        <f t="shared" si="11"/>
        <v>成新度</v>
      </c>
      <c r="R36" s="771" t="s">
        <v>17</v>
      </c>
      <c r="S36" s="772" t="e">
        <f t="shared" si="12"/>
        <v>#N/A</v>
      </c>
      <c r="T36" s="771" t="s">
        <v>17</v>
      </c>
      <c r="U36" s="772" t="e">
        <f t="shared" si="13"/>
        <v>#N/A</v>
      </c>
      <c r="V36" s="771" t="s">
        <v>17</v>
      </c>
      <c r="W36" s="772" t="e">
        <f t="shared" si="14"/>
        <v>#N/A</v>
      </c>
      <c r="X36" s="1808"/>
      <c r="Y36" s="3190"/>
      <c r="Z36" s="1809" t="str">
        <f t="shared" si="15"/>
        <v>成新度</v>
      </c>
      <c r="AA36" s="1806" t="e">
        <f t="shared" si="3"/>
        <v>#N/A</v>
      </c>
      <c r="AB36" s="1806" t="e">
        <f t="shared" si="4"/>
        <v>#N/A</v>
      </c>
      <c r="AC36" s="1806" t="e">
        <f t="shared" si="5"/>
        <v>#N/A</v>
      </c>
    </row>
    <row r="37" spans="1:29" s="115" customFormat="1" ht="15">
      <c r="A37" s="470"/>
      <c r="B37" s="419" t="s">
        <v>2647</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28"/>
      <c r="Q37" s="1790" t="str">
        <f t="shared" si="11"/>
        <v>市政基础设施</v>
      </c>
      <c r="R37" s="767" t="s">
        <v>17</v>
      </c>
      <c r="S37" s="768">
        <f t="shared" si="12"/>
        <v>100</v>
      </c>
      <c r="T37" s="767" t="s">
        <v>17</v>
      </c>
      <c r="U37" s="768">
        <f t="shared" si="13"/>
        <v>100</v>
      </c>
      <c r="V37" s="767" t="s">
        <v>17</v>
      </c>
      <c r="W37" s="768">
        <f t="shared" si="14"/>
        <v>100</v>
      </c>
      <c r="X37" s="769"/>
      <c r="Y37" s="3190"/>
      <c r="Z37" s="55" t="str">
        <f t="shared" si="15"/>
        <v>市政基础设施</v>
      </c>
      <c r="AA37" s="770">
        <f t="shared" si="3"/>
        <v>1</v>
      </c>
      <c r="AB37" s="770">
        <f t="shared" si="4"/>
        <v>1</v>
      </c>
      <c r="AC37" s="770">
        <f t="shared" si="5"/>
        <v>1</v>
      </c>
    </row>
    <row r="38" spans="1:29" ht="15">
      <c r="A38" s="469"/>
      <c r="B38" s="419" t="s">
        <v>2648</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28" t="s">
        <v>2549</v>
      </c>
      <c r="Q38" s="1805" t="str">
        <f t="shared" si="11"/>
        <v>业态</v>
      </c>
      <c r="R38" s="771" t="s">
        <v>17</v>
      </c>
      <c r="S38" s="772">
        <f t="shared" si="12"/>
        <v>100</v>
      </c>
      <c r="T38" s="771" t="s">
        <v>17</v>
      </c>
      <c r="U38" s="772">
        <f t="shared" si="13"/>
        <v>100</v>
      </c>
      <c r="V38" s="771" t="s">
        <v>17</v>
      </c>
      <c r="W38" s="772">
        <f t="shared" si="14"/>
        <v>100</v>
      </c>
      <c r="X38" s="1808"/>
      <c r="Y38" s="3190" t="s">
        <v>2549</v>
      </c>
      <c r="Z38" s="1809" t="str">
        <f t="shared" si="15"/>
        <v>业态</v>
      </c>
      <c r="AA38" s="1806">
        <f t="shared" si="3"/>
        <v>1</v>
      </c>
      <c r="AB38" s="1806">
        <f t="shared" si="4"/>
        <v>1</v>
      </c>
      <c r="AC38" s="1806">
        <f t="shared" si="5"/>
        <v>1</v>
      </c>
    </row>
    <row r="39" spans="1:29" ht="15">
      <c r="A39" s="469"/>
      <c r="B39" s="419" t="s">
        <v>2649</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28"/>
      <c r="Q39" s="1805" t="str">
        <f t="shared" si="11"/>
        <v>层高</v>
      </c>
      <c r="R39" s="771" t="s">
        <v>17</v>
      </c>
      <c r="S39" s="772">
        <f t="shared" si="12"/>
        <v>100</v>
      </c>
      <c r="T39" s="771" t="s">
        <v>17</v>
      </c>
      <c r="U39" s="772">
        <f t="shared" si="13"/>
        <v>100</v>
      </c>
      <c r="V39" s="771" t="s">
        <v>17</v>
      </c>
      <c r="W39" s="772">
        <f t="shared" si="14"/>
        <v>100</v>
      </c>
      <c r="X39" s="1808"/>
      <c r="Y39" s="3190"/>
      <c r="Z39" s="1809" t="str">
        <f t="shared" si="15"/>
        <v>层高</v>
      </c>
      <c r="AA39" s="1806">
        <f t="shared" si="3"/>
        <v>1</v>
      </c>
      <c r="AB39" s="1806">
        <f t="shared" si="4"/>
        <v>1</v>
      </c>
      <c r="AC39" s="1806">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28"/>
      <c r="Q40" s="1805" t="str">
        <f t="shared" si="11"/>
        <v>单套建筑面积</v>
      </c>
      <c r="R40" s="771" t="s">
        <v>17</v>
      </c>
      <c r="S40" s="772">
        <f t="shared" si="12"/>
        <v>100</v>
      </c>
      <c r="T40" s="771" t="s">
        <v>17</v>
      </c>
      <c r="U40" s="772">
        <f t="shared" si="13"/>
        <v>100</v>
      </c>
      <c r="V40" s="771" t="s">
        <v>17</v>
      </c>
      <c r="W40" s="772">
        <f t="shared" si="14"/>
        <v>100</v>
      </c>
      <c r="X40" s="1808"/>
      <c r="Y40" s="3190"/>
      <c r="Z40" s="1809" t="str">
        <f t="shared" si="15"/>
        <v>单套建筑面积</v>
      </c>
      <c r="AA40" s="1806">
        <f t="shared" si="3"/>
        <v>1</v>
      </c>
      <c r="AB40" s="1806">
        <f t="shared" si="4"/>
        <v>1</v>
      </c>
      <c r="AC40" s="1806">
        <f t="shared" si="5"/>
        <v>1</v>
      </c>
    </row>
    <row r="41" spans="1:29" s="468" customFormat="1" ht="15">
      <c r="A41" s="465"/>
      <c r="B41" s="1807" t="s">
        <v>2651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28"/>
      <c r="Q41" s="773" t="str">
        <f t="shared" si="11"/>
        <v>进深比</v>
      </c>
      <c r="R41" s="774" t="s">
        <v>17</v>
      </c>
      <c r="S41" s="775">
        <f t="shared" si="12"/>
        <v>100</v>
      </c>
      <c r="T41" s="774" t="s">
        <v>17</v>
      </c>
      <c r="U41" s="775">
        <f t="shared" si="13"/>
        <v>100</v>
      </c>
      <c r="V41" s="774" t="s">
        <v>17</v>
      </c>
      <c r="W41" s="775">
        <f t="shared" si="14"/>
        <v>100</v>
      </c>
      <c r="X41" s="776"/>
      <c r="Y41" s="3190"/>
      <c r="Z41" s="777" t="str">
        <f t="shared" si="15"/>
        <v>进深比</v>
      </c>
      <c r="AA41" s="1806">
        <f t="shared" si="3"/>
        <v>1</v>
      </c>
      <c r="AB41" s="1806">
        <f t="shared" si="4"/>
        <v>1</v>
      </c>
      <c r="AC41" s="1806">
        <f t="shared" si="5"/>
        <v>1</v>
      </c>
    </row>
    <row r="42" spans="1:29" ht="15">
      <c r="A42" s="469"/>
      <c r="B42" s="419" t="s">
        <v>2652</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28"/>
      <c r="Q42" s="1805" t="str">
        <f t="shared" si="11"/>
        <v>内部装修</v>
      </c>
      <c r="R42" s="771" t="s">
        <v>17</v>
      </c>
      <c r="S42" s="772">
        <f t="shared" si="12"/>
        <v>100</v>
      </c>
      <c r="T42" s="771" t="s">
        <v>17</v>
      </c>
      <c r="U42" s="772">
        <f t="shared" si="13"/>
        <v>100</v>
      </c>
      <c r="V42" s="771" t="s">
        <v>17</v>
      </c>
      <c r="W42" s="772">
        <f t="shared" si="14"/>
        <v>100</v>
      </c>
      <c r="X42" s="1808"/>
      <c r="Y42" s="3190"/>
      <c r="Z42" s="1809" t="str">
        <f t="shared" si="15"/>
        <v>内部装修</v>
      </c>
      <c r="AA42" s="1806">
        <f t="shared" si="3"/>
        <v>1</v>
      </c>
      <c r="AB42" s="1806">
        <f t="shared" si="4"/>
        <v>1</v>
      </c>
      <c r="AC42" s="1806">
        <f t="shared" si="5"/>
        <v>1</v>
      </c>
    </row>
    <row r="43" spans="1:29" ht="15">
      <c r="A43" s="469"/>
      <c r="B43" s="419" t="s">
        <v>2560</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28"/>
      <c r="Q43" s="1805" t="str">
        <f t="shared" si="11"/>
        <v>内部装修维护情况</v>
      </c>
      <c r="R43" s="771" t="s">
        <v>17</v>
      </c>
      <c r="S43" s="772">
        <f t="shared" si="12"/>
        <v>100</v>
      </c>
      <c r="T43" s="771" t="s">
        <v>17</v>
      </c>
      <c r="U43" s="772">
        <f t="shared" si="13"/>
        <v>100</v>
      </c>
      <c r="V43" s="771" t="s">
        <v>17</v>
      </c>
      <c r="W43" s="772">
        <f t="shared" si="14"/>
        <v>100</v>
      </c>
      <c r="X43" s="1808"/>
      <c r="Y43" s="3190"/>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28"/>
      <c r="Q44" s="1790">
        <f t="shared" si="11"/>
        <v>111</v>
      </c>
      <c r="R44" s="767" t="s">
        <v>17</v>
      </c>
      <c r="S44" s="768">
        <f t="shared" si="12"/>
        <v>100</v>
      </c>
      <c r="T44" s="767" t="s">
        <v>17</v>
      </c>
      <c r="U44" s="768">
        <f t="shared" si="13"/>
        <v>100</v>
      </c>
      <c r="V44" s="767" t="s">
        <v>17</v>
      </c>
      <c r="W44" s="768">
        <f t="shared" si="14"/>
        <v>100</v>
      </c>
      <c r="X44" s="769"/>
      <c r="Y44" s="3190"/>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28"/>
      <c r="Q45" s="1805">
        <f t="shared" si="11"/>
        <v>111</v>
      </c>
      <c r="R45" s="771" t="s">
        <v>17</v>
      </c>
      <c r="S45" s="772">
        <f t="shared" si="12"/>
        <v>100</v>
      </c>
      <c r="T45" s="771" t="s">
        <v>17</v>
      </c>
      <c r="U45" s="772">
        <f t="shared" si="13"/>
        <v>100</v>
      </c>
      <c r="V45" s="771" t="s">
        <v>17</v>
      </c>
      <c r="W45" s="772">
        <f t="shared" si="14"/>
        <v>100</v>
      </c>
      <c r="X45" s="1808"/>
      <c r="Y45" s="3190"/>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29"/>
      <c r="Q46" s="1805">
        <f t="shared" si="11"/>
        <v>111</v>
      </c>
      <c r="R46" s="771" t="s">
        <v>17</v>
      </c>
      <c r="S46" s="772">
        <f t="shared" si="12"/>
        <v>100</v>
      </c>
      <c r="T46" s="771" t="s">
        <v>17</v>
      </c>
      <c r="U46" s="772">
        <f t="shared" si="13"/>
        <v>100</v>
      </c>
      <c r="V46" s="771" t="s">
        <v>17</v>
      </c>
      <c r="W46" s="772">
        <f t="shared" si="14"/>
        <v>100</v>
      </c>
      <c r="X46" s="1808"/>
      <c r="Y46" s="3230"/>
      <c r="Z46" s="1809">
        <f t="shared" si="15"/>
        <v>111</v>
      </c>
      <c r="AA46" s="1806">
        <f t="shared" si="3"/>
        <v>1</v>
      </c>
      <c r="AB46" s="1806">
        <f t="shared" si="4"/>
        <v>1</v>
      </c>
      <c r="AC46" s="1806">
        <f t="shared" si="5"/>
        <v>1</v>
      </c>
    </row>
    <row r="47" spans="1:29" ht="15">
      <c r="A47" s="476" t="s">
        <v>2561</v>
      </c>
      <c r="B47" s="477"/>
      <c r="C47" s="1403" t="s">
        <v>1</v>
      </c>
      <c r="D47" s="1404"/>
      <c r="E47" s="1405"/>
      <c r="F47" s="1406"/>
      <c r="G47" s="1407"/>
      <c r="H47" s="1408"/>
      <c r="I47" s="1405"/>
      <c r="J47" s="1408"/>
      <c r="K47" s="780"/>
      <c r="L47" s="1139"/>
      <c r="M47" s="1140"/>
      <c r="N47" s="1127"/>
      <c r="O47" s="1140"/>
      <c r="P47" s="3185" t="str">
        <f>A47</f>
        <v>成交单价（元/平方米）</v>
      </c>
      <c r="Q47" s="3185"/>
      <c r="R47" s="3191">
        <f>E47</f>
        <v>0</v>
      </c>
      <c r="S47" s="3191"/>
      <c r="T47" s="3191">
        <f>G47</f>
        <v>0</v>
      </c>
      <c r="U47" s="3191"/>
      <c r="V47" s="3191">
        <f>I47</f>
        <v>0</v>
      </c>
      <c r="W47" s="3191"/>
      <c r="X47" s="756"/>
      <c r="Y47" s="778"/>
      <c r="Z47" s="756"/>
      <c r="AA47" s="756"/>
      <c r="AB47" s="756"/>
      <c r="AC47" s="756"/>
    </row>
    <row r="48" spans="1:29" ht="15.75" thickBot="1">
      <c r="A48" s="483" t="s">
        <v>2653</v>
      </c>
      <c r="B48" s="484"/>
      <c r="C48" s="1409" t="e">
        <f>R49</f>
        <v>#DIV/0!</v>
      </c>
      <c r="D48" s="1410"/>
      <c r="E48" s="1411" t="e">
        <f>R48</f>
        <v>#DIV/0!</v>
      </c>
      <c r="F48" s="1411"/>
      <c r="G48" s="1409" t="e">
        <f>T48</f>
        <v>#DIV/0!</v>
      </c>
      <c r="H48" s="1410"/>
      <c r="I48" s="1411" t="e">
        <f>V48</f>
        <v>#DIV/0!</v>
      </c>
      <c r="J48" s="1410"/>
      <c r="K48" s="781"/>
      <c r="L48" s="1139"/>
      <c r="M48" s="1140"/>
      <c r="N48" s="1127"/>
      <c r="O48" s="1140"/>
      <c r="P48" s="3185" t="str">
        <f>A48</f>
        <v>比较价值（元/平方米）</v>
      </c>
      <c r="Q48" s="3185"/>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6"/>
      <c r="Y48" s="756"/>
      <c r="Z48" s="756"/>
      <c r="AA48" s="756"/>
      <c r="AB48" s="756"/>
      <c r="AC48" s="756"/>
    </row>
    <row r="49" spans="1:29" ht="15.75" thickBot="1">
      <c r="A49" s="489" t="s">
        <v>2654</v>
      </c>
      <c r="B49" s="490"/>
      <c r="C49" s="1413" t="e">
        <f>R49</f>
        <v>#DIV/0!</v>
      </c>
      <c r="D49" s="1413"/>
      <c r="E49" s="1413"/>
      <c r="F49" s="1413"/>
      <c r="G49" s="1413"/>
      <c r="H49" s="1413"/>
      <c r="I49" s="1413"/>
      <c r="J49" s="1413"/>
      <c r="K49" s="782"/>
      <c r="L49" s="1139"/>
      <c r="M49" s="1140"/>
      <c r="N49" s="1127"/>
      <c r="O49" s="1140"/>
      <c r="P49" s="3179" t="str">
        <f>A49</f>
        <v>估价对象XX用房的比较价值（楼面单价，元/平方米）</v>
      </c>
      <c r="Q49" s="3180"/>
      <c r="R49" s="3232" t="e">
        <f>IF(F1="售价",ROUND(AVERAGE(R48:V48),0),ROUND(AVERAGE(R48:V48),1))</f>
        <v>#DIV/0!</v>
      </c>
      <c r="S49" s="3232"/>
      <c r="T49" s="3232"/>
      <c r="U49" s="3232"/>
      <c r="V49" s="3232"/>
      <c r="W49" s="3232"/>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2658</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2532</v>
      </c>
      <c r="B58" s="503"/>
      <c r="C58" s="1569" t="str">
        <f>YEAR(C7)&amp;"-"&amp;MONTH(C7)</f>
        <v>2018-11</v>
      </c>
      <c r="D58" s="1570">
        <f>EDATE(C58,-1)</f>
        <v>43374</v>
      </c>
      <c r="E58" s="1570">
        <f t="shared" ref="E58:N58" si="16">EDATE(D58,-1)</f>
        <v>43344</v>
      </c>
      <c r="F58" s="1570">
        <f t="shared" si="16"/>
        <v>43313</v>
      </c>
      <c r="G58" s="1570">
        <f t="shared" si="16"/>
        <v>43282</v>
      </c>
      <c r="H58" s="1570">
        <f t="shared" si="16"/>
        <v>43252</v>
      </c>
      <c r="I58" s="1570">
        <f t="shared" si="16"/>
        <v>43221</v>
      </c>
      <c r="J58" s="1570">
        <f t="shared" si="16"/>
        <v>43191</v>
      </c>
      <c r="K58" s="1570">
        <f t="shared" si="16"/>
        <v>43160</v>
      </c>
      <c r="L58" s="1570">
        <f t="shared" si="16"/>
        <v>43132</v>
      </c>
      <c r="M58" s="1570">
        <f t="shared" si="16"/>
        <v>43101</v>
      </c>
      <c r="N58" s="1570">
        <f t="shared" si="16"/>
        <v>43070</v>
      </c>
      <c r="O58" s="1570">
        <f>EDATE(N58,-1)</f>
        <v>43040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2636</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2639</v>
      </c>
      <c r="C82" s="657" t="s">
        <v>2659</v>
      </c>
      <c r="D82" s="657" t="s">
        <v>2660</v>
      </c>
      <c r="E82" s="657" t="s">
        <v>2661</v>
      </c>
      <c r="F82" s="657" t="s">
        <v>2662</v>
      </c>
      <c r="G82" s="657" t="s">
        <v>2663</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2547</v>
      </c>
      <c r="B100" s="525" t="s">
        <v>2665</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2598</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2600</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2602</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2668</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2669</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2604</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2670</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IF(C2="——",ROUND(C50*D3/10000,0),ROUND(C50*D3/10000,0)-D2)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IF(C2="——",C50,ROUND(B2*10000/D3,0))</f>
        <v>#DIV/0!</v>
      </c>
      <c r="C3" s="397" t="s">
        <v>2628</v>
      </c>
      <c r="D3" s="396">
        <f>IF(D1="",'数据-汇总表'!E3,SUMIF('数据-汇总表'!$C19:$C33,D1,'数据-汇总表'!$E19:$E33))</f>
        <v>59366.369999999995</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267" t="s">
        <v>2635</v>
      </c>
      <c r="Q4" s="3268"/>
      <c r="R4" s="3271" t="s">
        <v>2631</v>
      </c>
      <c r="S4" s="3272"/>
      <c r="T4" s="3271" t="s">
        <v>2632</v>
      </c>
      <c r="U4" s="3272"/>
      <c r="V4" s="3273" t="s">
        <v>2633</v>
      </c>
      <c r="W4" s="3273"/>
      <c r="X4" s="2666"/>
      <c r="Y4" s="3271" t="s">
        <v>2635</v>
      </c>
      <c r="Z4" s="3272"/>
      <c r="AA4" s="3275" t="s">
        <v>2631</v>
      </c>
      <c r="AB4" s="3275" t="s">
        <v>2632</v>
      </c>
      <c r="AC4" s="3264" t="s">
        <v>2633</v>
      </c>
    </row>
    <row r="5" spans="1:29" ht="15">
      <c r="A5" s="401"/>
      <c r="B5" s="402"/>
      <c r="C5" s="3222" t="s">
        <v>2526</v>
      </c>
      <c r="D5" s="3213"/>
      <c r="E5" s="3260" t="s">
        <v>2527</v>
      </c>
      <c r="F5" s="3221"/>
      <c r="G5" s="3222" t="s">
        <v>2528</v>
      </c>
      <c r="H5" s="3213"/>
      <c r="I5" s="3222" t="s">
        <v>2529</v>
      </c>
      <c r="J5" s="3213"/>
      <c r="K5" s="607"/>
      <c r="L5" s="1126"/>
      <c r="M5" s="1127"/>
      <c r="N5" s="1127"/>
      <c r="O5" s="1127"/>
      <c r="P5" s="3269"/>
      <c r="Q5" s="3201"/>
      <c r="R5" s="3206"/>
      <c r="S5" s="3207"/>
      <c r="T5" s="3206"/>
      <c r="U5" s="3207"/>
      <c r="V5" s="3191"/>
      <c r="W5" s="3191"/>
      <c r="X5" s="1808"/>
      <c r="Y5" s="3206"/>
      <c r="Z5" s="3207"/>
      <c r="AA5" s="3193"/>
      <c r="AB5" s="3193"/>
      <c r="AC5" s="3265"/>
    </row>
    <row r="6" spans="1:29" ht="15.75" thickBot="1">
      <c r="A6" s="403"/>
      <c r="B6" s="404"/>
      <c r="C6" s="3210" t="s">
        <v>2530</v>
      </c>
      <c r="D6" s="3211"/>
      <c r="E6" s="3218" t="s">
        <v>2530</v>
      </c>
      <c r="F6" s="3219"/>
      <c r="G6" s="3210" t="s">
        <v>2530</v>
      </c>
      <c r="H6" s="3211"/>
      <c r="I6" s="3210" t="s">
        <v>2530</v>
      </c>
      <c r="J6" s="3211"/>
      <c r="K6" s="607" t="s">
        <v>2531</v>
      </c>
      <c r="L6" s="1126"/>
      <c r="M6" s="1127"/>
      <c r="N6" s="1127"/>
      <c r="O6" s="1127"/>
      <c r="P6" s="3270"/>
      <c r="Q6" s="3203"/>
      <c r="R6" s="3206"/>
      <c r="S6" s="3207"/>
      <c r="T6" s="3208"/>
      <c r="U6" s="3209"/>
      <c r="V6" s="3191"/>
      <c r="W6" s="3191"/>
      <c r="X6" s="1808"/>
      <c r="Y6" s="3208"/>
      <c r="Z6" s="3209"/>
      <c r="AA6" s="3194"/>
      <c r="AB6" s="3194"/>
      <c r="AC6" s="3266"/>
    </row>
    <row r="7" spans="1:29" s="115" customFormat="1" ht="15.75" thickBot="1">
      <c r="A7" s="405" t="s">
        <v>2532</v>
      </c>
      <c r="B7" s="406"/>
      <c r="C7" s="407">
        <f>'数据-取费表'!B2</f>
        <v>43433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4" t="s">
        <v>2533</v>
      </c>
      <c r="Q7" s="3216"/>
      <c r="R7" s="767" t="s">
        <v>17</v>
      </c>
      <c r="S7" s="768">
        <f t="shared" ref="S7:S15" si="0">F7</f>
        <v>0</v>
      </c>
      <c r="T7" s="767" t="s">
        <v>17</v>
      </c>
      <c r="U7" s="768">
        <f t="shared" ref="U7:U15" si="1">H7</f>
        <v>0</v>
      </c>
      <c r="V7" s="767" t="s">
        <v>17</v>
      </c>
      <c r="W7" s="768">
        <f t="shared" ref="W7:W15" si="2">J7</f>
        <v>0</v>
      </c>
      <c r="X7" s="769"/>
      <c r="Y7" s="3214" t="s">
        <v>2533</v>
      </c>
      <c r="Z7" s="3215"/>
      <c r="AA7" s="770" t="e">
        <f>D7/F7</f>
        <v>#DIV/0!</v>
      </c>
      <c r="AB7" s="770" t="e">
        <f>D7/H7</f>
        <v>#DIV/0!</v>
      </c>
      <c r="AC7" s="2667" t="e">
        <f>D7/J7</f>
        <v>#DIV/0!</v>
      </c>
    </row>
    <row r="8" spans="1:29" s="115" customFormat="1" ht="15.75" thickBot="1">
      <c r="A8" s="405" t="s">
        <v>2534</v>
      </c>
      <c r="B8" s="406"/>
      <c r="C8" s="411" t="s">
        <v>2636</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4" t="s">
        <v>2536</v>
      </c>
      <c r="Q8" s="3215"/>
      <c r="R8" s="767" t="s">
        <v>17</v>
      </c>
      <c r="S8" s="768">
        <f t="shared" si="0"/>
        <v>0</v>
      </c>
      <c r="T8" s="767" t="s">
        <v>17</v>
      </c>
      <c r="U8" s="768">
        <f t="shared" si="1"/>
        <v>0</v>
      </c>
      <c r="V8" s="767" t="s">
        <v>17</v>
      </c>
      <c r="W8" s="768">
        <f t="shared" si="2"/>
        <v>0</v>
      </c>
      <c r="X8" s="769"/>
      <c r="Y8" s="3214" t="s">
        <v>2536</v>
      </c>
      <c r="Z8" s="3215"/>
      <c r="AA8" s="770" t="e">
        <f t="shared" ref="AA8:AA47" si="3">D8/F8</f>
        <v>#DIV/0!</v>
      </c>
      <c r="AB8" s="770" t="e">
        <f t="shared" ref="AB8:AB47" si="4">D8/H8</f>
        <v>#DIV/0!</v>
      </c>
      <c r="AC8" s="2667" t="e">
        <f t="shared" ref="AC8:AC47" si="5">D8/J8</f>
        <v>#DIV/0!</v>
      </c>
    </row>
    <row r="9" spans="1:29" s="115" customFormat="1">
      <c r="A9" s="412" t="s">
        <v>2537</v>
      </c>
      <c r="B9" s="71" t="s">
        <v>2538</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84"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2667">
        <f t="shared" si="5"/>
        <v>1</v>
      </c>
    </row>
    <row r="10" spans="1:29" s="424" customFormat="1" ht="27">
      <c r="A10" s="418"/>
      <c r="B10" s="419" t="s">
        <v>2541</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84"/>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2667">
        <f t="shared" si="5"/>
        <v>1</v>
      </c>
    </row>
    <row r="11" spans="1:29" ht="15">
      <c r="A11" s="425"/>
      <c r="B11" s="419" t="s">
        <v>2542</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84"/>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184"/>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184"/>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184"/>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2667">
        <f t="shared" si="5"/>
        <v>1</v>
      </c>
    </row>
    <row r="15" spans="1:29" ht="15">
      <c r="A15" s="437" t="s">
        <v>2543</v>
      </c>
      <c r="B15" s="626" t="s">
        <v>2671</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5" t="s">
        <v>2544</v>
      </c>
      <c r="Q15" s="1805" t="str">
        <f t="shared" si="6"/>
        <v>办公集聚程度</v>
      </c>
      <c r="R15" s="771" t="s">
        <v>17</v>
      </c>
      <c r="S15" s="772">
        <f t="shared" si="0"/>
        <v>100</v>
      </c>
      <c r="T15" s="771" t="s">
        <v>17</v>
      </c>
      <c r="U15" s="772">
        <f t="shared" si="1"/>
        <v>100</v>
      </c>
      <c r="V15" s="771" t="s">
        <v>17</v>
      </c>
      <c r="W15" s="772">
        <f t="shared" si="2"/>
        <v>100</v>
      </c>
      <c r="X15" s="1808"/>
      <c r="Y15" s="3187" t="s">
        <v>2544</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26"/>
      <c r="Q16" s="1805"/>
      <c r="R16" s="771"/>
      <c r="S16" s="772"/>
      <c r="T16" s="771"/>
      <c r="U16" s="772"/>
      <c r="V16" s="771"/>
      <c r="W16" s="772"/>
      <c r="X16" s="1808"/>
      <c r="Y16" s="3188"/>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26"/>
      <c r="Q17" s="1805" t="str">
        <f>B17</f>
        <v>交通便捷度</v>
      </c>
      <c r="R17" s="771" t="s">
        <v>17</v>
      </c>
      <c r="S17" s="772">
        <f>F17</f>
        <v>100</v>
      </c>
      <c r="T17" s="771" t="s">
        <v>17</v>
      </c>
      <c r="U17" s="772">
        <f>H17</f>
        <v>100</v>
      </c>
      <c r="V17" s="771" t="s">
        <v>17</v>
      </c>
      <c r="W17" s="772">
        <f>J17</f>
        <v>100</v>
      </c>
      <c r="X17" s="1808"/>
      <c r="Y17" s="3188"/>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26"/>
      <c r="Q18" s="1805"/>
      <c r="R18" s="771"/>
      <c r="S18" s="772"/>
      <c r="T18" s="771"/>
      <c r="U18" s="772"/>
      <c r="V18" s="771"/>
      <c r="W18" s="772"/>
      <c r="X18" s="1808"/>
      <c r="Y18" s="3188"/>
      <c r="Z18" s="1809"/>
      <c r="AA18" s="1806">
        <v>1</v>
      </c>
      <c r="AB18" s="1806">
        <v>1</v>
      </c>
      <c r="AC18" s="2670">
        <v>1</v>
      </c>
    </row>
    <row r="19" spans="1:29" ht="15">
      <c r="A19" s="425"/>
      <c r="B19" s="628" t="s">
        <v>2672</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26"/>
      <c r="Q19" s="1805" t="str">
        <f>B19</f>
        <v>公共配套设施</v>
      </c>
      <c r="R19" s="771" t="s">
        <v>17</v>
      </c>
      <c r="S19" s="772">
        <f>F19</f>
        <v>100</v>
      </c>
      <c r="T19" s="771" t="s">
        <v>17</v>
      </c>
      <c r="U19" s="772">
        <f>H19</f>
        <v>100</v>
      </c>
      <c r="V19" s="771" t="s">
        <v>17</v>
      </c>
      <c r="W19" s="772">
        <f>J19</f>
        <v>100</v>
      </c>
      <c r="X19" s="1808"/>
      <c r="Y19" s="3188"/>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26"/>
      <c r="Q20" s="1805"/>
      <c r="R20" s="771"/>
      <c r="S20" s="772"/>
      <c r="T20" s="771"/>
      <c r="U20" s="772"/>
      <c r="V20" s="771"/>
      <c r="W20" s="772"/>
      <c r="X20" s="1808"/>
      <c r="Y20" s="3188"/>
      <c r="Z20" s="1809"/>
      <c r="AA20" s="1806">
        <v>1</v>
      </c>
      <c r="AB20" s="1806">
        <v>1</v>
      </c>
      <c r="AC20" s="2670">
        <v>1</v>
      </c>
    </row>
    <row r="21" spans="1:29" ht="15">
      <c r="A21" s="425"/>
      <c r="B21" s="630" t="s">
        <v>2673</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26"/>
      <c r="Q21" s="1805" t="str">
        <f>B21</f>
        <v>基础设施水平</v>
      </c>
      <c r="R21" s="771" t="s">
        <v>17</v>
      </c>
      <c r="S21" s="772">
        <f>F21</f>
        <v>100</v>
      </c>
      <c r="T21" s="771" t="s">
        <v>17</v>
      </c>
      <c r="U21" s="772">
        <f>H21</f>
        <v>100</v>
      </c>
      <c r="V21" s="771" t="s">
        <v>17</v>
      </c>
      <c r="W21" s="772">
        <f>J21</f>
        <v>100</v>
      </c>
      <c r="X21" s="1808"/>
      <c r="Y21" s="3188"/>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26"/>
      <c r="Q22" s="1805"/>
      <c r="R22" s="771"/>
      <c r="S22" s="772"/>
      <c r="T22" s="771"/>
      <c r="U22" s="772"/>
      <c r="V22" s="771"/>
      <c r="W22" s="772"/>
      <c r="X22" s="1808"/>
      <c r="Y22" s="3188"/>
      <c r="Z22" s="1809"/>
      <c r="AA22" s="1806">
        <v>1</v>
      </c>
      <c r="AB22" s="1806">
        <v>1</v>
      </c>
      <c r="AC22" s="2670">
        <v>1</v>
      </c>
    </row>
    <row r="23" spans="1:29" ht="15">
      <c r="A23" s="425"/>
      <c r="B23" s="628" t="s">
        <v>2674</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26"/>
      <c r="Q23" s="1805" t="str">
        <f>B23</f>
        <v>环境质量</v>
      </c>
      <c r="R23" s="771" t="s">
        <v>17</v>
      </c>
      <c r="S23" s="772">
        <f>F23</f>
        <v>100</v>
      </c>
      <c r="T23" s="771" t="s">
        <v>17</v>
      </c>
      <c r="U23" s="772">
        <f>H23</f>
        <v>100</v>
      </c>
      <c r="V23" s="771" t="s">
        <v>17</v>
      </c>
      <c r="W23" s="772">
        <f>J23</f>
        <v>100</v>
      </c>
      <c r="X23" s="1808"/>
      <c r="Y23" s="3188"/>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26"/>
      <c r="Q24" s="1805"/>
      <c r="R24" s="771"/>
      <c r="S24" s="772"/>
      <c r="T24" s="771"/>
      <c r="U24" s="772"/>
      <c r="V24" s="771"/>
      <c r="W24" s="772"/>
      <c r="X24" s="1808"/>
      <c r="Y24" s="3188"/>
      <c r="Z24" s="1809"/>
      <c r="AA24" s="1806">
        <v>1</v>
      </c>
      <c r="AB24" s="1806">
        <v>1</v>
      </c>
      <c r="AC24" s="2670">
        <v>1</v>
      </c>
    </row>
    <row r="25" spans="1:29" ht="27">
      <c r="A25" s="401"/>
      <c r="B25" s="628" t="s">
        <v>2675</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26"/>
      <c r="Q25" s="1805" t="str">
        <f>B25</f>
        <v>毗邻道路的类型与等级</v>
      </c>
      <c r="R25" s="771" t="s">
        <v>17</v>
      </c>
      <c r="S25" s="772">
        <f>F25</f>
        <v>100</v>
      </c>
      <c r="T25" s="771" t="s">
        <v>17</v>
      </c>
      <c r="U25" s="772">
        <f>H25</f>
        <v>100</v>
      </c>
      <c r="V25" s="771" t="s">
        <v>17</v>
      </c>
      <c r="W25" s="772">
        <f>J25</f>
        <v>100</v>
      </c>
      <c r="X25" s="1808"/>
      <c r="Y25" s="3188"/>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26"/>
      <c r="Q26" s="1805"/>
      <c r="R26" s="771"/>
      <c r="S26" s="772"/>
      <c r="T26" s="771"/>
      <c r="U26" s="772"/>
      <c r="V26" s="771"/>
      <c r="W26" s="772"/>
      <c r="X26" s="1808"/>
      <c r="Y26" s="3188"/>
      <c r="Z26" s="1809"/>
      <c r="AA26" s="1806">
        <v>1</v>
      </c>
      <c r="AB26" s="1806">
        <v>1</v>
      </c>
      <c r="AC26" s="2670">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26"/>
      <c r="Q27" s="1805" t="str">
        <f t="shared" ref="Q27:Q47" si="11">B27</f>
        <v>楼层</v>
      </c>
      <c r="R27" s="771" t="s">
        <v>17</v>
      </c>
      <c r="S27" s="772">
        <f>F27</f>
        <v>100</v>
      </c>
      <c r="T27" s="771" t="s">
        <v>17</v>
      </c>
      <c r="U27" s="772">
        <f>H27</f>
        <v>100</v>
      </c>
      <c r="V27" s="771" t="s">
        <v>17</v>
      </c>
      <c r="W27" s="772">
        <f>J27</f>
        <v>100</v>
      </c>
      <c r="X27" s="1808"/>
      <c r="Y27" s="3188"/>
      <c r="Z27" s="1809" t="str">
        <f>Q27</f>
        <v>楼层</v>
      </c>
      <c r="AA27" s="1806">
        <f t="shared" si="3"/>
        <v>1</v>
      </c>
      <c r="AB27" s="1806">
        <f t="shared" si="4"/>
        <v>1</v>
      </c>
      <c r="AC27" s="2670">
        <f t="shared" si="5"/>
        <v>1</v>
      </c>
    </row>
    <row r="28" spans="1:29" s="115" customFormat="1" ht="15">
      <c r="A28" s="428"/>
      <c r="B28" s="628" t="s">
        <v>2676</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26"/>
      <c r="Q28" s="1790" t="str">
        <f t="shared" si="11"/>
        <v>朝向</v>
      </c>
      <c r="R28" s="767" t="s">
        <v>17</v>
      </c>
      <c r="S28" s="768">
        <f>F28</f>
        <v>100</v>
      </c>
      <c r="T28" s="767" t="s">
        <v>17</v>
      </c>
      <c r="U28" s="768">
        <f>H28</f>
        <v>100</v>
      </c>
      <c r="V28" s="767" t="s">
        <v>17</v>
      </c>
      <c r="W28" s="768">
        <f>J28</f>
        <v>100</v>
      </c>
      <c r="X28" s="769"/>
      <c r="Y28" s="3188"/>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26"/>
      <c r="Q29" s="1805">
        <f t="shared" si="11"/>
        <v>111</v>
      </c>
      <c r="R29" s="771" t="s">
        <v>17</v>
      </c>
      <c r="S29" s="772">
        <f t="shared" ref="S29:S47" si="12">F29</f>
        <v>100</v>
      </c>
      <c r="T29" s="771" t="s">
        <v>17</v>
      </c>
      <c r="U29" s="772">
        <f t="shared" ref="U29:U47" si="13">H29</f>
        <v>100</v>
      </c>
      <c r="V29" s="771" t="s">
        <v>17</v>
      </c>
      <c r="W29" s="772">
        <f t="shared" ref="W29:W47" si="14">J29</f>
        <v>100</v>
      </c>
      <c r="X29" s="1808"/>
      <c r="Y29" s="3188"/>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26"/>
      <c r="Q30" s="1805">
        <f t="shared" si="11"/>
        <v>111</v>
      </c>
      <c r="R30" s="771" t="s">
        <v>17</v>
      </c>
      <c r="S30" s="772">
        <f t="shared" si="12"/>
        <v>100</v>
      </c>
      <c r="T30" s="771" t="s">
        <v>17</v>
      </c>
      <c r="U30" s="772">
        <f t="shared" si="13"/>
        <v>100</v>
      </c>
      <c r="V30" s="771" t="s">
        <v>17</v>
      </c>
      <c r="W30" s="772">
        <f t="shared" si="14"/>
        <v>100</v>
      </c>
      <c r="X30" s="1808"/>
      <c r="Y30" s="3188"/>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26"/>
      <c r="Q31" s="1805">
        <f t="shared" si="11"/>
        <v>111</v>
      </c>
      <c r="R31" s="771" t="s">
        <v>17</v>
      </c>
      <c r="S31" s="772">
        <f t="shared" si="12"/>
        <v>100</v>
      </c>
      <c r="T31" s="771" t="s">
        <v>17</v>
      </c>
      <c r="U31" s="772">
        <f t="shared" si="13"/>
        <v>100</v>
      </c>
      <c r="V31" s="771" t="s">
        <v>17</v>
      </c>
      <c r="W31" s="772">
        <f t="shared" si="14"/>
        <v>100</v>
      </c>
      <c r="X31" s="1808"/>
      <c r="Y31" s="3188"/>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26"/>
      <c r="Q32" s="1805">
        <f t="shared" si="11"/>
        <v>111</v>
      </c>
      <c r="R32" s="771" t="s">
        <v>17</v>
      </c>
      <c r="S32" s="772">
        <f t="shared" si="12"/>
        <v>100</v>
      </c>
      <c r="T32" s="771" t="s">
        <v>17</v>
      </c>
      <c r="U32" s="772">
        <f t="shared" si="13"/>
        <v>100</v>
      </c>
      <c r="V32" s="771" t="s">
        <v>17</v>
      </c>
      <c r="W32" s="772">
        <f t="shared" si="14"/>
        <v>100</v>
      </c>
      <c r="X32" s="1808"/>
      <c r="Y32" s="3188"/>
      <c r="Z32" s="1809">
        <f t="shared" si="15"/>
        <v>111</v>
      </c>
      <c r="AA32" s="1806">
        <f t="shared" si="3"/>
        <v>1</v>
      </c>
      <c r="AB32" s="1806">
        <f t="shared" si="4"/>
        <v>1</v>
      </c>
      <c r="AC32" s="2670">
        <f t="shared" si="5"/>
        <v>1</v>
      </c>
    </row>
    <row r="33" spans="1:29" ht="15">
      <c r="A33" s="437" t="s">
        <v>2547</v>
      </c>
      <c r="B33" s="71" t="s">
        <v>2677</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27" t="s">
        <v>2549</v>
      </c>
      <c r="Q33" s="1805" t="str">
        <f t="shared" si="11"/>
        <v>建筑类型</v>
      </c>
      <c r="R33" s="771" t="s">
        <v>17</v>
      </c>
      <c r="S33" s="772">
        <f t="shared" si="12"/>
        <v>100</v>
      </c>
      <c r="T33" s="771" t="s">
        <v>17</v>
      </c>
      <c r="U33" s="772">
        <f t="shared" si="13"/>
        <v>100</v>
      </c>
      <c r="V33" s="771" t="s">
        <v>17</v>
      </c>
      <c r="W33" s="772">
        <f t="shared" si="14"/>
        <v>100</v>
      </c>
      <c r="X33" s="1808"/>
      <c r="Y33" s="3190" t="s">
        <v>2549</v>
      </c>
      <c r="Z33" s="1809" t="str">
        <f t="shared" si="15"/>
        <v>建筑类型</v>
      </c>
      <c r="AA33" s="1806">
        <f t="shared" si="3"/>
        <v>1</v>
      </c>
      <c r="AB33" s="1806">
        <f t="shared" si="4"/>
        <v>1</v>
      </c>
      <c r="AC33" s="2670">
        <f t="shared" si="5"/>
        <v>1</v>
      </c>
    </row>
    <row r="34" spans="1:29" s="468" customFormat="1" ht="15">
      <c r="A34" s="465"/>
      <c r="B34" s="419" t="s">
        <v>2550</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28"/>
      <c r="Q34" s="773" t="str">
        <f t="shared" si="11"/>
        <v>项目建筑规模</v>
      </c>
      <c r="R34" s="774" t="s">
        <v>17</v>
      </c>
      <c r="S34" s="775" t="e">
        <f t="shared" si="12"/>
        <v>#N/A</v>
      </c>
      <c r="T34" s="774" t="s">
        <v>17</v>
      </c>
      <c r="U34" s="775" t="e">
        <f t="shared" si="13"/>
        <v>#N/A</v>
      </c>
      <c r="V34" s="774" t="s">
        <v>17</v>
      </c>
      <c r="W34" s="775" t="e">
        <f t="shared" si="14"/>
        <v>#N/A</v>
      </c>
      <c r="X34" s="776"/>
      <c r="Y34" s="3190"/>
      <c r="Z34" s="777" t="str">
        <f t="shared" si="15"/>
        <v>项目建筑规模</v>
      </c>
      <c r="AA34" s="1806" t="e">
        <f t="shared" si="3"/>
        <v>#N/A</v>
      </c>
      <c r="AB34" s="1806" t="e">
        <f t="shared" si="4"/>
        <v>#N/A</v>
      </c>
      <c r="AC34" s="2670" t="e">
        <f t="shared" si="5"/>
        <v>#N/A</v>
      </c>
    </row>
    <row r="35" spans="1:29" ht="15">
      <c r="A35" s="469"/>
      <c r="B35" s="419"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28"/>
      <c r="Q35" s="1805" t="str">
        <f t="shared" si="11"/>
        <v>建筑结构</v>
      </c>
      <c r="R35" s="771" t="s">
        <v>17</v>
      </c>
      <c r="S35" s="772">
        <f t="shared" si="12"/>
        <v>100</v>
      </c>
      <c r="T35" s="771" t="s">
        <v>17</v>
      </c>
      <c r="U35" s="772">
        <f t="shared" si="13"/>
        <v>100</v>
      </c>
      <c r="V35" s="771" t="s">
        <v>17</v>
      </c>
      <c r="W35" s="772">
        <f t="shared" si="14"/>
        <v>100</v>
      </c>
      <c r="X35" s="1808"/>
      <c r="Y35" s="3190"/>
      <c r="Z35" s="1809" t="str">
        <f t="shared" si="15"/>
        <v>建筑结构</v>
      </c>
      <c r="AA35" s="1806">
        <f t="shared" si="3"/>
        <v>1</v>
      </c>
      <c r="AB35" s="1806">
        <f t="shared" si="4"/>
        <v>1</v>
      </c>
      <c r="AC35" s="2670">
        <f t="shared" si="5"/>
        <v>1</v>
      </c>
    </row>
    <row r="36" spans="1:29" ht="15">
      <c r="A36" s="469"/>
      <c r="B36" s="419"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28"/>
      <c r="Q36" s="1805" t="str">
        <f t="shared" si="11"/>
        <v>公共部分装修</v>
      </c>
      <c r="R36" s="771" t="s">
        <v>17</v>
      </c>
      <c r="S36" s="772">
        <f t="shared" si="12"/>
        <v>100</v>
      </c>
      <c r="T36" s="771" t="s">
        <v>17</v>
      </c>
      <c r="U36" s="772">
        <f t="shared" si="13"/>
        <v>100</v>
      </c>
      <c r="V36" s="771" t="s">
        <v>17</v>
      </c>
      <c r="W36" s="772">
        <f t="shared" si="14"/>
        <v>100</v>
      </c>
      <c r="X36" s="1808"/>
      <c r="Y36" s="3190"/>
      <c r="Z36" s="1809" t="str">
        <f t="shared" si="15"/>
        <v>公共部分装修</v>
      </c>
      <c r="AA36" s="1806">
        <f t="shared" si="3"/>
        <v>1</v>
      </c>
      <c r="AB36" s="1806">
        <f t="shared" si="4"/>
        <v>1</v>
      </c>
      <c r="AC36" s="2670">
        <f t="shared" si="5"/>
        <v>1</v>
      </c>
    </row>
    <row r="37" spans="1:29" ht="15">
      <c r="A37" s="469"/>
      <c r="B37" s="419"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28"/>
      <c r="Q37" s="1805" t="str">
        <f t="shared" si="11"/>
        <v>成新度</v>
      </c>
      <c r="R37" s="771" t="s">
        <v>17</v>
      </c>
      <c r="S37" s="772" t="e">
        <f t="shared" si="12"/>
        <v>#N/A</v>
      </c>
      <c r="T37" s="771" t="s">
        <v>17</v>
      </c>
      <c r="U37" s="772" t="e">
        <f t="shared" si="13"/>
        <v>#N/A</v>
      </c>
      <c r="V37" s="771" t="s">
        <v>17</v>
      </c>
      <c r="W37" s="772" t="e">
        <f t="shared" si="14"/>
        <v>#N/A</v>
      </c>
      <c r="X37" s="1808"/>
      <c r="Y37" s="3190"/>
      <c r="Z37" s="1809" t="str">
        <f t="shared" si="15"/>
        <v>成新度</v>
      </c>
      <c r="AA37" s="1806" t="e">
        <f t="shared" si="3"/>
        <v>#N/A</v>
      </c>
      <c r="AB37" s="1806" t="e">
        <f t="shared" si="4"/>
        <v>#N/A</v>
      </c>
      <c r="AC37" s="2670" t="e">
        <f t="shared" si="5"/>
        <v>#N/A</v>
      </c>
    </row>
    <row r="38" spans="1:29" s="115" customFormat="1" ht="15">
      <c r="A38" s="470"/>
      <c r="B38" s="419" t="s">
        <v>2678</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28"/>
      <c r="Q38" s="1790" t="str">
        <f t="shared" si="11"/>
        <v>写字楼等级</v>
      </c>
      <c r="R38" s="767" t="s">
        <v>17</v>
      </c>
      <c r="S38" s="768">
        <f t="shared" si="12"/>
        <v>100</v>
      </c>
      <c r="T38" s="767" t="s">
        <v>17</v>
      </c>
      <c r="U38" s="768">
        <f t="shared" si="13"/>
        <v>100</v>
      </c>
      <c r="V38" s="767" t="s">
        <v>17</v>
      </c>
      <c r="W38" s="768">
        <f t="shared" si="14"/>
        <v>100</v>
      </c>
      <c r="X38" s="769"/>
      <c r="Y38" s="3190"/>
      <c r="Z38" s="55" t="str">
        <f t="shared" si="15"/>
        <v>写字楼等级</v>
      </c>
      <c r="AA38" s="770">
        <f t="shared" si="3"/>
        <v>1</v>
      </c>
      <c r="AB38" s="770">
        <f t="shared" si="4"/>
        <v>1</v>
      </c>
      <c r="AC38" s="2667">
        <f t="shared" si="5"/>
        <v>1</v>
      </c>
    </row>
    <row r="39" spans="1:29" ht="15">
      <c r="A39" s="469"/>
      <c r="B39" s="419"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28" t="s">
        <v>2549</v>
      </c>
      <c r="Q39" s="1805" t="str">
        <f t="shared" si="11"/>
        <v>物业管理</v>
      </c>
      <c r="R39" s="771" t="s">
        <v>17</v>
      </c>
      <c r="S39" s="772">
        <f t="shared" si="12"/>
        <v>100</v>
      </c>
      <c r="T39" s="771" t="s">
        <v>17</v>
      </c>
      <c r="U39" s="772">
        <f t="shared" si="13"/>
        <v>100</v>
      </c>
      <c r="V39" s="771" t="s">
        <v>17</v>
      </c>
      <c r="W39" s="772">
        <f t="shared" si="14"/>
        <v>100</v>
      </c>
      <c r="X39" s="1808"/>
      <c r="Y39" s="3190" t="s">
        <v>2549</v>
      </c>
      <c r="Z39" s="1809" t="str">
        <f t="shared" si="15"/>
        <v>物业管理</v>
      </c>
      <c r="AA39" s="1806">
        <f t="shared" si="3"/>
        <v>1</v>
      </c>
      <c r="AB39" s="1806">
        <f t="shared" si="4"/>
        <v>1</v>
      </c>
      <c r="AC39" s="2670">
        <f t="shared" si="5"/>
        <v>1</v>
      </c>
    </row>
    <row r="40" spans="1:29" ht="15">
      <c r="A40" s="469"/>
      <c r="B40" s="419"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28"/>
      <c r="Q40" s="1805" t="str">
        <f t="shared" si="11"/>
        <v>市政基础设施</v>
      </c>
      <c r="R40" s="771" t="s">
        <v>17</v>
      </c>
      <c r="S40" s="772">
        <f t="shared" si="12"/>
        <v>100</v>
      </c>
      <c r="T40" s="771" t="s">
        <v>17</v>
      </c>
      <c r="U40" s="772">
        <f t="shared" si="13"/>
        <v>100</v>
      </c>
      <c r="V40" s="771" t="s">
        <v>17</v>
      </c>
      <c r="W40" s="772">
        <f t="shared" si="14"/>
        <v>100</v>
      </c>
      <c r="X40" s="1808"/>
      <c r="Y40" s="3190"/>
      <c r="Z40" s="1809" t="str">
        <f t="shared" si="15"/>
        <v>市政基础设施</v>
      </c>
      <c r="AA40" s="1806">
        <f t="shared" si="3"/>
        <v>1</v>
      </c>
      <c r="AB40" s="1806">
        <f t="shared" si="4"/>
        <v>1</v>
      </c>
      <c r="AC40" s="2670">
        <f t="shared" si="5"/>
        <v>1</v>
      </c>
    </row>
    <row r="41" spans="1:29" ht="15">
      <c r="A41" s="469"/>
      <c r="B41" s="419"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28"/>
      <c r="Q41" s="1805" t="str">
        <f t="shared" si="11"/>
        <v>层高</v>
      </c>
      <c r="R41" s="771" t="s">
        <v>17</v>
      </c>
      <c r="S41" s="772">
        <f t="shared" si="12"/>
        <v>100</v>
      </c>
      <c r="T41" s="771" t="s">
        <v>17</v>
      </c>
      <c r="U41" s="772">
        <f t="shared" si="13"/>
        <v>100</v>
      </c>
      <c r="V41" s="771" t="s">
        <v>17</v>
      </c>
      <c r="W41" s="772">
        <f t="shared" si="14"/>
        <v>100</v>
      </c>
      <c r="X41" s="1808"/>
      <c r="Y41" s="3190"/>
      <c r="Z41" s="1809" t="str">
        <f t="shared" si="15"/>
        <v>层高</v>
      </c>
      <c r="AA41" s="1806">
        <f t="shared" si="3"/>
        <v>1</v>
      </c>
      <c r="AB41" s="1806">
        <f t="shared" si="4"/>
        <v>1</v>
      </c>
      <c r="AC41" s="2670">
        <f t="shared" si="5"/>
        <v>1</v>
      </c>
    </row>
    <row r="42" spans="1:29" s="468" customFormat="1" ht="15">
      <c r="A42" s="465"/>
      <c r="B42" s="180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28"/>
      <c r="Q42" s="773" t="str">
        <f t="shared" si="11"/>
        <v>单套建筑面积</v>
      </c>
      <c r="R42" s="774" t="s">
        <v>17</v>
      </c>
      <c r="S42" s="775">
        <f t="shared" si="12"/>
        <v>100</v>
      </c>
      <c r="T42" s="774" t="s">
        <v>17</v>
      </c>
      <c r="U42" s="775">
        <f t="shared" si="13"/>
        <v>100</v>
      </c>
      <c r="V42" s="774" t="s">
        <v>17</v>
      </c>
      <c r="W42" s="775">
        <f t="shared" si="14"/>
        <v>100</v>
      </c>
      <c r="X42" s="776"/>
      <c r="Y42" s="3190"/>
      <c r="Z42" s="777" t="str">
        <f t="shared" si="15"/>
        <v>单套建筑面积</v>
      </c>
      <c r="AA42" s="1806">
        <f t="shared" si="3"/>
        <v>1</v>
      </c>
      <c r="AB42" s="1806">
        <f t="shared" si="4"/>
        <v>1</v>
      </c>
      <c r="AC42" s="2670">
        <f t="shared" si="5"/>
        <v>1</v>
      </c>
    </row>
    <row r="43" spans="1:29" ht="15">
      <c r="A43" s="469"/>
      <c r="B43" s="419"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28"/>
      <c r="Q43" s="1805" t="str">
        <f t="shared" si="11"/>
        <v>内部装修</v>
      </c>
      <c r="R43" s="771" t="s">
        <v>17</v>
      </c>
      <c r="S43" s="772">
        <f t="shared" si="12"/>
        <v>100</v>
      </c>
      <c r="T43" s="771" t="s">
        <v>17</v>
      </c>
      <c r="U43" s="772">
        <f t="shared" si="13"/>
        <v>100</v>
      </c>
      <c r="V43" s="771" t="s">
        <v>17</v>
      </c>
      <c r="W43" s="772">
        <f t="shared" si="14"/>
        <v>100</v>
      </c>
      <c r="X43" s="1808"/>
      <c r="Y43" s="3190"/>
      <c r="Z43" s="1809" t="str">
        <f t="shared" si="15"/>
        <v>内部装修</v>
      </c>
      <c r="AA43" s="1806">
        <f t="shared" si="3"/>
        <v>1</v>
      </c>
      <c r="AB43" s="1806">
        <f t="shared" si="4"/>
        <v>1</v>
      </c>
      <c r="AC43" s="2670">
        <f t="shared" si="5"/>
        <v>1</v>
      </c>
    </row>
    <row r="44" spans="1:29" ht="15">
      <c r="A44" s="469"/>
      <c r="B44" s="419" t="s">
        <v>2560</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28"/>
      <c r="Q44" s="1805" t="str">
        <f t="shared" si="11"/>
        <v>内部装修维护情况</v>
      </c>
      <c r="R44" s="771" t="s">
        <v>17</v>
      </c>
      <c r="S44" s="772">
        <f t="shared" si="12"/>
        <v>100</v>
      </c>
      <c r="T44" s="771" t="s">
        <v>17</v>
      </c>
      <c r="U44" s="772">
        <f t="shared" si="13"/>
        <v>100</v>
      </c>
      <c r="V44" s="771" t="s">
        <v>17</v>
      </c>
      <c r="W44" s="772">
        <f t="shared" si="14"/>
        <v>100</v>
      </c>
      <c r="X44" s="1808"/>
      <c r="Y44" s="3190"/>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28"/>
      <c r="Q45" s="1790">
        <f t="shared" si="11"/>
        <v>111</v>
      </c>
      <c r="R45" s="767" t="s">
        <v>17</v>
      </c>
      <c r="S45" s="768">
        <f t="shared" si="12"/>
        <v>100</v>
      </c>
      <c r="T45" s="767" t="s">
        <v>17</v>
      </c>
      <c r="U45" s="768">
        <f t="shared" si="13"/>
        <v>100</v>
      </c>
      <c r="V45" s="767" t="s">
        <v>17</v>
      </c>
      <c r="W45" s="768">
        <f t="shared" si="14"/>
        <v>100</v>
      </c>
      <c r="X45" s="769"/>
      <c r="Y45" s="3190"/>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28"/>
      <c r="Q46" s="1805">
        <f t="shared" si="11"/>
        <v>111</v>
      </c>
      <c r="R46" s="771" t="s">
        <v>17</v>
      </c>
      <c r="S46" s="772">
        <f t="shared" si="12"/>
        <v>100</v>
      </c>
      <c r="T46" s="771" t="s">
        <v>17</v>
      </c>
      <c r="U46" s="772">
        <f t="shared" si="13"/>
        <v>100</v>
      </c>
      <c r="V46" s="771" t="s">
        <v>17</v>
      </c>
      <c r="W46" s="772">
        <f t="shared" si="14"/>
        <v>100</v>
      </c>
      <c r="X46" s="1808"/>
      <c r="Y46" s="3190"/>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29"/>
      <c r="Q47" s="1805">
        <f t="shared" si="11"/>
        <v>111</v>
      </c>
      <c r="R47" s="771" t="s">
        <v>17</v>
      </c>
      <c r="S47" s="772">
        <f t="shared" si="12"/>
        <v>100</v>
      </c>
      <c r="T47" s="771" t="s">
        <v>17</v>
      </c>
      <c r="U47" s="772">
        <f t="shared" si="13"/>
        <v>100</v>
      </c>
      <c r="V47" s="771" t="s">
        <v>17</v>
      </c>
      <c r="W47" s="772">
        <f t="shared" si="14"/>
        <v>100</v>
      </c>
      <c r="X47" s="1808"/>
      <c r="Y47" s="3230"/>
      <c r="Z47" s="1809">
        <f t="shared" si="15"/>
        <v>111</v>
      </c>
      <c r="AA47" s="1806">
        <f t="shared" si="3"/>
        <v>1</v>
      </c>
      <c r="AB47" s="1806">
        <f t="shared" si="4"/>
        <v>1</v>
      </c>
      <c r="AC47" s="2670">
        <f t="shared" si="5"/>
        <v>1</v>
      </c>
    </row>
    <row r="48" spans="1:29" ht="15">
      <c r="A48" s="476" t="s">
        <v>2561</v>
      </c>
      <c r="B48" s="477"/>
      <c r="C48" s="1403" t="s">
        <v>1</v>
      </c>
      <c r="D48" s="1404"/>
      <c r="E48" s="1405"/>
      <c r="F48" s="1406"/>
      <c r="G48" s="1407"/>
      <c r="H48" s="1408"/>
      <c r="I48" s="1405"/>
      <c r="J48" s="482"/>
      <c r="K48" s="780"/>
      <c r="L48" s="1139"/>
      <c r="M48" s="1127"/>
      <c r="N48" s="1127"/>
      <c r="O48" s="1127"/>
      <c r="P48" s="3184" t="str">
        <f>A48</f>
        <v>成交单价（元/平方米）</v>
      </c>
      <c r="Q48" s="3185"/>
      <c r="R48" s="3231">
        <f>E48</f>
        <v>0</v>
      </c>
      <c r="S48" s="3231"/>
      <c r="T48" s="3231">
        <f>G48</f>
        <v>0</v>
      </c>
      <c r="U48" s="3231"/>
      <c r="V48" s="3231">
        <f>I48</f>
        <v>0</v>
      </c>
      <c r="W48" s="3231"/>
      <c r="X48" s="443"/>
      <c r="Y48" s="778"/>
      <c r="Z48" s="443"/>
      <c r="AA48" s="443"/>
      <c r="AB48" s="443"/>
      <c r="AC48" s="627"/>
    </row>
    <row r="49" spans="1:29" ht="15.75" thickBot="1">
      <c r="A49" s="483" t="s">
        <v>2653</v>
      </c>
      <c r="B49" s="484"/>
      <c r="C49" s="1409" t="e">
        <f>R50</f>
        <v>#DIV/0!</v>
      </c>
      <c r="D49" s="1410"/>
      <c r="E49" s="1411" t="e">
        <f>R49</f>
        <v>#DIV/0!</v>
      </c>
      <c r="F49" s="1411"/>
      <c r="G49" s="1409" t="e">
        <f>T49</f>
        <v>#DIV/0!</v>
      </c>
      <c r="H49" s="1410"/>
      <c r="I49" s="1411" t="e">
        <f>V49</f>
        <v>#DIV/0!</v>
      </c>
      <c r="J49" s="486"/>
      <c r="K49" s="781"/>
      <c r="L49" s="1139"/>
      <c r="M49" s="1127"/>
      <c r="N49" s="1127"/>
      <c r="O49" s="1127"/>
      <c r="P49" s="3184" t="str">
        <f>A49</f>
        <v>比较价值（元/平方米）</v>
      </c>
      <c r="Q49" s="3185"/>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3"/>
      <c r="Y49" s="443"/>
      <c r="Z49" s="443"/>
      <c r="AA49" s="443"/>
      <c r="AB49" s="443"/>
      <c r="AC49" s="627"/>
    </row>
    <row r="50" spans="1:29" ht="15.75" thickBot="1">
      <c r="A50" s="489" t="s">
        <v>2654</v>
      </c>
      <c r="B50" s="490"/>
      <c r="C50" s="1413" t="e">
        <f>R50</f>
        <v>#DIV/0!</v>
      </c>
      <c r="D50" s="1413"/>
      <c r="E50" s="1413"/>
      <c r="F50" s="1413"/>
      <c r="G50" s="1413"/>
      <c r="H50" s="1413"/>
      <c r="I50" s="1413"/>
      <c r="J50" s="491"/>
      <c r="K50" s="782"/>
      <c r="L50" s="1139"/>
      <c r="M50" s="1127"/>
      <c r="N50" s="1127"/>
      <c r="O50" s="1127"/>
      <c r="P50" s="3261" t="str">
        <f>A50</f>
        <v>估价对象XX用房的比较价值（楼面单价，元/平方米）</v>
      </c>
      <c r="Q50" s="3262"/>
      <c r="R50" s="3263" t="e">
        <f>IF(F1="售价",ROUND(AVERAGE(R49:V49),0),ROUND(AVERAGE(R49:V49),1))</f>
        <v>#DIV/0!</v>
      </c>
      <c r="S50" s="3263"/>
      <c r="T50" s="3263"/>
      <c r="U50" s="3263"/>
      <c r="V50" s="3263"/>
      <c r="W50" s="3263"/>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2655</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2656</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2657</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2658</v>
      </c>
      <c r="B58" s="756"/>
      <c r="C58" s="761"/>
      <c r="D58" s="761"/>
      <c r="E58" s="761"/>
      <c r="F58" s="762"/>
      <c r="G58" s="762"/>
      <c r="H58" s="761"/>
      <c r="I58" s="761"/>
      <c r="J58" s="761"/>
      <c r="K58" s="763"/>
      <c r="L58" s="1157"/>
      <c r="M58" s="1155"/>
      <c r="N58" s="1155"/>
      <c r="O58" s="1155"/>
      <c r="P58" s="2677"/>
      <c r="Q58" s="501"/>
    </row>
    <row r="59" spans="1:29" s="505" customFormat="1" ht="15">
      <c r="A59" s="502" t="s">
        <v>2532</v>
      </c>
      <c r="B59" s="503"/>
      <c r="C59" s="1569" t="str">
        <f>YEAR(C7)&amp;"-"&amp;MONTH(C7)</f>
        <v>2018-11</v>
      </c>
      <c r="D59" s="1570">
        <f>EDATE(C59,-1)</f>
        <v>43374</v>
      </c>
      <c r="E59" s="1570">
        <f>EDATE(D59,-1)</f>
        <v>43344</v>
      </c>
      <c r="F59" s="1570">
        <f t="shared" ref="F59:O59" si="16">EDATE(E59,-1)</f>
        <v>43313</v>
      </c>
      <c r="G59" s="1570">
        <f t="shared" si="16"/>
        <v>43282</v>
      </c>
      <c r="H59" s="1570">
        <f t="shared" si="16"/>
        <v>43252</v>
      </c>
      <c r="I59" s="1570">
        <f t="shared" si="16"/>
        <v>43221</v>
      </c>
      <c r="J59" s="1570">
        <f t="shared" si="16"/>
        <v>43191</v>
      </c>
      <c r="K59" s="1570">
        <f t="shared" si="16"/>
        <v>43160</v>
      </c>
      <c r="L59" s="1570">
        <f t="shared" si="16"/>
        <v>43132</v>
      </c>
      <c r="M59" s="1570">
        <f t="shared" si="16"/>
        <v>43101</v>
      </c>
      <c r="N59" s="1570">
        <f t="shared" si="16"/>
        <v>43070</v>
      </c>
      <c r="O59" s="1570">
        <f t="shared" si="16"/>
        <v>43040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2569</v>
      </c>
      <c r="B61" s="513"/>
      <c r="C61" s="514"/>
      <c r="D61" s="515"/>
      <c r="E61" s="515"/>
      <c r="F61" s="515"/>
      <c r="G61" s="515"/>
      <c r="H61" s="515"/>
      <c r="I61" s="515"/>
      <c r="J61" s="515"/>
      <c r="K61" s="515"/>
      <c r="L61" s="515"/>
      <c r="M61" s="516"/>
      <c r="N61" s="515"/>
      <c r="O61" s="516"/>
      <c r="P61" s="2678"/>
      <c r="Q61" s="501"/>
    </row>
    <row r="62" spans="1:29" s="115" customFormat="1" ht="15">
      <c r="A62" s="518" t="s">
        <v>2534</v>
      </c>
      <c r="B62" s="507"/>
      <c r="C62" s="519" t="s">
        <v>2636</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2572</v>
      </c>
      <c r="B64" s="525" t="s">
        <v>2538</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2673</v>
      </c>
      <c r="C83" s="657" t="s">
        <v>2659</v>
      </c>
      <c r="D83" s="657" t="s">
        <v>2660</v>
      </c>
      <c r="E83" s="657" t="s">
        <v>2661</v>
      </c>
      <c r="F83" s="657" t="s">
        <v>2662</v>
      </c>
      <c r="G83" s="657" t="s">
        <v>2663</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2683</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2547</v>
      </c>
      <c r="B101" s="525" t="s">
        <v>2596</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2598</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2600</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2684</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2601</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2602</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2685</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2668</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2604</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2686</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IF(C2="——",ROUND(C43*D3/10000,0),ROUND(C43*D3/10000,0)-D2)</f>
        <v>#DIV/0!</v>
      </c>
      <c r="C2" s="2582"/>
      <c r="D2" s="1120"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2316</v>
      </c>
      <c r="B3" s="606" t="e">
        <f ca="1">IF(C2="——",C43,ROUND(B2*10000/D3,0))</f>
        <v>#DIV/0!</v>
      </c>
      <c r="C3" s="397" t="s">
        <v>2628</v>
      </c>
      <c r="D3" s="396">
        <f>IF(D1="",'数据-汇总表'!E3,SUMIF('数据-汇总表'!$C19:$C33,D1,'数据-汇总表'!$E19:$E33))</f>
        <v>59366.369999999995</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3" t="s">
        <v>2632</v>
      </c>
      <c r="AC4" s="3192" t="s">
        <v>2633</v>
      </c>
    </row>
    <row r="5" spans="1:29" ht="15">
      <c r="A5" s="401"/>
      <c r="B5" s="402"/>
      <c r="C5" s="3222" t="s">
        <v>2526</v>
      </c>
      <c r="D5" s="3213"/>
      <c r="E5" s="3260" t="s">
        <v>2527</v>
      </c>
      <c r="F5" s="3221"/>
      <c r="G5" s="3222" t="s">
        <v>2528</v>
      </c>
      <c r="H5" s="3213"/>
      <c r="I5" s="3222" t="s">
        <v>2529</v>
      </c>
      <c r="J5" s="3213"/>
      <c r="K5" s="607"/>
      <c r="L5" s="1126"/>
      <c r="M5" s="1127"/>
      <c r="N5" s="1127"/>
      <c r="O5" s="1127"/>
      <c r="P5" s="3200"/>
      <c r="Q5" s="3201"/>
      <c r="R5" s="3206"/>
      <c r="S5" s="3207"/>
      <c r="T5" s="3206"/>
      <c r="U5" s="3207"/>
      <c r="V5" s="3191"/>
      <c r="W5" s="3191"/>
      <c r="X5" s="1808"/>
      <c r="Y5" s="3206"/>
      <c r="Z5" s="3207"/>
      <c r="AA5" s="3193"/>
      <c r="AB5" s="3193"/>
      <c r="AC5" s="3193"/>
    </row>
    <row r="6" spans="1:29" ht="15.75" thickBot="1">
      <c r="A6" s="403"/>
      <c r="B6" s="404"/>
      <c r="C6" s="3210" t="s">
        <v>2530</v>
      </c>
      <c r="D6" s="3211"/>
      <c r="E6" s="3218" t="s">
        <v>2530</v>
      </c>
      <c r="F6" s="3219"/>
      <c r="G6" s="3210" t="s">
        <v>2530</v>
      </c>
      <c r="H6" s="3211"/>
      <c r="I6" s="3210" t="s">
        <v>2530</v>
      </c>
      <c r="J6" s="3211"/>
      <c r="K6" s="607" t="s">
        <v>2531</v>
      </c>
      <c r="L6" s="1126"/>
      <c r="M6" s="1127"/>
      <c r="N6" s="1127"/>
      <c r="O6" s="1127"/>
      <c r="P6" s="3202"/>
      <c r="Q6" s="3203"/>
      <c r="R6" s="3206"/>
      <c r="S6" s="3207"/>
      <c r="T6" s="3208"/>
      <c r="U6" s="3209"/>
      <c r="V6" s="3191"/>
      <c r="W6" s="3191"/>
      <c r="X6" s="1808"/>
      <c r="Y6" s="3208"/>
      <c r="Z6" s="3209"/>
      <c r="AA6" s="3194"/>
      <c r="AB6" s="3194"/>
      <c r="AC6" s="3194"/>
    </row>
    <row r="7" spans="1:29" s="115" customFormat="1" ht="15.75" thickBot="1">
      <c r="A7" s="405" t="s">
        <v>2532</v>
      </c>
      <c r="B7" s="406"/>
      <c r="C7" s="407">
        <f>'数据-取费表'!B2</f>
        <v>43433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14" t="s">
        <v>2533</v>
      </c>
      <c r="Q7" s="3216"/>
      <c r="R7" s="767" t="s">
        <v>17</v>
      </c>
      <c r="S7" s="768">
        <f t="shared" ref="S7:S15" si="0">F7</f>
        <v>0</v>
      </c>
      <c r="T7" s="767" t="s">
        <v>17</v>
      </c>
      <c r="U7" s="768">
        <f t="shared" ref="U7:U15" si="1">H7</f>
        <v>0</v>
      </c>
      <c r="V7" s="767" t="s">
        <v>17</v>
      </c>
      <c r="W7" s="768">
        <f t="shared" ref="W7:W15" si="2">J7</f>
        <v>0</v>
      </c>
      <c r="X7" s="769"/>
      <c r="Y7" s="3214" t="s">
        <v>2533</v>
      </c>
      <c r="Z7" s="3215"/>
      <c r="AA7" s="770" t="e">
        <f>D7/F7</f>
        <v>#DIV/0!</v>
      </c>
      <c r="AB7" s="770" t="e">
        <f>D7/H7</f>
        <v>#DIV/0!</v>
      </c>
      <c r="AC7" s="770" t="e">
        <f>D7/J7</f>
        <v>#DIV/0!</v>
      </c>
    </row>
    <row r="8" spans="1:29" s="115" customFormat="1" ht="15.75" thickBot="1">
      <c r="A8" s="405" t="s">
        <v>2534</v>
      </c>
      <c r="B8" s="406"/>
      <c r="C8" s="411" t="s">
        <v>2535</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14" t="s">
        <v>2536</v>
      </c>
      <c r="Q8" s="3215"/>
      <c r="R8" s="767" t="s">
        <v>17</v>
      </c>
      <c r="S8" s="768">
        <f t="shared" si="0"/>
        <v>0</v>
      </c>
      <c r="T8" s="767" t="s">
        <v>17</v>
      </c>
      <c r="U8" s="768">
        <f t="shared" si="1"/>
        <v>0</v>
      </c>
      <c r="V8" s="767" t="s">
        <v>17</v>
      </c>
      <c r="W8" s="768">
        <f t="shared" si="2"/>
        <v>0</v>
      </c>
      <c r="X8" s="769"/>
      <c r="Y8" s="3214" t="s">
        <v>2536</v>
      </c>
      <c r="Z8" s="3215"/>
      <c r="AA8" s="770" t="e">
        <f t="shared" ref="AA8:AA40" si="3">D8/F8</f>
        <v>#DIV/0!</v>
      </c>
      <c r="AB8" s="770" t="e">
        <f t="shared" ref="AB8:AB40" si="4">D8/H8</f>
        <v>#DIV/0!</v>
      </c>
      <c r="AC8" s="770" t="e">
        <f t="shared" ref="AC8:AC40" si="5">D8/J8</f>
        <v>#DIV/0!</v>
      </c>
    </row>
    <row r="9" spans="1:29" s="115" customFormat="1">
      <c r="A9" s="412" t="s">
        <v>2537</v>
      </c>
      <c r="B9" s="71" t="s">
        <v>2538</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85"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85"/>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85"/>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85"/>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85"/>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85"/>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15">
      <c r="A15" s="437" t="s">
        <v>2543</v>
      </c>
      <c r="B15" s="69" t="s">
        <v>2687</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87" t="s">
        <v>2544</v>
      </c>
      <c r="Q15" s="1805" t="str">
        <f t="shared" si="6"/>
        <v>产业集聚程度</v>
      </c>
      <c r="R15" s="771" t="s">
        <v>17</v>
      </c>
      <c r="S15" s="772">
        <f t="shared" si="0"/>
        <v>100</v>
      </c>
      <c r="T15" s="771" t="s">
        <v>17</v>
      </c>
      <c r="U15" s="772">
        <f t="shared" si="1"/>
        <v>100</v>
      </c>
      <c r="V15" s="771" t="s">
        <v>17</v>
      </c>
      <c r="W15" s="772">
        <f t="shared" si="2"/>
        <v>100</v>
      </c>
      <c r="X15" s="1808"/>
      <c r="Y15" s="3187" t="s">
        <v>2544</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188"/>
      <c r="Q16" s="1805"/>
      <c r="R16" s="771"/>
      <c r="S16" s="772"/>
      <c r="T16" s="771"/>
      <c r="U16" s="772"/>
      <c r="V16" s="771"/>
      <c r="W16" s="772"/>
      <c r="X16" s="1808"/>
      <c r="Y16" s="3188"/>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88"/>
      <c r="Q17" s="1805" t="str">
        <f>B17</f>
        <v>交通便捷度</v>
      </c>
      <c r="R17" s="771" t="s">
        <v>17</v>
      </c>
      <c r="S17" s="772">
        <f>F17</f>
        <v>100</v>
      </c>
      <c r="T17" s="771" t="s">
        <v>17</v>
      </c>
      <c r="U17" s="772">
        <f>H17</f>
        <v>100</v>
      </c>
      <c r="V17" s="771" t="s">
        <v>17</v>
      </c>
      <c r="W17" s="772">
        <f>J17</f>
        <v>100</v>
      </c>
      <c r="X17" s="1808"/>
      <c r="Y17" s="3188"/>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188"/>
      <c r="Q18" s="1805"/>
      <c r="R18" s="771"/>
      <c r="S18" s="772"/>
      <c r="T18" s="771"/>
      <c r="U18" s="772"/>
      <c r="V18" s="771"/>
      <c r="W18" s="772"/>
      <c r="X18" s="1808"/>
      <c r="Y18" s="3188"/>
      <c r="Z18" s="1809"/>
      <c r="AA18" s="1806">
        <v>1</v>
      </c>
      <c r="AB18" s="1806">
        <v>1</v>
      </c>
      <c r="AC18" s="1806">
        <v>1</v>
      </c>
    </row>
    <row r="19" spans="1:29" ht="15">
      <c r="A19" s="425"/>
      <c r="B19" s="448" t="s">
        <v>2672</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88"/>
      <c r="Q19" s="1805" t="str">
        <f>B19</f>
        <v>公共配套设施</v>
      </c>
      <c r="R19" s="771" t="s">
        <v>17</v>
      </c>
      <c r="S19" s="772">
        <f>F19</f>
        <v>100</v>
      </c>
      <c r="T19" s="771" t="s">
        <v>17</v>
      </c>
      <c r="U19" s="772">
        <f>H19</f>
        <v>100</v>
      </c>
      <c r="V19" s="771" t="s">
        <v>17</v>
      </c>
      <c r="W19" s="772">
        <f>J19</f>
        <v>100</v>
      </c>
      <c r="X19" s="1808"/>
      <c r="Y19" s="3188"/>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188"/>
      <c r="Q20" s="1805"/>
      <c r="R20" s="771"/>
      <c r="S20" s="772"/>
      <c r="T20" s="771"/>
      <c r="U20" s="772"/>
      <c r="V20" s="771"/>
      <c r="W20" s="772"/>
      <c r="X20" s="1808"/>
      <c r="Y20" s="3188"/>
      <c r="Z20" s="1809"/>
      <c r="AA20" s="1806">
        <v>1</v>
      </c>
      <c r="AB20" s="1806">
        <v>1</v>
      </c>
      <c r="AC20" s="1806">
        <v>1</v>
      </c>
    </row>
    <row r="21" spans="1:29" ht="15">
      <c r="A21" s="425"/>
      <c r="B21" s="1380" t="s">
        <v>2673</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88"/>
      <c r="Q21" s="1805" t="str">
        <f>B21</f>
        <v>基础设施水平</v>
      </c>
      <c r="R21" s="771" t="s">
        <v>17</v>
      </c>
      <c r="S21" s="772">
        <f>F21</f>
        <v>100</v>
      </c>
      <c r="T21" s="771" t="s">
        <v>17</v>
      </c>
      <c r="U21" s="772">
        <f>H21</f>
        <v>100</v>
      </c>
      <c r="V21" s="771" t="s">
        <v>17</v>
      </c>
      <c r="W21" s="772">
        <f>J21</f>
        <v>100</v>
      </c>
      <c r="X21" s="1808"/>
      <c r="Y21" s="3188"/>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188"/>
      <c r="Q22" s="1805"/>
      <c r="R22" s="771"/>
      <c r="S22" s="772"/>
      <c r="T22" s="771"/>
      <c r="U22" s="772"/>
      <c r="V22" s="771"/>
      <c r="W22" s="772"/>
      <c r="X22" s="1808"/>
      <c r="Y22" s="3188"/>
      <c r="Z22" s="1809"/>
      <c r="AA22" s="1806">
        <v>1</v>
      </c>
      <c r="AB22" s="1806">
        <v>1</v>
      </c>
      <c r="AC22" s="1806">
        <v>1</v>
      </c>
    </row>
    <row r="23" spans="1:29" ht="15">
      <c r="A23" s="425"/>
      <c r="B23" s="448" t="s">
        <v>2674</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88"/>
      <c r="Q23" s="1805" t="str">
        <f>B23</f>
        <v>环境质量</v>
      </c>
      <c r="R23" s="771" t="s">
        <v>17</v>
      </c>
      <c r="S23" s="772">
        <f>F23</f>
        <v>100</v>
      </c>
      <c r="T23" s="771" t="s">
        <v>17</v>
      </c>
      <c r="U23" s="772">
        <f>H23</f>
        <v>100</v>
      </c>
      <c r="V23" s="771" t="s">
        <v>17</v>
      </c>
      <c r="W23" s="772">
        <f>J23</f>
        <v>100</v>
      </c>
      <c r="X23" s="1808"/>
      <c r="Y23" s="3188"/>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188"/>
      <c r="Q24" s="1805"/>
      <c r="R24" s="771"/>
      <c r="S24" s="772"/>
      <c r="T24" s="771"/>
      <c r="U24" s="772"/>
      <c r="V24" s="771"/>
      <c r="W24" s="772"/>
      <c r="X24" s="1808"/>
      <c r="Y24" s="3188"/>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88"/>
      <c r="Q25" s="1805">
        <f>B25</f>
        <v>111</v>
      </c>
      <c r="R25" s="771" t="s">
        <v>17</v>
      </c>
      <c r="S25" s="772">
        <f>F25</f>
        <v>100</v>
      </c>
      <c r="T25" s="771" t="s">
        <v>17</v>
      </c>
      <c r="U25" s="772">
        <f>H25</f>
        <v>100</v>
      </c>
      <c r="V25" s="771" t="s">
        <v>17</v>
      </c>
      <c r="W25" s="772">
        <f>J25</f>
        <v>100</v>
      </c>
      <c r="X25" s="1808"/>
      <c r="Y25" s="3188"/>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88"/>
      <c r="Q26" s="1805">
        <f t="shared" ref="Q26:Q40" si="11">B26</f>
        <v>111</v>
      </c>
      <c r="R26" s="771" t="s">
        <v>17</v>
      </c>
      <c r="S26" s="772">
        <f>F26</f>
        <v>100</v>
      </c>
      <c r="T26" s="771" t="s">
        <v>17</v>
      </c>
      <c r="U26" s="772">
        <f>H26</f>
        <v>100</v>
      </c>
      <c r="V26" s="771" t="s">
        <v>17</v>
      </c>
      <c r="W26" s="772">
        <f>J26</f>
        <v>100</v>
      </c>
      <c r="X26" s="1808"/>
      <c r="Y26" s="3188"/>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88"/>
      <c r="Q27" s="1790">
        <f t="shared" si="11"/>
        <v>111</v>
      </c>
      <c r="R27" s="767" t="s">
        <v>17</v>
      </c>
      <c r="S27" s="768">
        <f>F27</f>
        <v>100</v>
      </c>
      <c r="T27" s="767" t="s">
        <v>17</v>
      </c>
      <c r="U27" s="768">
        <f>H27</f>
        <v>100</v>
      </c>
      <c r="V27" s="767" t="s">
        <v>17</v>
      </c>
      <c r="W27" s="768">
        <f>J27</f>
        <v>100</v>
      </c>
      <c r="X27" s="769"/>
      <c r="Y27" s="3188"/>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88"/>
      <c r="Q28" s="1805">
        <f t="shared" si="11"/>
        <v>111</v>
      </c>
      <c r="R28" s="771" t="s">
        <v>17</v>
      </c>
      <c r="S28" s="772">
        <f t="shared" ref="S28:S40" si="12">F28</f>
        <v>100</v>
      </c>
      <c r="T28" s="771" t="s">
        <v>17</v>
      </c>
      <c r="U28" s="772">
        <f t="shared" ref="U28:U40" si="13">H28</f>
        <v>100</v>
      </c>
      <c r="V28" s="771" t="s">
        <v>17</v>
      </c>
      <c r="W28" s="772">
        <f t="shared" ref="W28:W40" si="14">J28</f>
        <v>100</v>
      </c>
      <c r="X28" s="1808"/>
      <c r="Y28" s="3188"/>
      <c r="Z28" s="1809">
        <f t="shared" ref="Z28:Z40" si="15">Q28</f>
        <v>111</v>
      </c>
      <c r="AA28" s="1806">
        <f t="shared" si="3"/>
        <v>1</v>
      </c>
      <c r="AB28" s="1806">
        <f t="shared" si="4"/>
        <v>1</v>
      </c>
      <c r="AC28" s="1806">
        <f t="shared" si="5"/>
        <v>1</v>
      </c>
    </row>
    <row r="29" spans="1:29" ht="15">
      <c r="A29" s="463" t="s">
        <v>2547</v>
      </c>
      <c r="B29" s="71" t="s">
        <v>2677</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189" t="s">
        <v>2549</v>
      </c>
      <c r="Q29" s="1805" t="str">
        <f t="shared" si="11"/>
        <v>建筑类型</v>
      </c>
      <c r="R29" s="771" t="s">
        <v>17</v>
      </c>
      <c r="S29" s="772">
        <f t="shared" si="12"/>
        <v>100</v>
      </c>
      <c r="T29" s="771" t="s">
        <v>17</v>
      </c>
      <c r="U29" s="772">
        <f t="shared" si="13"/>
        <v>100</v>
      </c>
      <c r="V29" s="771" t="s">
        <v>17</v>
      </c>
      <c r="W29" s="772">
        <f t="shared" si="14"/>
        <v>100</v>
      </c>
      <c r="X29" s="1808"/>
      <c r="Y29" s="3190" t="s">
        <v>2549</v>
      </c>
      <c r="Z29" s="1809" t="str">
        <f t="shared" si="15"/>
        <v>建筑类型</v>
      </c>
      <c r="AA29" s="1806">
        <f t="shared" si="3"/>
        <v>1</v>
      </c>
      <c r="AB29" s="1806">
        <f t="shared" si="4"/>
        <v>1</v>
      </c>
      <c r="AC29" s="1806">
        <f t="shared" si="5"/>
        <v>1</v>
      </c>
    </row>
    <row r="30" spans="1:29" s="468" customFormat="1" ht="15">
      <c r="A30" s="465"/>
      <c r="B30" s="419" t="s">
        <v>2550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90"/>
      <c r="Q30" s="773" t="str">
        <f t="shared" si="11"/>
        <v>项目建筑规模</v>
      </c>
      <c r="R30" s="774" t="s">
        <v>17</v>
      </c>
      <c r="S30" s="775" t="e">
        <f t="shared" si="12"/>
        <v>#N/A</v>
      </c>
      <c r="T30" s="774" t="s">
        <v>17</v>
      </c>
      <c r="U30" s="775" t="e">
        <f t="shared" si="13"/>
        <v>#N/A</v>
      </c>
      <c r="V30" s="774" t="s">
        <v>17</v>
      </c>
      <c r="W30" s="775" t="e">
        <f t="shared" si="14"/>
        <v>#N/A</v>
      </c>
      <c r="X30" s="776"/>
      <c r="Y30" s="3190"/>
      <c r="Z30" s="777" t="str">
        <f t="shared" si="15"/>
        <v>项目建筑规模</v>
      </c>
      <c r="AA30" s="1806" t="e">
        <f t="shared" si="3"/>
        <v>#N/A</v>
      </c>
      <c r="AB30" s="1806" t="e">
        <f t="shared" si="4"/>
        <v>#N/A</v>
      </c>
      <c r="AC30" s="1806"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90"/>
      <c r="Q31" s="1805" t="str">
        <f t="shared" si="11"/>
        <v>建筑结构</v>
      </c>
      <c r="R31" s="771" t="s">
        <v>17</v>
      </c>
      <c r="S31" s="772">
        <f t="shared" si="12"/>
        <v>100</v>
      </c>
      <c r="T31" s="771" t="s">
        <v>17</v>
      </c>
      <c r="U31" s="772">
        <f t="shared" si="13"/>
        <v>100</v>
      </c>
      <c r="V31" s="771" t="s">
        <v>17</v>
      </c>
      <c r="W31" s="772">
        <f t="shared" si="14"/>
        <v>100</v>
      </c>
      <c r="X31" s="1808"/>
      <c r="Y31" s="3190"/>
      <c r="Z31" s="1809" t="str">
        <f t="shared" si="15"/>
        <v>建筑结构</v>
      </c>
      <c r="AA31" s="1806">
        <f t="shared" si="3"/>
        <v>1</v>
      </c>
      <c r="AB31" s="1806">
        <f t="shared" si="4"/>
        <v>1</v>
      </c>
      <c r="AC31" s="1806">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90"/>
      <c r="Q32" s="1805" t="str">
        <f t="shared" si="11"/>
        <v>公共部分装修</v>
      </c>
      <c r="R32" s="771" t="s">
        <v>17</v>
      </c>
      <c r="S32" s="772">
        <f t="shared" si="12"/>
        <v>100</v>
      </c>
      <c r="T32" s="771" t="s">
        <v>17</v>
      </c>
      <c r="U32" s="772">
        <f t="shared" si="13"/>
        <v>100</v>
      </c>
      <c r="V32" s="771" t="s">
        <v>17</v>
      </c>
      <c r="W32" s="772">
        <f t="shared" si="14"/>
        <v>100</v>
      </c>
      <c r="X32" s="1808"/>
      <c r="Y32" s="3190"/>
      <c r="Z32" s="1809" t="str">
        <f t="shared" si="15"/>
        <v>公共部分装修</v>
      </c>
      <c r="AA32" s="1806">
        <f t="shared" si="3"/>
        <v>1</v>
      </c>
      <c r="AB32" s="1806">
        <f t="shared" si="4"/>
        <v>1</v>
      </c>
      <c r="AC32" s="1806">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90"/>
      <c r="Q33" s="1805" t="str">
        <f t="shared" si="11"/>
        <v>成新度</v>
      </c>
      <c r="R33" s="771" t="s">
        <v>17</v>
      </c>
      <c r="S33" s="772" t="e">
        <f t="shared" si="12"/>
        <v>#N/A</v>
      </c>
      <c r="T33" s="771" t="s">
        <v>17</v>
      </c>
      <c r="U33" s="772" t="e">
        <f t="shared" si="13"/>
        <v>#N/A</v>
      </c>
      <c r="V33" s="771" t="s">
        <v>17</v>
      </c>
      <c r="W33" s="772" t="e">
        <f t="shared" si="14"/>
        <v>#N/A</v>
      </c>
      <c r="X33" s="1808"/>
      <c r="Y33" s="3190"/>
      <c r="Z33" s="1809" t="str">
        <f t="shared" si="15"/>
        <v>成新度</v>
      </c>
      <c r="AA33" s="1806" t="e">
        <f t="shared" si="3"/>
        <v>#N/A</v>
      </c>
      <c r="AB33" s="1806" t="e">
        <f t="shared" si="4"/>
        <v>#N/A</v>
      </c>
      <c r="AC33" s="1806" t="e">
        <f t="shared" si="5"/>
        <v>#N/A</v>
      </c>
    </row>
    <row r="34" spans="1:29" s="115" customFormat="1" ht="15">
      <c r="A34" s="470"/>
      <c r="B34" s="419" t="s">
        <v>2679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90"/>
      <c r="Q34" s="1790" t="str">
        <f t="shared" si="11"/>
        <v>物业管理</v>
      </c>
      <c r="R34" s="767" t="s">
        <v>17</v>
      </c>
      <c r="S34" s="768">
        <f t="shared" si="12"/>
        <v>100</v>
      </c>
      <c r="T34" s="767" t="s">
        <v>17</v>
      </c>
      <c r="U34" s="768">
        <f t="shared" si="13"/>
        <v>100</v>
      </c>
      <c r="V34" s="767" t="s">
        <v>17</v>
      </c>
      <c r="W34" s="768">
        <f t="shared" si="14"/>
        <v>100</v>
      </c>
      <c r="X34" s="769"/>
      <c r="Y34" s="3190"/>
      <c r="Z34" s="55" t="str">
        <f t="shared" si="15"/>
        <v>物业管理</v>
      </c>
      <c r="AA34" s="770">
        <f t="shared" si="3"/>
        <v>1</v>
      </c>
      <c r="AB34" s="770">
        <f t="shared" si="4"/>
        <v>1</v>
      </c>
      <c r="AC34" s="770">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90" t="s">
        <v>2549</v>
      </c>
      <c r="Q35" s="1805" t="str">
        <f t="shared" si="11"/>
        <v>市政基础设施</v>
      </c>
      <c r="R35" s="771" t="s">
        <v>17</v>
      </c>
      <c r="S35" s="772">
        <f t="shared" si="12"/>
        <v>100</v>
      </c>
      <c r="T35" s="771" t="s">
        <v>17</v>
      </c>
      <c r="U35" s="772">
        <f t="shared" si="13"/>
        <v>100</v>
      </c>
      <c r="V35" s="771" t="s">
        <v>17</v>
      </c>
      <c r="W35" s="772">
        <f t="shared" si="14"/>
        <v>100</v>
      </c>
      <c r="X35" s="1808"/>
      <c r="Y35" s="3190" t="s">
        <v>2549</v>
      </c>
      <c r="Z35" s="1809" t="str">
        <f t="shared" si="15"/>
        <v>市政基础设施</v>
      </c>
      <c r="AA35" s="1806">
        <f t="shared" si="3"/>
        <v>1</v>
      </c>
      <c r="AB35" s="1806">
        <f t="shared" si="4"/>
        <v>1</v>
      </c>
      <c r="AC35" s="1806">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90"/>
      <c r="Q36" s="1805" t="str">
        <f t="shared" si="11"/>
        <v>内部装修</v>
      </c>
      <c r="R36" s="771" t="s">
        <v>17</v>
      </c>
      <c r="S36" s="772">
        <f t="shared" si="12"/>
        <v>100</v>
      </c>
      <c r="T36" s="771" t="s">
        <v>17</v>
      </c>
      <c r="U36" s="772">
        <f t="shared" si="13"/>
        <v>100</v>
      </c>
      <c r="V36" s="771" t="s">
        <v>17</v>
      </c>
      <c r="W36" s="772">
        <f t="shared" si="14"/>
        <v>100</v>
      </c>
      <c r="X36" s="1808"/>
      <c r="Y36" s="3190"/>
      <c r="Z36" s="1809" t="str">
        <f t="shared" si="15"/>
        <v>内部装修</v>
      </c>
      <c r="AA36" s="1806">
        <f t="shared" si="3"/>
        <v>1</v>
      </c>
      <c r="AB36" s="1806">
        <f t="shared" si="4"/>
        <v>1</v>
      </c>
      <c r="AC36" s="1806">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90"/>
      <c r="Q37" s="1805" t="str">
        <f t="shared" si="11"/>
        <v>内部装修状况</v>
      </c>
      <c r="R37" s="771" t="s">
        <v>17</v>
      </c>
      <c r="S37" s="772">
        <f t="shared" si="12"/>
        <v>100</v>
      </c>
      <c r="T37" s="771" t="s">
        <v>17</v>
      </c>
      <c r="U37" s="772">
        <f t="shared" si="13"/>
        <v>100</v>
      </c>
      <c r="V37" s="771" t="s">
        <v>17</v>
      </c>
      <c r="W37" s="772">
        <f t="shared" si="14"/>
        <v>100</v>
      </c>
      <c r="X37" s="1808"/>
      <c r="Y37" s="3190"/>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90"/>
      <c r="Q38" s="773">
        <f t="shared" si="11"/>
        <v>111</v>
      </c>
      <c r="R38" s="774" t="s">
        <v>17</v>
      </c>
      <c r="S38" s="775">
        <f t="shared" si="12"/>
        <v>100</v>
      </c>
      <c r="T38" s="774" t="s">
        <v>17</v>
      </c>
      <c r="U38" s="775">
        <f t="shared" si="13"/>
        <v>100</v>
      </c>
      <c r="V38" s="774" t="s">
        <v>17</v>
      </c>
      <c r="W38" s="775">
        <f t="shared" si="14"/>
        <v>100</v>
      </c>
      <c r="X38" s="776"/>
      <c r="Y38" s="3190"/>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90"/>
      <c r="Q39" s="1805">
        <f t="shared" si="11"/>
        <v>111</v>
      </c>
      <c r="R39" s="771" t="s">
        <v>17</v>
      </c>
      <c r="S39" s="772">
        <f t="shared" si="12"/>
        <v>100</v>
      </c>
      <c r="T39" s="771" t="s">
        <v>17</v>
      </c>
      <c r="U39" s="772">
        <f t="shared" si="13"/>
        <v>100</v>
      </c>
      <c r="V39" s="771" t="s">
        <v>17</v>
      </c>
      <c r="W39" s="772">
        <f t="shared" si="14"/>
        <v>100</v>
      </c>
      <c r="X39" s="1808"/>
      <c r="Y39" s="3190"/>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30"/>
      <c r="Q40" s="1805">
        <f t="shared" si="11"/>
        <v>111</v>
      </c>
      <c r="R40" s="771" t="s">
        <v>17</v>
      </c>
      <c r="S40" s="772">
        <f t="shared" si="12"/>
        <v>100</v>
      </c>
      <c r="T40" s="771" t="s">
        <v>17</v>
      </c>
      <c r="U40" s="772">
        <f t="shared" si="13"/>
        <v>100</v>
      </c>
      <c r="V40" s="771" t="s">
        <v>17</v>
      </c>
      <c r="W40" s="772">
        <f t="shared" si="14"/>
        <v>100</v>
      </c>
      <c r="X40" s="1808"/>
      <c r="Y40" s="3230"/>
      <c r="Z40" s="1809">
        <f t="shared" si="15"/>
        <v>111</v>
      </c>
      <c r="AA40" s="1806">
        <f t="shared" si="3"/>
        <v>1</v>
      </c>
      <c r="AB40" s="1806">
        <f t="shared" si="4"/>
        <v>1</v>
      </c>
      <c r="AC40" s="1806">
        <f t="shared" si="5"/>
        <v>1</v>
      </c>
    </row>
    <row r="41" spans="1:29" ht="15">
      <c r="A41" s="476" t="s">
        <v>2561</v>
      </c>
      <c r="B41" s="477"/>
      <c r="C41" s="1403" t="s">
        <v>1</v>
      </c>
      <c r="D41" s="1404"/>
      <c r="E41" s="1405"/>
      <c r="F41" s="1406"/>
      <c r="G41" s="1407"/>
      <c r="H41" s="1408"/>
      <c r="I41" s="1405"/>
      <c r="J41" s="1408"/>
      <c r="K41" s="780"/>
      <c r="L41" s="1139"/>
      <c r="M41" s="1140"/>
      <c r="N41" s="1127"/>
      <c r="O41" s="1140"/>
      <c r="P41" s="3185" t="str">
        <f>A41</f>
        <v>成交单价（元/平方米）</v>
      </c>
      <c r="Q41" s="3185"/>
      <c r="R41" s="3231">
        <f>E41</f>
        <v>0</v>
      </c>
      <c r="S41" s="3231"/>
      <c r="T41" s="3231">
        <f>G41</f>
        <v>0</v>
      </c>
      <c r="U41" s="3231"/>
      <c r="V41" s="3231">
        <f>I41</f>
        <v>0</v>
      </c>
      <c r="W41" s="3231"/>
      <c r="X41" s="756"/>
      <c r="Y41" s="778"/>
      <c r="Z41" s="756"/>
      <c r="AA41" s="756"/>
      <c r="AB41" s="756"/>
      <c r="AC41" s="756"/>
    </row>
    <row r="42" spans="1:29" ht="15.75" thickBot="1">
      <c r="A42" s="483" t="s">
        <v>2653</v>
      </c>
      <c r="B42" s="484"/>
      <c r="C42" s="1409" t="e">
        <f>R43</f>
        <v>#DIV/0!</v>
      </c>
      <c r="D42" s="1410"/>
      <c r="E42" s="1411" t="e">
        <f>R42</f>
        <v>#DIV/0!</v>
      </c>
      <c r="F42" s="1411"/>
      <c r="G42" s="1409" t="e">
        <f>T42</f>
        <v>#DIV/0!</v>
      </c>
      <c r="H42" s="1410"/>
      <c r="I42" s="1411" t="e">
        <f>V42</f>
        <v>#DIV/0!</v>
      </c>
      <c r="J42" s="1410"/>
      <c r="K42" s="781"/>
      <c r="L42" s="1139"/>
      <c r="M42" s="1140"/>
      <c r="N42" s="1127"/>
      <c r="O42" s="1140"/>
      <c r="P42" s="3185" t="str">
        <f>A42</f>
        <v>比较价值（元/平方米）</v>
      </c>
      <c r="Q42" s="3185"/>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6"/>
      <c r="Y42" s="756"/>
      <c r="Z42" s="756"/>
      <c r="AA42" s="756"/>
      <c r="AB42" s="756"/>
      <c r="AC42" s="756"/>
    </row>
    <row r="43" spans="1:29" ht="15.75" thickBot="1">
      <c r="A43" s="489" t="s">
        <v>2654</v>
      </c>
      <c r="B43" s="490"/>
      <c r="C43" s="1413" t="e">
        <f>R43</f>
        <v>#DIV/0!</v>
      </c>
      <c r="D43" s="1413"/>
      <c r="E43" s="1413"/>
      <c r="F43" s="1413"/>
      <c r="G43" s="1413"/>
      <c r="H43" s="1413"/>
      <c r="I43" s="1413"/>
      <c r="J43" s="1413"/>
      <c r="K43" s="782"/>
      <c r="L43" s="1139"/>
      <c r="M43" s="1140"/>
      <c r="N43" s="1140"/>
      <c r="O43" s="1140"/>
      <c r="P43" s="3179" t="str">
        <f>A43</f>
        <v>估价对象XX用房的比较价值（楼面单价，元/平方米）</v>
      </c>
      <c r="Q43" s="3180"/>
      <c r="R43" s="3232" t="e">
        <f>IF(F1="售价",ROUND(AVERAGE(R42:V42),0),ROUND(AVERAGE(R42:V42),1))</f>
        <v>#DIV/0!</v>
      </c>
      <c r="S43" s="3232"/>
      <c r="T43" s="3232"/>
      <c r="U43" s="3232"/>
      <c r="V43" s="3232"/>
      <c r="W43" s="3232"/>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2658</v>
      </c>
      <c r="B51" s="756"/>
      <c r="C51" s="761"/>
      <c r="D51" s="761"/>
      <c r="E51" s="761"/>
      <c r="F51" s="762"/>
      <c r="G51" s="762"/>
      <c r="H51" s="761"/>
      <c r="I51" s="761"/>
      <c r="J51" s="761"/>
      <c r="K51" s="1156"/>
      <c r="L51" s="1157"/>
      <c r="M51" s="1155"/>
      <c r="N51" s="1155"/>
      <c r="O51" s="1155"/>
      <c r="P51" s="500"/>
      <c r="Q51" s="501"/>
    </row>
    <row r="52" spans="1:17" s="505" customFormat="1" ht="15">
      <c r="A52" s="502" t="s">
        <v>2532</v>
      </c>
      <c r="B52" s="503"/>
      <c r="C52" s="1569" t="str">
        <f>YEAR(C7)&amp;"-"&amp;MONTH(C7)</f>
        <v>2018-11</v>
      </c>
      <c r="D52" s="1570">
        <f>EDATE(C52,-1)</f>
        <v>43374</v>
      </c>
      <c r="E52" s="1570">
        <f t="shared" ref="E52:O52" si="16">EDATE(D52,-1)</f>
        <v>43344</v>
      </c>
      <c r="F52" s="1570">
        <f t="shared" si="16"/>
        <v>43313</v>
      </c>
      <c r="G52" s="1570">
        <f t="shared" si="16"/>
        <v>43282</v>
      </c>
      <c r="H52" s="1570">
        <f t="shared" si="16"/>
        <v>43252</v>
      </c>
      <c r="I52" s="1570">
        <f t="shared" si="16"/>
        <v>43221</v>
      </c>
      <c r="J52" s="1570">
        <f t="shared" si="16"/>
        <v>43191</v>
      </c>
      <c r="K52" s="1570">
        <f t="shared" si="16"/>
        <v>43160</v>
      </c>
      <c r="L52" s="1570">
        <f t="shared" si="16"/>
        <v>43132</v>
      </c>
      <c r="M52" s="1570">
        <f t="shared" si="16"/>
        <v>43101</v>
      </c>
      <c r="N52" s="1570">
        <f t="shared" si="16"/>
        <v>43070</v>
      </c>
      <c r="O52" s="1570">
        <f t="shared" si="16"/>
        <v>43040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2569</v>
      </c>
      <c r="B54" s="513"/>
      <c r="C54" s="514"/>
      <c r="D54" s="515"/>
      <c r="E54" s="515"/>
      <c r="F54" s="515"/>
      <c r="G54" s="515"/>
      <c r="H54" s="515"/>
      <c r="I54" s="515"/>
      <c r="J54" s="515"/>
      <c r="K54" s="515"/>
      <c r="L54" s="515"/>
      <c r="M54" s="516"/>
      <c r="N54" s="515"/>
      <c r="O54" s="517"/>
      <c r="P54" s="501"/>
      <c r="Q54" s="501"/>
    </row>
    <row r="55" spans="1:17" s="115" customFormat="1" ht="15">
      <c r="A55" s="518" t="s">
        <v>2534</v>
      </c>
      <c r="B55" s="507"/>
      <c r="C55" s="519" t="s">
        <v>2636</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2572</v>
      </c>
      <c r="B57" s="525" t="s">
        <v>2538</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2547</v>
      </c>
      <c r="B88" s="525" t="s">
        <v>2596</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2598</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2600</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2601</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2602</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2604</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17"/>
      <c r="F1" s="2580"/>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2314</v>
      </c>
      <c r="B2" s="1414" t="e">
        <f ca="1">IF(C2="——",IF(B37="元/平方米",ROUND(C39*D3/10000,0),ROUND(F3*C39/10000,0)),IF(B37="元/平方米",ROUND(C39*D3/10000,0),ROUND(F3*C39/10000,0))-D2)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2316</v>
      </c>
      <c r="B3" s="606" t="e">
        <f ca="1">IF(AND(C2="——",B37="元/平方米"),C39,ROUND(B2*10000/D3,0))</f>
        <v>#DIV/0!</v>
      </c>
      <c r="C3" s="397" t="s">
        <v>2628</v>
      </c>
      <c r="D3" s="396">
        <f>SUMIF('数据-汇总表'!$C19:$C33,D1,'数据-汇总表'!$E19:$E33)</f>
        <v>0</v>
      </c>
      <c r="E3" s="397" t="s">
        <v>2692</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3" t="s">
        <v>2632</v>
      </c>
      <c r="AC4" s="3192" t="s">
        <v>2633</v>
      </c>
    </row>
    <row r="5" spans="1:29" ht="15">
      <c r="A5" s="401"/>
      <c r="B5" s="402"/>
      <c r="C5" s="3222" t="s">
        <v>2526</v>
      </c>
      <c r="D5" s="3213"/>
      <c r="E5" s="3260" t="s">
        <v>2527</v>
      </c>
      <c r="F5" s="3221"/>
      <c r="G5" s="3222" t="s">
        <v>2528</v>
      </c>
      <c r="H5" s="3213"/>
      <c r="I5" s="3222" t="s">
        <v>2529</v>
      </c>
      <c r="J5" s="3213"/>
      <c r="K5" s="607"/>
      <c r="L5" s="1126"/>
      <c r="M5" s="1127"/>
      <c r="N5" s="1127"/>
      <c r="O5" s="1127"/>
      <c r="P5" s="3200"/>
      <c r="Q5" s="3201"/>
      <c r="R5" s="3206"/>
      <c r="S5" s="3207"/>
      <c r="T5" s="3206"/>
      <c r="U5" s="3207"/>
      <c r="V5" s="3191"/>
      <c r="W5" s="3191"/>
      <c r="X5" s="1808"/>
      <c r="Y5" s="3206"/>
      <c r="Z5" s="3207"/>
      <c r="AA5" s="3193"/>
      <c r="AB5" s="3193"/>
      <c r="AC5" s="3193"/>
    </row>
    <row r="6" spans="1:29" ht="15.75" thickBot="1">
      <c r="A6" s="403"/>
      <c r="B6" s="404"/>
      <c r="C6" s="3210" t="s">
        <v>2530</v>
      </c>
      <c r="D6" s="3211"/>
      <c r="E6" s="3218" t="s">
        <v>2530</v>
      </c>
      <c r="F6" s="3219"/>
      <c r="G6" s="3210" t="s">
        <v>2530</v>
      </c>
      <c r="H6" s="3211"/>
      <c r="I6" s="3210" t="s">
        <v>2530</v>
      </c>
      <c r="J6" s="3211"/>
      <c r="K6" s="607" t="s">
        <v>2531</v>
      </c>
      <c r="L6" s="1126"/>
      <c r="M6" s="1127"/>
      <c r="N6" s="1127"/>
      <c r="O6" s="1127"/>
      <c r="P6" s="3202"/>
      <c r="Q6" s="3203"/>
      <c r="R6" s="3206"/>
      <c r="S6" s="3207"/>
      <c r="T6" s="3208"/>
      <c r="U6" s="3209"/>
      <c r="V6" s="3191"/>
      <c r="W6" s="3191"/>
      <c r="X6" s="1808"/>
      <c r="Y6" s="3208"/>
      <c r="Z6" s="3209"/>
      <c r="AA6" s="3194"/>
      <c r="AB6" s="3194"/>
      <c r="AC6" s="3194"/>
    </row>
    <row r="7" spans="1:29" s="115" customFormat="1" ht="15.75" thickBot="1">
      <c r="A7" s="405" t="s">
        <v>2532</v>
      </c>
      <c r="B7" s="406"/>
      <c r="C7" s="407">
        <f>'数据-取费表'!B2</f>
        <v>43433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14" t="s">
        <v>2533</v>
      </c>
      <c r="Q7" s="3216"/>
      <c r="R7" s="767" t="s">
        <v>17</v>
      </c>
      <c r="S7" s="768">
        <f t="shared" ref="S7:S14" si="0">F7</f>
        <v>0</v>
      </c>
      <c r="T7" s="767" t="s">
        <v>17</v>
      </c>
      <c r="U7" s="768">
        <f t="shared" ref="U7:U14" si="1">H7</f>
        <v>0</v>
      </c>
      <c r="V7" s="767" t="s">
        <v>17</v>
      </c>
      <c r="W7" s="768">
        <f t="shared" ref="W7:W14" si="2">J7</f>
        <v>0</v>
      </c>
      <c r="X7" s="769"/>
      <c r="Y7" s="3214" t="s">
        <v>2533</v>
      </c>
      <c r="Z7" s="3215"/>
      <c r="AA7" s="770" t="e">
        <f>D7/F7</f>
        <v>#DIV/0!</v>
      </c>
      <c r="AB7" s="770" t="e">
        <f>D7/H7</f>
        <v>#DIV/0!</v>
      </c>
      <c r="AC7" s="770" t="e">
        <f>D7/J7</f>
        <v>#DIV/0!</v>
      </c>
    </row>
    <row r="8" spans="1:29" s="115" customFormat="1" ht="15.75" thickBot="1">
      <c r="A8" s="405" t="s">
        <v>2534</v>
      </c>
      <c r="B8" s="406"/>
      <c r="C8" s="411" t="s">
        <v>2636</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14" t="s">
        <v>2536</v>
      </c>
      <c r="Q8" s="3215"/>
      <c r="R8" s="767" t="s">
        <v>17</v>
      </c>
      <c r="S8" s="768">
        <f t="shared" si="0"/>
        <v>0</v>
      </c>
      <c r="T8" s="767" t="s">
        <v>17</v>
      </c>
      <c r="U8" s="768">
        <f t="shared" si="1"/>
        <v>0</v>
      </c>
      <c r="V8" s="767" t="s">
        <v>17</v>
      </c>
      <c r="W8" s="768">
        <f t="shared" si="2"/>
        <v>0</v>
      </c>
      <c r="X8" s="769"/>
      <c r="Y8" s="3214" t="s">
        <v>2536</v>
      </c>
      <c r="Z8" s="3215"/>
      <c r="AA8" s="770" t="e">
        <f t="shared" ref="AA8:AA36" si="3">D8/F8</f>
        <v>#DIV/0!</v>
      </c>
      <c r="AB8" s="770" t="e">
        <f t="shared" ref="AB8:AB36" si="4">D8/H8</f>
        <v>#DIV/0!</v>
      </c>
      <c r="AC8" s="770" t="e">
        <f t="shared" ref="AC8:AC36" si="5">D8/J8</f>
        <v>#DIV/0!</v>
      </c>
    </row>
    <row r="9" spans="1:29" s="115" customFormat="1">
      <c r="A9" s="68" t="s">
        <v>2537</v>
      </c>
      <c r="B9" s="637" t="s">
        <v>2538</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85" t="s">
        <v>2539</v>
      </c>
      <c r="Q9" s="1790" t="str">
        <f t="shared" ref="Q9:Q14" si="6">B9</f>
        <v>用途</v>
      </c>
      <c r="R9" s="767" t="s">
        <v>17</v>
      </c>
      <c r="S9" s="768">
        <f t="shared" si="0"/>
        <v>100</v>
      </c>
      <c r="T9" s="767" t="s">
        <v>17</v>
      </c>
      <c r="U9" s="768">
        <f t="shared" si="1"/>
        <v>100</v>
      </c>
      <c r="V9" s="767" t="s">
        <v>17</v>
      </c>
      <c r="W9" s="768">
        <f t="shared" si="2"/>
        <v>100</v>
      </c>
      <c r="X9" s="769"/>
      <c r="Y9" s="3032" t="s">
        <v>2540</v>
      </c>
      <c r="Z9" s="55" t="str">
        <f t="shared" ref="Z9:Z14" si="7">Q9</f>
        <v>用途</v>
      </c>
      <c r="AA9" s="770">
        <f t="shared" si="3"/>
        <v>1</v>
      </c>
      <c r="AB9" s="770">
        <f t="shared" si="4"/>
        <v>1</v>
      </c>
      <c r="AC9" s="770">
        <f t="shared" si="5"/>
        <v>1</v>
      </c>
    </row>
    <row r="10" spans="1:29" s="424" customFormat="1" ht="27">
      <c r="A10" s="638"/>
      <c r="B10" s="639" t="s">
        <v>2541</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85"/>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85"/>
      <c r="Q11" s="1790">
        <f t="shared" si="6"/>
        <v>111</v>
      </c>
      <c r="R11" s="767" t="s">
        <v>17</v>
      </c>
      <c r="S11" s="768">
        <f t="shared" si="0"/>
        <v>100</v>
      </c>
      <c r="T11" s="767" t="s">
        <v>17</v>
      </c>
      <c r="U11" s="768">
        <f t="shared" si="1"/>
        <v>100</v>
      </c>
      <c r="V11" s="767" t="s">
        <v>17</v>
      </c>
      <c r="W11" s="768">
        <f t="shared" si="2"/>
        <v>100</v>
      </c>
      <c r="X11" s="769"/>
      <c r="Y11" s="3032"/>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85"/>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85"/>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
      <c r="A14" s="398" t="s">
        <v>2543</v>
      </c>
      <c r="B14" s="626" t="s">
        <v>2693</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87" t="s">
        <v>2544</v>
      </c>
      <c r="Q14" s="1805" t="str">
        <f t="shared" si="6"/>
        <v>交通便捷度</v>
      </c>
      <c r="R14" s="771" t="s">
        <v>17</v>
      </c>
      <c r="S14" s="772">
        <f t="shared" si="0"/>
        <v>100</v>
      </c>
      <c r="T14" s="771" t="s">
        <v>17</v>
      </c>
      <c r="U14" s="772">
        <f t="shared" si="1"/>
        <v>100</v>
      </c>
      <c r="V14" s="771" t="s">
        <v>17</v>
      </c>
      <c r="W14" s="772">
        <f t="shared" si="2"/>
        <v>100</v>
      </c>
      <c r="X14" s="1808"/>
      <c r="Y14" s="3187" t="s">
        <v>2544</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188"/>
      <c r="Q15" s="1805"/>
      <c r="R15" s="771"/>
      <c r="S15" s="772"/>
      <c r="T15" s="771"/>
      <c r="U15" s="772"/>
      <c r="V15" s="771"/>
      <c r="W15" s="772"/>
      <c r="X15" s="1808"/>
      <c r="Y15" s="3188"/>
      <c r="Z15" s="1809"/>
      <c r="AA15" s="1806">
        <v>1</v>
      </c>
      <c r="AB15" s="1806">
        <v>1</v>
      </c>
      <c r="AC15" s="1806">
        <v>1</v>
      </c>
    </row>
    <row r="16" spans="1:29" ht="15">
      <c r="A16" s="401"/>
      <c r="B16" s="628" t="s">
        <v>2672</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88"/>
      <c r="Q16" s="1805" t="str">
        <f>B16</f>
        <v>公共配套设施</v>
      </c>
      <c r="R16" s="771" t="s">
        <v>17</v>
      </c>
      <c r="S16" s="772">
        <f>F16</f>
        <v>100</v>
      </c>
      <c r="T16" s="771" t="s">
        <v>17</v>
      </c>
      <c r="U16" s="772">
        <f>H16</f>
        <v>100</v>
      </c>
      <c r="V16" s="771" t="s">
        <v>17</v>
      </c>
      <c r="W16" s="772">
        <f>J16</f>
        <v>100</v>
      </c>
      <c r="X16" s="1808"/>
      <c r="Y16" s="3188"/>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188"/>
      <c r="Q17" s="1805"/>
      <c r="R17" s="771"/>
      <c r="S17" s="772"/>
      <c r="T17" s="771"/>
      <c r="U17" s="772"/>
      <c r="V17" s="771"/>
      <c r="W17" s="772"/>
      <c r="X17" s="1808"/>
      <c r="Y17" s="3188"/>
      <c r="Z17" s="1809"/>
      <c r="AA17" s="1806">
        <v>1</v>
      </c>
      <c r="AB17" s="1806">
        <v>1</v>
      </c>
      <c r="AC17" s="1806">
        <v>1</v>
      </c>
    </row>
    <row r="18" spans="1:29" ht="15">
      <c r="A18" s="401"/>
      <c r="B18" s="630" t="s">
        <v>2673</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88"/>
      <c r="Q18" s="1805" t="str">
        <f>B18</f>
        <v>基础设施水平</v>
      </c>
      <c r="R18" s="771" t="s">
        <v>17</v>
      </c>
      <c r="S18" s="772">
        <f>F18</f>
        <v>100</v>
      </c>
      <c r="T18" s="771" t="s">
        <v>17</v>
      </c>
      <c r="U18" s="772">
        <f>H18</f>
        <v>100</v>
      </c>
      <c r="V18" s="771" t="s">
        <v>17</v>
      </c>
      <c r="W18" s="772">
        <f>J18</f>
        <v>100</v>
      </c>
      <c r="X18" s="1808"/>
      <c r="Y18" s="3188"/>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188"/>
      <c r="Q19" s="1805"/>
      <c r="R19" s="771"/>
      <c r="S19" s="772"/>
      <c r="T19" s="771"/>
      <c r="U19" s="772"/>
      <c r="V19" s="771"/>
      <c r="W19" s="772"/>
      <c r="X19" s="1808"/>
      <c r="Y19" s="3188"/>
      <c r="Z19" s="1809"/>
      <c r="AA19" s="1806">
        <v>1</v>
      </c>
      <c r="AB19" s="1806">
        <v>1</v>
      </c>
      <c r="AC19" s="1806">
        <v>1</v>
      </c>
    </row>
    <row r="20" spans="1:29" ht="15">
      <c r="A20" s="401"/>
      <c r="B20" s="628" t="s">
        <v>2694</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88"/>
      <c r="Q20" s="1805" t="str">
        <f>B20</f>
        <v>自然及人文环境</v>
      </c>
      <c r="R20" s="771" t="s">
        <v>17</v>
      </c>
      <c r="S20" s="772">
        <f>F20</f>
        <v>100</v>
      </c>
      <c r="T20" s="771" t="s">
        <v>17</v>
      </c>
      <c r="U20" s="772">
        <f>H20</f>
        <v>100</v>
      </c>
      <c r="V20" s="771" t="s">
        <v>17</v>
      </c>
      <c r="W20" s="772">
        <f>J20</f>
        <v>100</v>
      </c>
      <c r="X20" s="1808"/>
      <c r="Y20" s="3188"/>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188"/>
      <c r="Q21" s="1805"/>
      <c r="R21" s="771"/>
      <c r="S21" s="772"/>
      <c r="T21" s="771"/>
      <c r="U21" s="772"/>
      <c r="V21" s="771"/>
      <c r="W21" s="772"/>
      <c r="X21" s="1808"/>
      <c r="Y21" s="3188"/>
      <c r="Z21" s="1809"/>
      <c r="AA21" s="1806">
        <v>1</v>
      </c>
      <c r="AB21" s="1806">
        <v>1</v>
      </c>
      <c r="AC21" s="1806">
        <v>1</v>
      </c>
    </row>
    <row r="22" spans="1:29" ht="15">
      <c r="A22" s="401"/>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88"/>
      <c r="Q22" s="1805" t="str">
        <f>B22</f>
        <v>楼层</v>
      </c>
      <c r="R22" s="771" t="s">
        <v>17</v>
      </c>
      <c r="S22" s="772">
        <f>F22</f>
        <v>100</v>
      </c>
      <c r="T22" s="771" t="s">
        <v>17</v>
      </c>
      <c r="U22" s="772">
        <f>H22</f>
        <v>100</v>
      </c>
      <c r="V22" s="771" t="s">
        <v>17</v>
      </c>
      <c r="W22" s="772">
        <f>J22</f>
        <v>100</v>
      </c>
      <c r="X22" s="1808"/>
      <c r="Y22" s="3188"/>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88"/>
      <c r="Q23" s="1805">
        <f>B23</f>
        <v>111</v>
      </c>
      <c r="R23" s="771" t="s">
        <v>17</v>
      </c>
      <c r="S23" s="772">
        <f>F23</f>
        <v>100</v>
      </c>
      <c r="T23" s="771" t="s">
        <v>17</v>
      </c>
      <c r="U23" s="772">
        <f>H23</f>
        <v>100</v>
      </c>
      <c r="V23" s="771" t="s">
        <v>17</v>
      </c>
      <c r="W23" s="772">
        <f>J23</f>
        <v>100</v>
      </c>
      <c r="X23" s="1808"/>
      <c r="Y23" s="3188"/>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88"/>
      <c r="Q24" s="1805">
        <f t="shared" ref="Q24:Q36" si="11">B24</f>
        <v>111</v>
      </c>
      <c r="R24" s="771" t="s">
        <v>17</v>
      </c>
      <c r="S24" s="772">
        <f>F24</f>
        <v>100</v>
      </c>
      <c r="T24" s="771" t="s">
        <v>17</v>
      </c>
      <c r="U24" s="772">
        <f>H24</f>
        <v>100</v>
      </c>
      <c r="V24" s="771" t="s">
        <v>17</v>
      </c>
      <c r="W24" s="772">
        <f>J24</f>
        <v>100</v>
      </c>
      <c r="X24" s="1808"/>
      <c r="Y24" s="3188"/>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88"/>
      <c r="Q25" s="1790">
        <f t="shared" si="11"/>
        <v>111</v>
      </c>
      <c r="R25" s="767" t="s">
        <v>17</v>
      </c>
      <c r="S25" s="768">
        <f>F25</f>
        <v>100</v>
      </c>
      <c r="T25" s="767" t="s">
        <v>17</v>
      </c>
      <c r="U25" s="768">
        <f>H25</f>
        <v>100</v>
      </c>
      <c r="V25" s="767" t="s">
        <v>17</v>
      </c>
      <c r="W25" s="768">
        <f>J25</f>
        <v>100</v>
      </c>
      <c r="X25" s="769"/>
      <c r="Y25" s="3188"/>
      <c r="Z25" s="55">
        <f>Q25</f>
        <v>111</v>
      </c>
      <c r="AA25" s="1806">
        <f>D25/F25</f>
        <v>1</v>
      </c>
      <c r="AB25" s="1806">
        <f>D25/H25</f>
        <v>1</v>
      </c>
      <c r="AC25" s="1806">
        <f>D25/J25</f>
        <v>1</v>
      </c>
    </row>
    <row r="26" spans="1:29" ht="15">
      <c r="A26" s="649" t="s">
        <v>2547</v>
      </c>
      <c r="B26" s="70" t="s">
        <v>2696</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189" t="s">
        <v>2549</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90" t="s">
        <v>2549</v>
      </c>
      <c r="Z26" s="1809" t="str">
        <f t="shared" ref="Z26:Z36" si="15">Q26</f>
        <v>配套类型</v>
      </c>
      <c r="AA26" s="1806">
        <f t="shared" si="3"/>
        <v>1</v>
      </c>
      <c r="AB26" s="1806">
        <f t="shared" si="4"/>
        <v>1</v>
      </c>
      <c r="AC26" s="1806">
        <f t="shared" si="5"/>
        <v>1</v>
      </c>
    </row>
    <row r="27" spans="1:29" s="468" customFormat="1" ht="15">
      <c r="A27" s="650"/>
      <c r="B27" s="651" t="s">
        <v>2697</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190"/>
      <c r="Q27" s="773" t="str">
        <f t="shared" si="11"/>
        <v>项目停车位配比</v>
      </c>
      <c r="R27" s="774" t="s">
        <v>17</v>
      </c>
      <c r="S27" s="775">
        <f t="shared" si="12"/>
        <v>100</v>
      </c>
      <c r="T27" s="774" t="s">
        <v>17</v>
      </c>
      <c r="U27" s="775">
        <f t="shared" si="13"/>
        <v>100</v>
      </c>
      <c r="V27" s="774" t="s">
        <v>17</v>
      </c>
      <c r="W27" s="775">
        <f t="shared" si="14"/>
        <v>100</v>
      </c>
      <c r="X27" s="776"/>
      <c r="Y27" s="3190"/>
      <c r="Z27" s="777" t="str">
        <f t="shared" si="15"/>
        <v>项目停车位配比</v>
      </c>
      <c r="AA27" s="1806">
        <f t="shared" si="3"/>
        <v>1</v>
      </c>
      <c r="AB27" s="1806">
        <f t="shared" si="4"/>
        <v>1</v>
      </c>
      <c r="AC27" s="1806">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90"/>
      <c r="Q28" s="1805" t="str">
        <f t="shared" si="11"/>
        <v>公共部分装修</v>
      </c>
      <c r="R28" s="771" t="s">
        <v>17</v>
      </c>
      <c r="S28" s="772">
        <f t="shared" si="12"/>
        <v>100</v>
      </c>
      <c r="T28" s="771" t="s">
        <v>17</v>
      </c>
      <c r="U28" s="772">
        <f t="shared" si="13"/>
        <v>100</v>
      </c>
      <c r="V28" s="771" t="s">
        <v>17</v>
      </c>
      <c r="W28" s="772">
        <f t="shared" si="14"/>
        <v>100</v>
      </c>
      <c r="X28" s="1808"/>
      <c r="Y28" s="3190"/>
      <c r="Z28" s="1809" t="str">
        <f t="shared" si="15"/>
        <v>公共部分装修</v>
      </c>
      <c r="AA28" s="1806">
        <f t="shared" si="3"/>
        <v>1</v>
      </c>
      <c r="AB28" s="1806">
        <f t="shared" si="4"/>
        <v>1</v>
      </c>
      <c r="AC28" s="1806">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90"/>
      <c r="Q29" s="1805" t="str">
        <f t="shared" si="11"/>
        <v>成新率</v>
      </c>
      <c r="R29" s="771" t="s">
        <v>17</v>
      </c>
      <c r="S29" s="772" t="e">
        <f t="shared" si="12"/>
        <v>#N/A</v>
      </c>
      <c r="T29" s="771" t="s">
        <v>17</v>
      </c>
      <c r="U29" s="772" t="e">
        <f t="shared" si="13"/>
        <v>#N/A</v>
      </c>
      <c r="V29" s="771" t="s">
        <v>17</v>
      </c>
      <c r="W29" s="772" t="e">
        <f t="shared" si="14"/>
        <v>#N/A</v>
      </c>
      <c r="X29" s="1808"/>
      <c r="Y29" s="3190"/>
      <c r="Z29" s="1809" t="str">
        <f t="shared" si="15"/>
        <v>成新率</v>
      </c>
      <c r="AA29" s="1806" t="e">
        <f t="shared" si="3"/>
        <v>#N/A</v>
      </c>
      <c r="AB29" s="1806" t="e">
        <f t="shared" si="4"/>
        <v>#N/A</v>
      </c>
      <c r="AC29" s="1806"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190"/>
      <c r="Q30" s="1805" t="str">
        <f t="shared" si="11"/>
        <v>物业等级</v>
      </c>
      <c r="R30" s="771" t="s">
        <v>17</v>
      </c>
      <c r="S30" s="772">
        <f t="shared" si="12"/>
        <v>100</v>
      </c>
      <c r="T30" s="771" t="s">
        <v>17</v>
      </c>
      <c r="U30" s="772">
        <f t="shared" si="13"/>
        <v>100</v>
      </c>
      <c r="V30" s="771" t="s">
        <v>17</v>
      </c>
      <c r="W30" s="772">
        <f t="shared" si="14"/>
        <v>100</v>
      </c>
      <c r="X30" s="1808"/>
      <c r="Y30" s="3190"/>
      <c r="Z30" s="1809" t="str">
        <f t="shared" si="15"/>
        <v>物业等级</v>
      </c>
      <c r="AA30" s="1806">
        <f t="shared" si="3"/>
        <v>1</v>
      </c>
      <c r="AB30" s="1806">
        <f t="shared" si="4"/>
        <v>1</v>
      </c>
      <c r="AC30" s="1806">
        <f t="shared" si="5"/>
        <v>1</v>
      </c>
    </row>
    <row r="31" spans="1:29" s="115" customFormat="1" ht="15">
      <c r="A31" s="655"/>
      <c r="B31" s="651" t="s">
        <v>2701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90"/>
      <c r="Q31" s="1790" t="str">
        <f t="shared" si="11"/>
        <v>停车位面积</v>
      </c>
      <c r="R31" s="767" t="s">
        <v>17</v>
      </c>
      <c r="S31" s="768" t="e">
        <f t="shared" si="12"/>
        <v>#N/A</v>
      </c>
      <c r="T31" s="767" t="s">
        <v>17</v>
      </c>
      <c r="U31" s="768" t="e">
        <f t="shared" si="13"/>
        <v>#N/A</v>
      </c>
      <c r="V31" s="767" t="s">
        <v>17</v>
      </c>
      <c r="W31" s="768" t="e">
        <f t="shared" si="14"/>
        <v>#N/A</v>
      </c>
      <c r="X31" s="769"/>
      <c r="Y31" s="3190"/>
      <c r="Z31" s="55" t="str">
        <f t="shared" si="15"/>
        <v>停车位面积</v>
      </c>
      <c r="AA31" s="770" t="e">
        <f t="shared" si="3"/>
        <v>#N/A</v>
      </c>
      <c r="AB31" s="770" t="e">
        <f t="shared" si="4"/>
        <v>#N/A</v>
      </c>
      <c r="AC31" s="770"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90" t="s">
        <v>2549</v>
      </c>
      <c r="Q32" s="1805" t="str">
        <f t="shared" si="11"/>
        <v>车位类型</v>
      </c>
      <c r="R32" s="771" t="s">
        <v>17</v>
      </c>
      <c r="S32" s="772">
        <f t="shared" si="12"/>
        <v>100</v>
      </c>
      <c r="T32" s="771" t="s">
        <v>17</v>
      </c>
      <c r="U32" s="772">
        <f t="shared" si="13"/>
        <v>100</v>
      </c>
      <c r="V32" s="771" t="s">
        <v>17</v>
      </c>
      <c r="W32" s="772">
        <f t="shared" si="14"/>
        <v>100</v>
      </c>
      <c r="X32" s="1808"/>
      <c r="Y32" s="3190" t="s">
        <v>2549</v>
      </c>
      <c r="Z32" s="1809" t="str">
        <f t="shared" si="15"/>
        <v>车位类型</v>
      </c>
      <c r="AA32" s="1806">
        <f t="shared" si="3"/>
        <v>1</v>
      </c>
      <c r="AB32" s="1806">
        <f t="shared" si="4"/>
        <v>1</v>
      </c>
      <c r="AC32" s="1806">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90"/>
      <c r="Q33" s="1805" t="str">
        <f t="shared" si="11"/>
        <v>是否直接入户</v>
      </c>
      <c r="R33" s="771" t="s">
        <v>17</v>
      </c>
      <c r="S33" s="772">
        <f t="shared" si="12"/>
        <v>100</v>
      </c>
      <c r="T33" s="771" t="s">
        <v>17</v>
      </c>
      <c r="U33" s="772">
        <f t="shared" si="13"/>
        <v>100</v>
      </c>
      <c r="V33" s="771" t="s">
        <v>17</v>
      </c>
      <c r="W33" s="772">
        <f t="shared" si="14"/>
        <v>100</v>
      </c>
      <c r="X33" s="1808"/>
      <c r="Y33" s="3190"/>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90"/>
      <c r="Q34" s="1805">
        <f t="shared" si="11"/>
        <v>111</v>
      </c>
      <c r="R34" s="771" t="s">
        <v>17</v>
      </c>
      <c r="S34" s="772">
        <f t="shared" si="12"/>
        <v>100</v>
      </c>
      <c r="T34" s="771" t="s">
        <v>17</v>
      </c>
      <c r="U34" s="772">
        <f t="shared" si="13"/>
        <v>100</v>
      </c>
      <c r="V34" s="771" t="s">
        <v>17</v>
      </c>
      <c r="W34" s="772">
        <f t="shared" si="14"/>
        <v>100</v>
      </c>
      <c r="X34" s="1808"/>
      <c r="Y34" s="3190"/>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90"/>
      <c r="Q35" s="773">
        <f t="shared" si="11"/>
        <v>111</v>
      </c>
      <c r="R35" s="774" t="s">
        <v>17</v>
      </c>
      <c r="S35" s="775">
        <f t="shared" si="12"/>
        <v>100</v>
      </c>
      <c r="T35" s="774" t="s">
        <v>17</v>
      </c>
      <c r="U35" s="775">
        <f t="shared" si="13"/>
        <v>100</v>
      </c>
      <c r="V35" s="774" t="s">
        <v>17</v>
      </c>
      <c r="W35" s="775">
        <f t="shared" si="14"/>
        <v>100</v>
      </c>
      <c r="X35" s="776"/>
      <c r="Y35" s="3190"/>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90"/>
      <c r="Q36" s="1805">
        <f t="shared" si="11"/>
        <v>111</v>
      </c>
      <c r="R36" s="771" t="s">
        <v>17</v>
      </c>
      <c r="S36" s="772">
        <f t="shared" si="12"/>
        <v>100</v>
      </c>
      <c r="T36" s="771" t="s">
        <v>17</v>
      </c>
      <c r="U36" s="772">
        <f t="shared" si="13"/>
        <v>100</v>
      </c>
      <c r="V36" s="771" t="s">
        <v>17</v>
      </c>
      <c r="W36" s="772">
        <f t="shared" si="14"/>
        <v>100</v>
      </c>
      <c r="X36" s="1808"/>
      <c r="Y36" s="3190"/>
      <c r="Z36" s="1809">
        <f t="shared" si="15"/>
        <v>111</v>
      </c>
      <c r="AA36" s="1806">
        <f t="shared" si="3"/>
        <v>1</v>
      </c>
      <c r="AB36" s="1806">
        <f t="shared" si="4"/>
        <v>1</v>
      </c>
      <c r="AC36" s="1806">
        <f t="shared" si="5"/>
        <v>1</v>
      </c>
    </row>
    <row r="37" spans="1:29" ht="15">
      <c r="A37" s="476" t="s">
        <v>2704</v>
      </c>
      <c r="B37" s="2691" t="s">
        <v>2705</v>
      </c>
      <c r="C37" s="1403" t="s">
        <v>1</v>
      </c>
      <c r="D37" s="1404"/>
      <c r="E37" s="1405"/>
      <c r="F37" s="1406"/>
      <c r="G37" s="1407"/>
      <c r="H37" s="1408"/>
      <c r="I37" s="1405"/>
      <c r="J37" s="1408"/>
      <c r="K37" s="616"/>
      <c r="L37" s="1139"/>
      <c r="M37" s="1140"/>
      <c r="N37" s="1127"/>
      <c r="O37" s="1140"/>
      <c r="P37" s="3185" t="str">
        <f>A37</f>
        <v>成交单价</v>
      </c>
      <c r="Q37" s="3185"/>
      <c r="R37" s="3231">
        <f>E37</f>
        <v>0</v>
      </c>
      <c r="S37" s="3231"/>
      <c r="T37" s="3231">
        <f>G37</f>
        <v>0</v>
      </c>
      <c r="U37" s="3231"/>
      <c r="V37" s="3231">
        <f>I37</f>
        <v>0</v>
      </c>
      <c r="W37" s="3231"/>
      <c r="X37" s="756"/>
      <c r="Y37" s="778"/>
      <c r="Z37" s="756"/>
      <c r="AA37" s="756"/>
      <c r="AB37" s="756"/>
      <c r="AC37" s="756"/>
    </row>
    <row r="38" spans="1:29" ht="15.75" thickBot="1">
      <c r="A38" s="483" t="s">
        <v>2706</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85" t="str">
        <f>A38</f>
        <v>比较价值（元/平方米）</v>
      </c>
      <c r="Q38" s="3185"/>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6"/>
      <c r="Y38" s="756"/>
      <c r="Z38" s="756"/>
      <c r="AA38" s="756"/>
      <c r="AB38" s="756"/>
      <c r="AC38" s="756"/>
    </row>
    <row r="39" spans="1:29" ht="15.75" thickBot="1">
      <c r="A39" s="489" t="s">
        <v>2707</v>
      </c>
      <c r="B39" s="490"/>
      <c r="C39" s="1413" t="e">
        <f>R39</f>
        <v>#DIV/0!</v>
      </c>
      <c r="D39" s="1413"/>
      <c r="E39" s="1413"/>
      <c r="F39" s="1413"/>
      <c r="G39" s="1413"/>
      <c r="H39" s="1413"/>
      <c r="I39" s="1413"/>
      <c r="J39" s="1413"/>
      <c r="K39" s="618"/>
      <c r="L39" s="1139"/>
      <c r="M39" s="1140"/>
      <c r="N39" s="1140"/>
      <c r="O39" s="1140"/>
      <c r="P39" s="3179" t="str">
        <f>A39</f>
        <v>估价对象XX用房的比较价值（楼面单价，元/平方米）</v>
      </c>
      <c r="Q39" s="3180"/>
      <c r="R39" s="3232" t="e">
        <f>IF(F1="售价",ROUND(AVERAGE(R38:V38),0),ROUND(AVERAGE(R38:V38),1))</f>
        <v>#DIV/0!</v>
      </c>
      <c r="S39" s="3232"/>
      <c r="T39" s="3232"/>
      <c r="U39" s="3232"/>
      <c r="V39" s="3232"/>
      <c r="W39" s="3232"/>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2712</v>
      </c>
      <c r="B48" s="503"/>
      <c r="C48" s="1569" t="str">
        <f>YEAR(C7)&amp;"-"&amp;MONTH(C7)</f>
        <v>2018-11</v>
      </c>
      <c r="D48" s="1570">
        <f>EDATE(C48,-1)</f>
        <v>43374</v>
      </c>
      <c r="E48" s="1570">
        <f t="shared" ref="E48:O48" si="16">EDATE(D48,-1)</f>
        <v>43344</v>
      </c>
      <c r="F48" s="1570">
        <f t="shared" si="16"/>
        <v>43313</v>
      </c>
      <c r="G48" s="1570">
        <f t="shared" si="16"/>
        <v>43282</v>
      </c>
      <c r="H48" s="1570">
        <f t="shared" si="16"/>
        <v>43252</v>
      </c>
      <c r="I48" s="1570">
        <f t="shared" si="16"/>
        <v>43221</v>
      </c>
      <c r="J48" s="1570">
        <f t="shared" si="16"/>
        <v>43191</v>
      </c>
      <c r="K48" s="1570">
        <f t="shared" si="16"/>
        <v>43160</v>
      </c>
      <c r="L48" s="1570">
        <f t="shared" si="16"/>
        <v>43132</v>
      </c>
      <c r="M48" s="1570">
        <f t="shared" si="16"/>
        <v>43101</v>
      </c>
      <c r="N48" s="1570">
        <f t="shared" si="16"/>
        <v>43070</v>
      </c>
      <c r="O48" s="1570">
        <f t="shared" si="16"/>
        <v>43040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2569</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2534</v>
      </c>
      <c r="B51" s="507"/>
      <c r="C51" s="519" t="s">
        <v>2636</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2572</v>
      </c>
      <c r="B53" s="525" t="s">
        <v>2538</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2587</v>
      </c>
      <c r="C65" s="575" t="s">
        <v>2581</v>
      </c>
      <c r="D65" s="575" t="s">
        <v>2582</v>
      </c>
      <c r="E65" s="575" t="s">
        <v>2583</v>
      </c>
      <c r="F65" s="575" t="s">
        <v>2584</v>
      </c>
      <c r="G65" s="575" t="s">
        <v>2585</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2673</v>
      </c>
      <c r="C67" s="657" t="s">
        <v>2659</v>
      </c>
      <c r="D67" s="657" t="s">
        <v>2660</v>
      </c>
      <c r="E67" s="657" t="s">
        <v>2661</v>
      </c>
      <c r="F67" s="657" t="s">
        <v>2662</v>
      </c>
      <c r="G67" s="657" t="s">
        <v>2663</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2593</v>
      </c>
      <c r="C69" s="575" t="s">
        <v>2581</v>
      </c>
      <c r="D69" s="575" t="s">
        <v>2582</v>
      </c>
      <c r="E69" s="575" t="s">
        <v>2583</v>
      </c>
      <c r="F69" s="575" t="s">
        <v>2584</v>
      </c>
      <c r="G69" s="575" t="s">
        <v>2585</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2713</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2547</v>
      </c>
      <c r="B79" s="525" t="s">
        <v>2714</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2715</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2600</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2717</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2719</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2720</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IF(C2="——",ROUND(C37*D3/10000,0),ROUND(C37*D3/10000,0)-D2)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IF(C2="——",C37,ROUND(B2*10000/D3,0))</f>
        <v>#DIV/0!</v>
      </c>
      <c r="C3" s="397" t="s">
        <v>2628</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3" t="s">
        <v>2632</v>
      </c>
      <c r="AC4" s="3192" t="s">
        <v>2633</v>
      </c>
    </row>
    <row r="5" spans="1:29" ht="15">
      <c r="A5" s="401"/>
      <c r="B5" s="402"/>
      <c r="C5" s="3222" t="s">
        <v>2526</v>
      </c>
      <c r="D5" s="3213"/>
      <c r="E5" s="3260" t="s">
        <v>2527</v>
      </c>
      <c r="F5" s="3221"/>
      <c r="G5" s="3222" t="s">
        <v>2528</v>
      </c>
      <c r="H5" s="3213"/>
      <c r="I5" s="3222" t="s">
        <v>2529</v>
      </c>
      <c r="J5" s="3213"/>
      <c r="K5" s="607"/>
      <c r="L5" s="1126"/>
      <c r="M5" s="1127"/>
      <c r="N5" s="1127"/>
      <c r="O5" s="1127"/>
      <c r="P5" s="3200"/>
      <c r="Q5" s="3201"/>
      <c r="R5" s="3206"/>
      <c r="S5" s="3207"/>
      <c r="T5" s="3206"/>
      <c r="U5" s="3207"/>
      <c r="V5" s="3191"/>
      <c r="W5" s="3191"/>
      <c r="X5" s="1808"/>
      <c r="Y5" s="3206"/>
      <c r="Z5" s="3207"/>
      <c r="AA5" s="3193"/>
      <c r="AB5" s="3193"/>
      <c r="AC5" s="3193"/>
    </row>
    <row r="6" spans="1:29" ht="15.75" thickBot="1">
      <c r="A6" s="403"/>
      <c r="B6" s="404"/>
      <c r="C6" s="3210" t="s">
        <v>2530</v>
      </c>
      <c r="D6" s="3211"/>
      <c r="E6" s="3218" t="s">
        <v>2530</v>
      </c>
      <c r="F6" s="3219"/>
      <c r="G6" s="3210" t="s">
        <v>2530</v>
      </c>
      <c r="H6" s="3211"/>
      <c r="I6" s="3210" t="s">
        <v>2530</v>
      </c>
      <c r="J6" s="3211"/>
      <c r="K6" s="607" t="s">
        <v>2531</v>
      </c>
      <c r="L6" s="1126"/>
      <c r="M6" s="1127"/>
      <c r="N6" s="1127"/>
      <c r="O6" s="1127"/>
      <c r="P6" s="3202"/>
      <c r="Q6" s="3203"/>
      <c r="R6" s="3206"/>
      <c r="S6" s="3207"/>
      <c r="T6" s="3208"/>
      <c r="U6" s="3209"/>
      <c r="V6" s="3191"/>
      <c r="W6" s="3191"/>
      <c r="X6" s="1808"/>
      <c r="Y6" s="3208"/>
      <c r="Z6" s="3209"/>
      <c r="AA6" s="3194"/>
      <c r="AB6" s="3194"/>
      <c r="AC6" s="3194"/>
    </row>
    <row r="7" spans="1:29" s="115" customFormat="1" ht="15.75" thickBot="1">
      <c r="A7" s="405" t="s">
        <v>2532</v>
      </c>
      <c r="B7" s="406"/>
      <c r="C7" s="407">
        <f>'数据-取费表'!B2</f>
        <v>43433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214" t="s">
        <v>2533</v>
      </c>
      <c r="Q7" s="3216"/>
      <c r="R7" s="767" t="s">
        <v>17</v>
      </c>
      <c r="S7" s="768">
        <f t="shared" ref="S7:S14" si="0">F7</f>
        <v>0</v>
      </c>
      <c r="T7" s="767" t="s">
        <v>17</v>
      </c>
      <c r="U7" s="768">
        <f t="shared" ref="U7:U14" si="1">H7</f>
        <v>0</v>
      </c>
      <c r="V7" s="767" t="s">
        <v>17</v>
      </c>
      <c r="W7" s="768">
        <f t="shared" ref="W7:W14" si="2">J7</f>
        <v>0</v>
      </c>
      <c r="X7" s="769"/>
      <c r="Y7" s="3214" t="s">
        <v>2533</v>
      </c>
      <c r="Z7" s="3215"/>
      <c r="AA7" s="770" t="e">
        <f>D7/F7</f>
        <v>#DIV/0!</v>
      </c>
      <c r="AB7" s="770" t="e">
        <f>D7/H7</f>
        <v>#DIV/0!</v>
      </c>
      <c r="AC7" s="770" t="e">
        <f>D7/J7</f>
        <v>#DIV/0!</v>
      </c>
    </row>
    <row r="8" spans="1:29" s="115" customFormat="1" ht="15.75" thickBot="1">
      <c r="A8" s="405" t="s">
        <v>2534</v>
      </c>
      <c r="B8" s="406"/>
      <c r="C8" s="411" t="s">
        <v>2636</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14" t="s">
        <v>2536</v>
      </c>
      <c r="Q8" s="3215"/>
      <c r="R8" s="767" t="s">
        <v>17</v>
      </c>
      <c r="S8" s="768">
        <f t="shared" si="0"/>
        <v>0</v>
      </c>
      <c r="T8" s="767" t="s">
        <v>17</v>
      </c>
      <c r="U8" s="768">
        <f t="shared" si="1"/>
        <v>0</v>
      </c>
      <c r="V8" s="767" t="s">
        <v>17</v>
      </c>
      <c r="W8" s="768">
        <f t="shared" si="2"/>
        <v>0</v>
      </c>
      <c r="X8" s="769"/>
      <c r="Y8" s="3214" t="s">
        <v>2536</v>
      </c>
      <c r="Z8" s="3215"/>
      <c r="AA8" s="770" t="e">
        <f t="shared" ref="AA8:AA34" si="3">D8/F8</f>
        <v>#DIV/0!</v>
      </c>
      <c r="AB8" s="770" t="e">
        <f t="shared" ref="AB8:AB34" si="4">D8/H8</f>
        <v>#DIV/0!</v>
      </c>
      <c r="AC8" s="770" t="e">
        <f t="shared" ref="AC8:AC34" si="5">D8/J8</f>
        <v>#DIV/0!</v>
      </c>
    </row>
    <row r="9" spans="1:29" s="115" customFormat="1">
      <c r="A9" s="412" t="s">
        <v>2537</v>
      </c>
      <c r="B9" s="71" t="s">
        <v>2538</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85" t="s">
        <v>2539</v>
      </c>
      <c r="Q9" s="1790" t="str">
        <f t="shared" ref="Q9:Q14" si="6">B9</f>
        <v>用途</v>
      </c>
      <c r="R9" s="767" t="s">
        <v>17</v>
      </c>
      <c r="S9" s="768">
        <f t="shared" si="0"/>
        <v>100</v>
      </c>
      <c r="T9" s="767" t="s">
        <v>17</v>
      </c>
      <c r="U9" s="768">
        <f t="shared" si="1"/>
        <v>100</v>
      </c>
      <c r="V9" s="767" t="s">
        <v>17</v>
      </c>
      <c r="W9" s="768">
        <f t="shared" si="2"/>
        <v>100</v>
      </c>
      <c r="X9" s="769"/>
      <c r="Y9" s="3032" t="s">
        <v>2540</v>
      </c>
      <c r="Z9" s="55" t="str">
        <f t="shared" ref="Z9:Z14" si="7">Q9</f>
        <v>用途</v>
      </c>
      <c r="AA9" s="770">
        <f t="shared" si="3"/>
        <v>1</v>
      </c>
      <c r="AB9" s="770">
        <f t="shared" si="4"/>
        <v>1</v>
      </c>
      <c r="AC9" s="770">
        <f t="shared" si="5"/>
        <v>1</v>
      </c>
    </row>
    <row r="10" spans="1:29" s="424" customFormat="1" ht="27">
      <c r="A10" s="418"/>
      <c r="B10" s="419" t="s">
        <v>2541</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85"/>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85"/>
      <c r="Q11" s="1790">
        <f t="shared" si="6"/>
        <v>111</v>
      </c>
      <c r="R11" s="767" t="s">
        <v>17</v>
      </c>
      <c r="S11" s="768">
        <f t="shared" si="0"/>
        <v>100</v>
      </c>
      <c r="T11" s="767" t="s">
        <v>17</v>
      </c>
      <c r="U11" s="768">
        <f t="shared" si="1"/>
        <v>100</v>
      </c>
      <c r="V11" s="767" t="s">
        <v>17</v>
      </c>
      <c r="W11" s="768">
        <f t="shared" si="2"/>
        <v>100</v>
      </c>
      <c r="X11" s="769"/>
      <c r="Y11" s="3032"/>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85"/>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85"/>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
      <c r="A14" s="437" t="s">
        <v>2543</v>
      </c>
      <c r="B14" s="69" t="s">
        <v>2693</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87" t="s">
        <v>2544</v>
      </c>
      <c r="Q14" s="1805" t="str">
        <f t="shared" si="6"/>
        <v>交通便捷度</v>
      </c>
      <c r="R14" s="771" t="s">
        <v>17</v>
      </c>
      <c r="S14" s="772">
        <f t="shared" si="0"/>
        <v>100</v>
      </c>
      <c r="T14" s="771" t="s">
        <v>17</v>
      </c>
      <c r="U14" s="772">
        <f t="shared" si="1"/>
        <v>100</v>
      </c>
      <c r="V14" s="771" t="s">
        <v>17</v>
      </c>
      <c r="W14" s="772">
        <f t="shared" si="2"/>
        <v>100</v>
      </c>
      <c r="X14" s="1808"/>
      <c r="Y14" s="3187" t="s">
        <v>2544</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188"/>
      <c r="Q15" s="1805"/>
      <c r="R15" s="771"/>
      <c r="S15" s="772"/>
      <c r="T15" s="771"/>
      <c r="U15" s="772"/>
      <c r="V15" s="771"/>
      <c r="W15" s="772"/>
      <c r="X15" s="1808"/>
      <c r="Y15" s="3188"/>
      <c r="Z15" s="1809"/>
      <c r="AA15" s="1806">
        <v>1</v>
      </c>
      <c r="AB15" s="1806">
        <v>1</v>
      </c>
      <c r="AC15" s="1806">
        <v>1</v>
      </c>
    </row>
    <row r="16" spans="1:29" ht="15">
      <c r="A16" s="425"/>
      <c r="B16" s="448" t="s">
        <v>2672</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88"/>
      <c r="Q16" s="1805" t="str">
        <f>B16</f>
        <v>公共配套设施</v>
      </c>
      <c r="R16" s="771" t="s">
        <v>17</v>
      </c>
      <c r="S16" s="772">
        <f>F16</f>
        <v>100</v>
      </c>
      <c r="T16" s="771" t="s">
        <v>17</v>
      </c>
      <c r="U16" s="772">
        <f>H16</f>
        <v>100</v>
      </c>
      <c r="V16" s="771" t="s">
        <v>17</v>
      </c>
      <c r="W16" s="772">
        <f>J16</f>
        <v>100</v>
      </c>
      <c r="X16" s="1808"/>
      <c r="Y16" s="3188"/>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188"/>
      <c r="Q17" s="1805"/>
      <c r="R17" s="771"/>
      <c r="S17" s="772"/>
      <c r="T17" s="771"/>
      <c r="U17" s="772"/>
      <c r="V17" s="771"/>
      <c r="W17" s="772"/>
      <c r="X17" s="1808"/>
      <c r="Y17" s="3188"/>
      <c r="Z17" s="1809"/>
      <c r="AA17" s="1806">
        <v>1</v>
      </c>
      <c r="AB17" s="1806">
        <v>1</v>
      </c>
      <c r="AC17" s="1806">
        <v>1</v>
      </c>
    </row>
    <row r="18" spans="1:29" ht="15">
      <c r="A18" s="425"/>
      <c r="B18" s="1380" t="s">
        <v>2673</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88"/>
      <c r="Q18" s="1805" t="str">
        <f>B18</f>
        <v>基础设施水平</v>
      </c>
      <c r="R18" s="771" t="s">
        <v>17</v>
      </c>
      <c r="S18" s="772">
        <f>F18</f>
        <v>100</v>
      </c>
      <c r="T18" s="771" t="s">
        <v>17</v>
      </c>
      <c r="U18" s="772">
        <f>H18</f>
        <v>100</v>
      </c>
      <c r="V18" s="771" t="s">
        <v>17</v>
      </c>
      <c r="W18" s="772">
        <f>J18</f>
        <v>100</v>
      </c>
      <c r="X18" s="1808"/>
      <c r="Y18" s="3188"/>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188"/>
      <c r="Q19" s="1805"/>
      <c r="R19" s="771"/>
      <c r="S19" s="772"/>
      <c r="T19" s="771"/>
      <c r="U19" s="772"/>
      <c r="V19" s="771"/>
      <c r="W19" s="772"/>
      <c r="X19" s="1808"/>
      <c r="Y19" s="3188"/>
      <c r="Z19" s="1809"/>
      <c r="AA19" s="1806">
        <v>1</v>
      </c>
      <c r="AB19" s="1806">
        <v>1</v>
      </c>
      <c r="AC19" s="1806">
        <v>1</v>
      </c>
    </row>
    <row r="20" spans="1:29" ht="15">
      <c r="A20" s="425"/>
      <c r="B20" s="448" t="s">
        <v>2694</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88"/>
      <c r="Q20" s="1805" t="str">
        <f>B20</f>
        <v>自然及人文环境</v>
      </c>
      <c r="R20" s="771" t="s">
        <v>17</v>
      </c>
      <c r="S20" s="772">
        <f>F20</f>
        <v>100</v>
      </c>
      <c r="T20" s="771" t="s">
        <v>17</v>
      </c>
      <c r="U20" s="772">
        <f>H20</f>
        <v>100</v>
      </c>
      <c r="V20" s="771" t="s">
        <v>17</v>
      </c>
      <c r="W20" s="772">
        <f>J20</f>
        <v>100</v>
      </c>
      <c r="X20" s="1808"/>
      <c r="Y20" s="3188"/>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188"/>
      <c r="Q21" s="1805"/>
      <c r="R21" s="771"/>
      <c r="S21" s="772"/>
      <c r="T21" s="771"/>
      <c r="U21" s="772"/>
      <c r="V21" s="771"/>
      <c r="W21" s="772"/>
      <c r="X21" s="1808"/>
      <c r="Y21" s="3188"/>
      <c r="Z21" s="1809"/>
      <c r="AA21" s="1806">
        <v>1</v>
      </c>
      <c r="AB21" s="1806">
        <v>1</v>
      </c>
      <c r="AC21" s="1806">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88"/>
      <c r="Q22" s="1805" t="str">
        <f>B22</f>
        <v>楼层</v>
      </c>
      <c r="R22" s="771" t="s">
        <v>17</v>
      </c>
      <c r="S22" s="772">
        <f>F22</f>
        <v>100</v>
      </c>
      <c r="T22" s="771" t="s">
        <v>17</v>
      </c>
      <c r="U22" s="772">
        <f>H22</f>
        <v>100</v>
      </c>
      <c r="V22" s="771" t="s">
        <v>17</v>
      </c>
      <c r="W22" s="772">
        <f>J22</f>
        <v>100</v>
      </c>
      <c r="X22" s="1808"/>
      <c r="Y22" s="3188"/>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88"/>
      <c r="Q23" s="1805">
        <f>B23</f>
        <v>111</v>
      </c>
      <c r="R23" s="771" t="s">
        <v>17</v>
      </c>
      <c r="S23" s="772">
        <f>F23</f>
        <v>100</v>
      </c>
      <c r="T23" s="771" t="s">
        <v>17</v>
      </c>
      <c r="U23" s="772">
        <f>H23</f>
        <v>100</v>
      </c>
      <c r="V23" s="771" t="s">
        <v>17</v>
      </c>
      <c r="W23" s="772">
        <f>J23</f>
        <v>100</v>
      </c>
      <c r="X23" s="1808"/>
      <c r="Y23" s="3188"/>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88"/>
      <c r="Q24" s="1805">
        <f t="shared" ref="Q24:Q34" si="11">B24</f>
        <v>111</v>
      </c>
      <c r="R24" s="771" t="s">
        <v>17</v>
      </c>
      <c r="S24" s="772">
        <f>F24</f>
        <v>100</v>
      </c>
      <c r="T24" s="771" t="s">
        <v>17</v>
      </c>
      <c r="U24" s="772">
        <f>H24</f>
        <v>100</v>
      </c>
      <c r="V24" s="771" t="s">
        <v>17</v>
      </c>
      <c r="W24" s="772">
        <f>J24</f>
        <v>100</v>
      </c>
      <c r="X24" s="1808"/>
      <c r="Y24" s="3188"/>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188"/>
      <c r="Q25" s="1790">
        <f t="shared" si="11"/>
        <v>111</v>
      </c>
      <c r="R25" s="767" t="s">
        <v>17</v>
      </c>
      <c r="S25" s="768">
        <f>F25</f>
        <v>100</v>
      </c>
      <c r="T25" s="767" t="s">
        <v>17</v>
      </c>
      <c r="U25" s="768">
        <f>H25</f>
        <v>100</v>
      </c>
      <c r="V25" s="767" t="s">
        <v>17</v>
      </c>
      <c r="W25" s="768">
        <f>J25</f>
        <v>100</v>
      </c>
      <c r="X25" s="769"/>
      <c r="Y25" s="3188"/>
      <c r="Z25" s="55">
        <f>Q25</f>
        <v>111</v>
      </c>
      <c r="AA25" s="1806">
        <f>D25/F25</f>
        <v>1</v>
      </c>
      <c r="AB25" s="1806">
        <f>D25/H25</f>
        <v>1</v>
      </c>
      <c r="AC25" s="1806">
        <f>D25/J25</f>
        <v>1</v>
      </c>
    </row>
    <row r="26" spans="1:29" ht="15">
      <c r="A26" s="463" t="s">
        <v>2547</v>
      </c>
      <c r="B26" s="71" t="s">
        <v>2698</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189" t="s">
        <v>2549</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90" t="s">
        <v>2549</v>
      </c>
      <c r="Z26" s="1809" t="str">
        <f t="shared" ref="Z26:Z34" si="15">Q26</f>
        <v>公共部分装修</v>
      </c>
      <c r="AA26" s="1806">
        <f t="shared" si="3"/>
        <v>1</v>
      </c>
      <c r="AB26" s="1806">
        <f t="shared" si="4"/>
        <v>1</v>
      </c>
      <c r="AC26" s="1806">
        <f t="shared" si="5"/>
        <v>1</v>
      </c>
    </row>
    <row r="27" spans="1:29" s="468" customFormat="1" ht="15">
      <c r="A27" s="465"/>
      <c r="B27" s="419" t="s">
        <v>2699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90"/>
      <c r="Q27" s="773" t="str">
        <f t="shared" si="11"/>
        <v>成新率</v>
      </c>
      <c r="R27" s="774" t="s">
        <v>17</v>
      </c>
      <c r="S27" s="775" t="e">
        <f t="shared" si="12"/>
        <v>#N/A</v>
      </c>
      <c r="T27" s="774" t="s">
        <v>17</v>
      </c>
      <c r="U27" s="775" t="e">
        <f t="shared" si="13"/>
        <v>#N/A</v>
      </c>
      <c r="V27" s="774" t="s">
        <v>17</v>
      </c>
      <c r="W27" s="775" t="e">
        <f t="shared" si="14"/>
        <v>#N/A</v>
      </c>
      <c r="X27" s="776"/>
      <c r="Y27" s="3190"/>
      <c r="Z27" s="777" t="str">
        <f t="shared" si="15"/>
        <v>成新率</v>
      </c>
      <c r="AA27" s="1806" t="e">
        <f t="shared" si="3"/>
        <v>#N/A</v>
      </c>
      <c r="AB27" s="1806" t="e">
        <f t="shared" si="4"/>
        <v>#N/A</v>
      </c>
      <c r="AC27" s="1806"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90"/>
      <c r="Q28" s="1805" t="str">
        <f t="shared" si="11"/>
        <v>物业等级</v>
      </c>
      <c r="R28" s="771" t="s">
        <v>17</v>
      </c>
      <c r="S28" s="772">
        <f t="shared" si="12"/>
        <v>100</v>
      </c>
      <c r="T28" s="771" t="s">
        <v>17</v>
      </c>
      <c r="U28" s="772">
        <f t="shared" si="13"/>
        <v>100</v>
      </c>
      <c r="V28" s="771" t="s">
        <v>17</v>
      </c>
      <c r="W28" s="772">
        <f t="shared" si="14"/>
        <v>100</v>
      </c>
      <c r="X28" s="1808"/>
      <c r="Y28" s="3190"/>
      <c r="Z28" s="1809" t="str">
        <f t="shared" si="15"/>
        <v>物业等级</v>
      </c>
      <c r="AA28" s="1806">
        <f t="shared" si="3"/>
        <v>1</v>
      </c>
      <c r="AB28" s="1806">
        <f t="shared" si="4"/>
        <v>1</v>
      </c>
      <c r="AC28" s="1806">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190"/>
      <c r="Q29" s="1805" t="str">
        <f t="shared" si="11"/>
        <v>有无电梯</v>
      </c>
      <c r="R29" s="771" t="s">
        <v>17</v>
      </c>
      <c r="S29" s="772">
        <f t="shared" si="12"/>
        <v>100</v>
      </c>
      <c r="T29" s="771" t="s">
        <v>17</v>
      </c>
      <c r="U29" s="772">
        <f t="shared" si="13"/>
        <v>100</v>
      </c>
      <c r="V29" s="771" t="s">
        <v>17</v>
      </c>
      <c r="W29" s="772">
        <f t="shared" si="14"/>
        <v>100</v>
      </c>
      <c r="X29" s="1808"/>
      <c r="Y29" s="3190"/>
      <c r="Z29" s="1809" t="str">
        <f t="shared" si="15"/>
        <v>有无电梯</v>
      </c>
      <c r="AA29" s="1806">
        <f t="shared" si="3"/>
        <v>1</v>
      </c>
      <c r="AB29" s="1806">
        <f t="shared" si="4"/>
        <v>1</v>
      </c>
      <c r="AC29" s="1806">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90"/>
      <c r="Q30" s="1805" t="str">
        <f t="shared" si="11"/>
        <v>建筑面积</v>
      </c>
      <c r="R30" s="771" t="s">
        <v>17</v>
      </c>
      <c r="S30" s="772" t="e">
        <f t="shared" si="12"/>
        <v>#N/A</v>
      </c>
      <c r="T30" s="771" t="s">
        <v>17</v>
      </c>
      <c r="U30" s="772" t="e">
        <f t="shared" si="13"/>
        <v>#N/A</v>
      </c>
      <c r="V30" s="771" t="s">
        <v>17</v>
      </c>
      <c r="W30" s="772" t="e">
        <f t="shared" si="14"/>
        <v>#N/A</v>
      </c>
      <c r="X30" s="1808"/>
      <c r="Y30" s="3190"/>
      <c r="Z30" s="1809" t="str">
        <f t="shared" si="15"/>
        <v>建筑面积</v>
      </c>
      <c r="AA30" s="1806" t="e">
        <f t="shared" si="3"/>
        <v>#N/A</v>
      </c>
      <c r="AB30" s="1806" t="e">
        <f t="shared" si="4"/>
        <v>#N/A</v>
      </c>
      <c r="AC30" s="1806" t="e">
        <f t="shared" si="5"/>
        <v>#N/A</v>
      </c>
    </row>
    <row r="31" spans="1:29" s="115" customFormat="1" ht="15">
      <c r="A31" s="470"/>
      <c r="B31" s="419" t="s">
        <v>2723</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190"/>
      <c r="Q31" s="1790" t="str">
        <f t="shared" si="11"/>
        <v>是否封闭</v>
      </c>
      <c r="R31" s="767" t="s">
        <v>17</v>
      </c>
      <c r="S31" s="768">
        <f t="shared" si="12"/>
        <v>100</v>
      </c>
      <c r="T31" s="767" t="s">
        <v>17</v>
      </c>
      <c r="U31" s="768">
        <f t="shared" si="13"/>
        <v>100</v>
      </c>
      <c r="V31" s="767" t="s">
        <v>17</v>
      </c>
      <c r="W31" s="768">
        <f t="shared" si="14"/>
        <v>100</v>
      </c>
      <c r="X31" s="769"/>
      <c r="Y31" s="3190"/>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90" t="s">
        <v>2549</v>
      </c>
      <c r="Q32" s="1805">
        <f t="shared" si="11"/>
        <v>111</v>
      </c>
      <c r="R32" s="771" t="s">
        <v>17</v>
      </c>
      <c r="S32" s="772">
        <f t="shared" si="12"/>
        <v>100</v>
      </c>
      <c r="T32" s="771" t="s">
        <v>17</v>
      </c>
      <c r="U32" s="772">
        <f t="shared" si="13"/>
        <v>100</v>
      </c>
      <c r="V32" s="771" t="s">
        <v>17</v>
      </c>
      <c r="W32" s="772">
        <f t="shared" si="14"/>
        <v>100</v>
      </c>
      <c r="X32" s="1808"/>
      <c r="Y32" s="3190" t="s">
        <v>2549</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90"/>
      <c r="Q33" s="1805">
        <f t="shared" si="11"/>
        <v>111</v>
      </c>
      <c r="R33" s="771" t="s">
        <v>17</v>
      </c>
      <c r="S33" s="772">
        <f t="shared" si="12"/>
        <v>100</v>
      </c>
      <c r="T33" s="771" t="s">
        <v>17</v>
      </c>
      <c r="U33" s="772">
        <f t="shared" si="13"/>
        <v>100</v>
      </c>
      <c r="V33" s="771" t="s">
        <v>17</v>
      </c>
      <c r="W33" s="772">
        <f t="shared" si="14"/>
        <v>100</v>
      </c>
      <c r="X33" s="1808"/>
      <c r="Y33" s="3190"/>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190"/>
      <c r="Q34" s="1805">
        <f t="shared" si="11"/>
        <v>111</v>
      </c>
      <c r="R34" s="771" t="s">
        <v>17</v>
      </c>
      <c r="S34" s="772">
        <f t="shared" si="12"/>
        <v>100</v>
      </c>
      <c r="T34" s="771" t="s">
        <v>17</v>
      </c>
      <c r="U34" s="772">
        <f t="shared" si="13"/>
        <v>100</v>
      </c>
      <c r="V34" s="771" t="s">
        <v>17</v>
      </c>
      <c r="W34" s="772">
        <f t="shared" si="14"/>
        <v>100</v>
      </c>
      <c r="X34" s="1808"/>
      <c r="Y34" s="3190"/>
      <c r="Z34" s="1809">
        <f t="shared" si="15"/>
        <v>111</v>
      </c>
      <c r="AA34" s="1806">
        <f t="shared" si="3"/>
        <v>1</v>
      </c>
      <c r="AB34" s="1806">
        <f t="shared" si="4"/>
        <v>1</v>
      </c>
      <c r="AC34" s="1806">
        <f t="shared" si="5"/>
        <v>1</v>
      </c>
    </row>
    <row r="35" spans="1:29" ht="15">
      <c r="A35" s="476" t="s">
        <v>2561</v>
      </c>
      <c r="B35" s="477"/>
      <c r="C35" s="1403" t="s">
        <v>1</v>
      </c>
      <c r="D35" s="1404"/>
      <c r="E35" s="1405"/>
      <c r="F35" s="1406"/>
      <c r="G35" s="1407"/>
      <c r="H35" s="1408"/>
      <c r="I35" s="1405"/>
      <c r="J35" s="1408"/>
      <c r="K35" s="780"/>
      <c r="L35" s="1139"/>
      <c r="M35" s="1140"/>
      <c r="N35" s="1127"/>
      <c r="O35" s="1140"/>
      <c r="P35" s="3185" t="str">
        <f>A35</f>
        <v>成交单价（元/平方米）</v>
      </c>
      <c r="Q35" s="3185"/>
      <c r="R35" s="3231">
        <f>E35</f>
        <v>0</v>
      </c>
      <c r="S35" s="3231"/>
      <c r="T35" s="3231">
        <f>G35</f>
        <v>0</v>
      </c>
      <c r="U35" s="3231"/>
      <c r="V35" s="3231">
        <f>I35</f>
        <v>0</v>
      </c>
      <c r="W35" s="3231"/>
      <c r="X35" s="756"/>
      <c r="Y35" s="778"/>
      <c r="Z35" s="756"/>
      <c r="AA35" s="756"/>
      <c r="AB35" s="756"/>
      <c r="AC35" s="756"/>
    </row>
    <row r="36" spans="1:29" ht="15.75" thickBot="1">
      <c r="A36" s="483" t="s">
        <v>2653</v>
      </c>
      <c r="B36" s="484"/>
      <c r="C36" s="1409" t="e">
        <f>R37</f>
        <v>#DIV/0!</v>
      </c>
      <c r="D36" s="1410"/>
      <c r="E36" s="1411" t="e">
        <f>R36</f>
        <v>#DIV/0!</v>
      </c>
      <c r="F36" s="1411"/>
      <c r="G36" s="1409" t="e">
        <f>T36</f>
        <v>#DIV/0!</v>
      </c>
      <c r="H36" s="1410"/>
      <c r="I36" s="1411" t="e">
        <f>V36</f>
        <v>#DIV/0!</v>
      </c>
      <c r="J36" s="1410"/>
      <c r="K36" s="781"/>
      <c r="L36" s="1139"/>
      <c r="M36" s="1140"/>
      <c r="N36" s="1127"/>
      <c r="O36" s="1140"/>
      <c r="P36" s="3185" t="str">
        <f>A36</f>
        <v>比较价值（元/平方米）</v>
      </c>
      <c r="Q36" s="3185"/>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6"/>
      <c r="Y36" s="756"/>
      <c r="Z36" s="756"/>
      <c r="AA36" s="756"/>
      <c r="AB36" s="756"/>
      <c r="AC36" s="756"/>
    </row>
    <row r="37" spans="1:29" ht="15.75" thickBot="1">
      <c r="A37" s="489" t="s">
        <v>2654</v>
      </c>
      <c r="B37" s="490"/>
      <c r="C37" s="1413" t="e">
        <f>R37</f>
        <v>#DIV/0!</v>
      </c>
      <c r="D37" s="1413"/>
      <c r="E37" s="1413"/>
      <c r="F37" s="1413"/>
      <c r="G37" s="1413"/>
      <c r="H37" s="1413"/>
      <c r="I37" s="1413"/>
      <c r="J37" s="1413"/>
      <c r="K37" s="782"/>
      <c r="L37" s="1139"/>
      <c r="M37" s="1140"/>
      <c r="N37" s="1140"/>
      <c r="O37" s="1140"/>
      <c r="P37" s="3179" t="str">
        <f>A37</f>
        <v>估价对象XX用房的比较价值（楼面单价，元/平方米）</v>
      </c>
      <c r="Q37" s="3180"/>
      <c r="R37" s="3232" t="e">
        <f>IF(F1="售价",ROUND(AVERAGE(R36:V36),0),ROUND(AVERAGE(R36:V36),1))</f>
        <v>#DIV/0!</v>
      </c>
      <c r="S37" s="3232"/>
      <c r="T37" s="3232"/>
      <c r="U37" s="3232"/>
      <c r="V37" s="3232"/>
      <c r="W37" s="3232"/>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2658</v>
      </c>
      <c r="B45" s="756"/>
      <c r="C45" s="761"/>
      <c r="D45" s="761"/>
      <c r="E45" s="761"/>
      <c r="F45" s="762"/>
      <c r="G45" s="762"/>
      <c r="H45" s="761"/>
      <c r="I45" s="761"/>
      <c r="J45" s="761"/>
      <c r="K45" s="763"/>
      <c r="L45" s="764"/>
      <c r="M45" s="761"/>
      <c r="N45" s="761"/>
      <c r="O45" s="761"/>
      <c r="P45" s="500"/>
      <c r="Q45" s="501"/>
    </row>
    <row r="46" spans="1:29" s="505" customFormat="1" ht="15">
      <c r="A46" s="502" t="s">
        <v>2532</v>
      </c>
      <c r="B46" s="503"/>
      <c r="C46" s="1569" t="str">
        <f>YEAR(C7)&amp;"-"&amp;MONTH(C7)</f>
        <v>2018-11</v>
      </c>
      <c r="D46" s="1570">
        <f>EDATE(C46,-1)</f>
        <v>43374</v>
      </c>
      <c r="E46" s="1570">
        <f t="shared" ref="E46:O46" si="16">EDATE(D46,-1)</f>
        <v>43344</v>
      </c>
      <c r="F46" s="1570">
        <f t="shared" si="16"/>
        <v>43313</v>
      </c>
      <c r="G46" s="1570">
        <f t="shared" si="16"/>
        <v>43282</v>
      </c>
      <c r="H46" s="1570">
        <f t="shared" si="16"/>
        <v>43252</v>
      </c>
      <c r="I46" s="1570">
        <f t="shared" si="16"/>
        <v>43221</v>
      </c>
      <c r="J46" s="1570">
        <f t="shared" si="16"/>
        <v>43191</v>
      </c>
      <c r="K46" s="1570">
        <f t="shared" si="16"/>
        <v>43160</v>
      </c>
      <c r="L46" s="1570">
        <f t="shared" si="16"/>
        <v>43132</v>
      </c>
      <c r="M46" s="1570">
        <f t="shared" si="16"/>
        <v>43101</v>
      </c>
      <c r="N46" s="1570">
        <f t="shared" si="16"/>
        <v>43070</v>
      </c>
      <c r="O46" s="1570">
        <f t="shared" si="16"/>
        <v>43040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2569</v>
      </c>
      <c r="B48" s="513"/>
      <c r="C48" s="514"/>
      <c r="D48" s="515"/>
      <c r="E48" s="515"/>
      <c r="F48" s="515"/>
      <c r="G48" s="515"/>
      <c r="H48" s="515"/>
      <c r="I48" s="515"/>
      <c r="J48" s="515"/>
      <c r="K48" s="515"/>
      <c r="L48" s="515"/>
      <c r="M48" s="516"/>
      <c r="N48" s="515"/>
      <c r="O48" s="517"/>
      <c r="P48" s="501"/>
      <c r="Q48" s="501"/>
    </row>
    <row r="49" spans="1:17" s="115" customFormat="1" ht="15">
      <c r="A49" s="518" t="s">
        <v>2534</v>
      </c>
      <c r="B49" s="507"/>
      <c r="C49" s="519" t="s">
        <v>2636</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2572</v>
      </c>
      <c r="B51" s="525" t="s">
        <v>2538</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2713</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2547</v>
      </c>
      <c r="B77" s="525" t="s">
        <v>2600</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2717</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2725</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2727</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2728</v>
      </c>
      <c r="B1" s="392"/>
      <c r="C1" s="393" t="s">
        <v>2779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2314</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ROUND(IF(D3="",B2*10000/'数据-汇总表'!E3,B2*10000/D3),0)</f>
        <v>#DIV/0!</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2" t="s">
        <v>2630</v>
      </c>
      <c r="D4" s="3195"/>
      <c r="E4" s="3196" t="s">
        <v>2631</v>
      </c>
      <c r="F4" s="3197"/>
      <c r="G4" s="3182" t="s">
        <v>2632</v>
      </c>
      <c r="H4" s="3195"/>
      <c r="I4" s="3182" t="s">
        <v>2633</v>
      </c>
      <c r="J4" s="3195"/>
      <c r="K4" s="607" t="s">
        <v>2634</v>
      </c>
      <c r="L4" s="1126"/>
      <c r="M4" s="1127"/>
      <c r="N4" s="1127"/>
      <c r="O4" s="1127"/>
      <c r="P4" s="3198" t="s">
        <v>2635</v>
      </c>
      <c r="Q4" s="3199"/>
      <c r="R4" s="3204" t="s">
        <v>2631</v>
      </c>
      <c r="S4" s="3205"/>
      <c r="T4" s="3204" t="s">
        <v>2632</v>
      </c>
      <c r="U4" s="3205"/>
      <c r="V4" s="3191" t="s">
        <v>2633</v>
      </c>
      <c r="W4" s="3191"/>
      <c r="X4" s="1808"/>
      <c r="Y4" s="3204" t="s">
        <v>2635</v>
      </c>
      <c r="Z4" s="3205"/>
      <c r="AA4" s="3192" t="s">
        <v>2631</v>
      </c>
      <c r="AB4" s="3193" t="s">
        <v>2632</v>
      </c>
      <c r="AC4" s="3192" t="s">
        <v>2633</v>
      </c>
    </row>
    <row r="5" spans="1:29" ht="15">
      <c r="A5" s="401"/>
      <c r="B5" s="402"/>
      <c r="C5" s="3222" t="s">
        <v>2526</v>
      </c>
      <c r="D5" s="3213"/>
      <c r="E5" s="3260" t="s">
        <v>2527</v>
      </c>
      <c r="F5" s="3221"/>
      <c r="G5" s="3222" t="s">
        <v>2528</v>
      </c>
      <c r="H5" s="3213"/>
      <c r="I5" s="3222" t="s">
        <v>2529</v>
      </c>
      <c r="J5" s="3213"/>
      <c r="K5" s="607"/>
      <c r="L5" s="1126"/>
      <c r="M5" s="1127"/>
      <c r="N5" s="1127"/>
      <c r="O5" s="1127"/>
      <c r="P5" s="3200"/>
      <c r="Q5" s="3201"/>
      <c r="R5" s="3206"/>
      <c r="S5" s="3207"/>
      <c r="T5" s="3206"/>
      <c r="U5" s="3207"/>
      <c r="V5" s="3191"/>
      <c r="W5" s="3191"/>
      <c r="X5" s="1808"/>
      <c r="Y5" s="3206"/>
      <c r="Z5" s="3207"/>
      <c r="AA5" s="3193"/>
      <c r="AB5" s="3193"/>
      <c r="AC5" s="3193"/>
    </row>
    <row r="6" spans="1:29" ht="15.75" thickBot="1">
      <c r="A6" s="403"/>
      <c r="B6" s="404"/>
      <c r="C6" s="3276" t="s">
        <v>2780</v>
      </c>
      <c r="D6" s="3277"/>
      <c r="E6" s="3278" t="s">
        <v>2780</v>
      </c>
      <c r="F6" s="3279"/>
      <c r="G6" s="3276" t="s">
        <v>2780</v>
      </c>
      <c r="H6" s="3277"/>
      <c r="I6" s="3276" t="s">
        <v>2780</v>
      </c>
      <c r="J6" s="3277"/>
      <c r="K6" s="607" t="s">
        <v>2531</v>
      </c>
      <c r="L6" s="1126"/>
      <c r="M6" s="1127"/>
      <c r="N6" s="1127"/>
      <c r="O6" s="1127"/>
      <c r="P6" s="3202"/>
      <c r="Q6" s="3203"/>
      <c r="R6" s="3206"/>
      <c r="S6" s="3207"/>
      <c r="T6" s="3208"/>
      <c r="U6" s="3209"/>
      <c r="V6" s="3191"/>
      <c r="W6" s="3191"/>
      <c r="X6" s="1808"/>
      <c r="Y6" s="3208"/>
      <c r="Z6" s="3209"/>
      <c r="AA6" s="3194"/>
      <c r="AB6" s="3194"/>
      <c r="AC6" s="3194"/>
    </row>
    <row r="7" spans="1:29" s="115" customFormat="1" ht="15.75" thickBot="1">
      <c r="A7" s="405" t="s">
        <v>2532</v>
      </c>
      <c r="B7" s="406"/>
      <c r="C7" s="407">
        <f>'数据-取费表'!B2</f>
        <v>43433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214" t="s">
        <v>2533</v>
      </c>
      <c r="Q7" s="3216"/>
      <c r="R7" s="767" t="s">
        <v>17</v>
      </c>
      <c r="S7" s="768">
        <f t="shared" ref="S7:S15" si="0">F7</f>
        <v>0</v>
      </c>
      <c r="T7" s="767" t="s">
        <v>17</v>
      </c>
      <c r="U7" s="768">
        <f t="shared" ref="U7:U15" si="1">H7</f>
        <v>0</v>
      </c>
      <c r="V7" s="767" t="s">
        <v>17</v>
      </c>
      <c r="W7" s="768">
        <f t="shared" ref="W7:W15" si="2">J7</f>
        <v>0</v>
      </c>
      <c r="X7" s="769"/>
      <c r="Y7" s="3214" t="s">
        <v>2533</v>
      </c>
      <c r="Z7" s="3215"/>
      <c r="AA7" s="770" t="e">
        <f>D7/F7</f>
        <v>#DIV/0!</v>
      </c>
      <c r="AB7" s="770" t="e">
        <f>D7/H7</f>
        <v>#DIV/0!</v>
      </c>
      <c r="AC7" s="770" t="e">
        <f>D7/J7</f>
        <v>#DIV/0!</v>
      </c>
    </row>
    <row r="8" spans="1:29" s="115" customFormat="1" ht="15.75" thickBot="1">
      <c r="A8" s="405" t="s">
        <v>2534</v>
      </c>
      <c r="B8" s="406"/>
      <c r="C8" s="411" t="s">
        <v>2535</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14" t="s">
        <v>2536</v>
      </c>
      <c r="Q8" s="3215"/>
      <c r="R8" s="767" t="s">
        <v>17</v>
      </c>
      <c r="S8" s="768">
        <f t="shared" si="0"/>
        <v>0</v>
      </c>
      <c r="T8" s="767" t="s">
        <v>17</v>
      </c>
      <c r="U8" s="768">
        <f t="shared" si="1"/>
        <v>0</v>
      </c>
      <c r="V8" s="767" t="s">
        <v>17</v>
      </c>
      <c r="W8" s="768">
        <f t="shared" si="2"/>
        <v>0</v>
      </c>
      <c r="X8" s="769"/>
      <c r="Y8" s="3214" t="s">
        <v>2536</v>
      </c>
      <c r="Z8" s="3215"/>
      <c r="AA8" s="770" t="e">
        <f t="shared" ref="AA8:AA40" si="3">D8/F8</f>
        <v>#DIV/0!</v>
      </c>
      <c r="AB8" s="770" t="e">
        <f t="shared" ref="AB8:AB40" si="4">D8/H8</f>
        <v>#DIV/0!</v>
      </c>
      <c r="AC8" s="770" t="e">
        <f t="shared" ref="AC8:AC40" si="5">D8/J8</f>
        <v>#DIV/0!</v>
      </c>
    </row>
    <row r="9" spans="1:29" s="115" customFormat="1">
      <c r="A9" s="412" t="s">
        <v>2537</v>
      </c>
      <c r="B9" s="71" t="s">
        <v>2538</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85" t="s">
        <v>2539</v>
      </c>
      <c r="Q9" s="1790" t="str">
        <f t="shared" ref="Q9:Q15" si="6">B9</f>
        <v>用途</v>
      </c>
      <c r="R9" s="767" t="s">
        <v>17</v>
      </c>
      <c r="S9" s="768">
        <f t="shared" si="0"/>
        <v>100</v>
      </c>
      <c r="T9" s="767" t="s">
        <v>17</v>
      </c>
      <c r="U9" s="768">
        <f t="shared" si="1"/>
        <v>100</v>
      </c>
      <c r="V9" s="767" t="s">
        <v>17</v>
      </c>
      <c r="W9" s="768">
        <f t="shared" si="2"/>
        <v>100</v>
      </c>
      <c r="X9" s="769"/>
      <c r="Y9" s="3032" t="s">
        <v>2540</v>
      </c>
      <c r="Z9" s="55" t="str">
        <f t="shared" ref="Z9:Z15" si="7">Q9</f>
        <v>用途</v>
      </c>
      <c r="AA9" s="770">
        <f t="shared" si="3"/>
        <v>1</v>
      </c>
      <c r="AB9" s="770">
        <f t="shared" si="4"/>
        <v>1</v>
      </c>
      <c r="AC9" s="770">
        <f t="shared" si="5"/>
        <v>1</v>
      </c>
    </row>
    <row r="10" spans="1:29" s="424" customFormat="1" ht="27">
      <c r="A10" s="418"/>
      <c r="B10" s="419" t="s">
        <v>2541</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185"/>
      <c r="Q10" s="1790" t="str">
        <f t="shared" si="6"/>
        <v>土地使用年限（年）</v>
      </c>
      <c r="R10" s="767" t="s">
        <v>17</v>
      </c>
      <c r="S10" s="768">
        <f t="shared" si="0"/>
        <v>100</v>
      </c>
      <c r="T10" s="767" t="s">
        <v>17</v>
      </c>
      <c r="U10" s="768">
        <f t="shared" si="1"/>
        <v>100</v>
      </c>
      <c r="V10" s="767" t="s">
        <v>17</v>
      </c>
      <c r="W10" s="768">
        <f t="shared" si="2"/>
        <v>100</v>
      </c>
      <c r="X10" s="769"/>
      <c r="Y10" s="3032"/>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85"/>
      <c r="Q11" s="1790" t="str">
        <f t="shared" si="6"/>
        <v>容积率</v>
      </c>
      <c r="R11" s="767" t="s">
        <v>17</v>
      </c>
      <c r="S11" s="768" t="e">
        <f t="shared" si="0"/>
        <v>#N/A</v>
      </c>
      <c r="T11" s="767" t="s">
        <v>17</v>
      </c>
      <c r="U11" s="768" t="e">
        <f t="shared" si="1"/>
        <v>#N/A</v>
      </c>
      <c r="V11" s="767" t="s">
        <v>17</v>
      </c>
      <c r="W11" s="768" t="e">
        <f t="shared" si="2"/>
        <v>#N/A</v>
      </c>
      <c r="X11" s="769"/>
      <c r="Y11" s="3032"/>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85"/>
      <c r="Q12" s="1790">
        <f t="shared" si="6"/>
        <v>111</v>
      </c>
      <c r="R12" s="767" t="s">
        <v>17</v>
      </c>
      <c r="S12" s="768">
        <f t="shared" si="0"/>
        <v>100</v>
      </c>
      <c r="T12" s="767" t="s">
        <v>17</v>
      </c>
      <c r="U12" s="768">
        <f t="shared" si="1"/>
        <v>100</v>
      </c>
      <c r="V12" s="767" t="s">
        <v>17</v>
      </c>
      <c r="W12" s="768">
        <f t="shared" si="2"/>
        <v>100</v>
      </c>
      <c r="X12" s="769"/>
      <c r="Y12" s="3032"/>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85"/>
      <c r="Q13" s="1790">
        <f t="shared" si="6"/>
        <v>111</v>
      </c>
      <c r="R13" s="767" t="s">
        <v>17</v>
      </c>
      <c r="S13" s="768">
        <f t="shared" si="0"/>
        <v>100</v>
      </c>
      <c r="T13" s="767" t="s">
        <v>17</v>
      </c>
      <c r="U13" s="768">
        <f t="shared" si="1"/>
        <v>100</v>
      </c>
      <c r="V13" s="767" t="s">
        <v>17</v>
      </c>
      <c r="W13" s="768">
        <f t="shared" si="2"/>
        <v>100</v>
      </c>
      <c r="X13" s="769"/>
      <c r="Y13" s="3032"/>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85"/>
      <c r="Q14" s="1790">
        <f t="shared" si="6"/>
        <v>111</v>
      </c>
      <c r="R14" s="767" t="s">
        <v>17</v>
      </c>
      <c r="S14" s="768">
        <f t="shared" si="0"/>
        <v>100</v>
      </c>
      <c r="T14" s="767" t="s">
        <v>17</v>
      </c>
      <c r="U14" s="768">
        <f t="shared" si="1"/>
        <v>100</v>
      </c>
      <c r="V14" s="767" t="s">
        <v>17</v>
      </c>
      <c r="W14" s="768">
        <f t="shared" si="2"/>
        <v>100</v>
      </c>
      <c r="X14" s="769"/>
      <c r="Y14" s="3032"/>
      <c r="Z14" s="55">
        <f t="shared" si="7"/>
        <v>111</v>
      </c>
      <c r="AA14" s="770">
        <f t="shared" si="3"/>
        <v>1</v>
      </c>
      <c r="AB14" s="770">
        <f t="shared" si="4"/>
        <v>1</v>
      </c>
      <c r="AC14" s="770">
        <f t="shared" si="5"/>
        <v>1</v>
      </c>
    </row>
    <row r="15" spans="1:29" ht="15">
      <c r="A15" s="437" t="s">
        <v>2543</v>
      </c>
      <c r="B15" s="626" t="s">
        <v>2781</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87" t="s">
        <v>2544</v>
      </c>
      <c r="Q15" s="1805" t="str">
        <f t="shared" si="6"/>
        <v>产业集聚程度</v>
      </c>
      <c r="R15" s="771" t="s">
        <v>17</v>
      </c>
      <c r="S15" s="772">
        <f t="shared" si="0"/>
        <v>100</v>
      </c>
      <c r="T15" s="771" t="s">
        <v>17</v>
      </c>
      <c r="U15" s="772">
        <f t="shared" si="1"/>
        <v>100</v>
      </c>
      <c r="V15" s="771" t="s">
        <v>17</v>
      </c>
      <c r="W15" s="772">
        <f t="shared" si="2"/>
        <v>100</v>
      </c>
      <c r="X15" s="1808"/>
      <c r="Y15" s="3187" t="s">
        <v>2544</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188"/>
      <c r="Q16" s="1805"/>
      <c r="R16" s="771"/>
      <c r="S16" s="772"/>
      <c r="T16" s="771"/>
      <c r="U16" s="772"/>
      <c r="V16" s="771"/>
      <c r="W16" s="772"/>
      <c r="X16" s="1808"/>
      <c r="Y16" s="3188"/>
      <c r="Z16" s="1809"/>
      <c r="AA16" s="1806">
        <v>1</v>
      </c>
      <c r="AB16" s="1806">
        <v>1</v>
      </c>
      <c r="AC16" s="1806">
        <v>1</v>
      </c>
    </row>
    <row r="17" spans="1:29" ht="15">
      <c r="A17" s="425"/>
      <c r="B17" s="628" t="s">
        <v>2693</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88"/>
      <c r="Q17" s="1805" t="str">
        <f>B17</f>
        <v>交通便捷度</v>
      </c>
      <c r="R17" s="771" t="s">
        <v>17</v>
      </c>
      <c r="S17" s="772">
        <f>F17</f>
        <v>100</v>
      </c>
      <c r="T17" s="771" t="s">
        <v>17</v>
      </c>
      <c r="U17" s="772">
        <f>H17</f>
        <v>100</v>
      </c>
      <c r="V17" s="771" t="s">
        <v>17</v>
      </c>
      <c r="W17" s="772">
        <f>J17</f>
        <v>100</v>
      </c>
      <c r="X17" s="1808"/>
      <c r="Y17" s="3188"/>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188"/>
      <c r="Q18" s="1805"/>
      <c r="R18" s="771"/>
      <c r="S18" s="772"/>
      <c r="T18" s="771"/>
      <c r="U18" s="772"/>
      <c r="V18" s="771"/>
      <c r="W18" s="772"/>
      <c r="X18" s="1808"/>
      <c r="Y18" s="3188"/>
      <c r="Z18" s="1809"/>
      <c r="AA18" s="1806">
        <v>1</v>
      </c>
      <c r="AB18" s="1806">
        <v>1</v>
      </c>
      <c r="AC18" s="1806">
        <v>1</v>
      </c>
    </row>
    <row r="19" spans="1:29" ht="15">
      <c r="A19" s="425"/>
      <c r="B19" s="628" t="s">
        <v>2731</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88"/>
      <c r="Q19" s="1805" t="str">
        <f t="shared" ref="Q19:Q33" si="8">B19</f>
        <v>区域土地利用方向</v>
      </c>
      <c r="R19" s="771" t="s">
        <v>17</v>
      </c>
      <c r="S19" s="772">
        <f>F19</f>
        <v>100</v>
      </c>
      <c r="T19" s="771" t="s">
        <v>17</v>
      </c>
      <c r="U19" s="772">
        <f>H19</f>
        <v>100</v>
      </c>
      <c r="V19" s="771" t="s">
        <v>17</v>
      </c>
      <c r="W19" s="772">
        <f>J19</f>
        <v>100</v>
      </c>
      <c r="X19" s="1808"/>
      <c r="Y19" s="3188"/>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188"/>
      <c r="Q20" s="1805"/>
      <c r="R20" s="771"/>
      <c r="S20" s="772"/>
      <c r="T20" s="771"/>
      <c r="U20" s="772"/>
      <c r="V20" s="771"/>
      <c r="W20" s="772"/>
      <c r="X20" s="1808"/>
      <c r="Y20" s="3188"/>
      <c r="Z20" s="1809"/>
      <c r="AA20" s="1806"/>
      <c r="AB20" s="1806"/>
      <c r="AC20" s="1806"/>
    </row>
    <row r="21" spans="1:29" ht="15">
      <c r="A21" s="401"/>
      <c r="B21" s="628" t="s">
        <v>2782</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88"/>
      <c r="Q21" s="1805" t="str">
        <f t="shared" si="8"/>
        <v>环境状况</v>
      </c>
      <c r="R21" s="771" t="s">
        <v>17</v>
      </c>
      <c r="S21" s="772">
        <f>F21</f>
        <v>100</v>
      </c>
      <c r="T21" s="771" t="s">
        <v>17</v>
      </c>
      <c r="U21" s="772">
        <f>H21</f>
        <v>100</v>
      </c>
      <c r="V21" s="771" t="s">
        <v>17</v>
      </c>
      <c r="W21" s="772">
        <f>J21</f>
        <v>100</v>
      </c>
      <c r="X21" s="1808"/>
      <c r="Y21" s="3188"/>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188"/>
      <c r="Q22" s="1805"/>
      <c r="R22" s="771"/>
      <c r="S22" s="772"/>
      <c r="T22" s="771"/>
      <c r="U22" s="772"/>
      <c r="V22" s="771"/>
      <c r="W22" s="772"/>
      <c r="X22" s="1808"/>
      <c r="Y22" s="3188"/>
      <c r="Z22" s="1809"/>
      <c r="AA22" s="1806">
        <v>1</v>
      </c>
      <c r="AB22" s="1806">
        <v>1</v>
      </c>
      <c r="AC22" s="1806">
        <v>1</v>
      </c>
    </row>
    <row r="23" spans="1:29" s="115" customFormat="1" ht="15">
      <c r="A23" s="646"/>
      <c r="B23" s="630" t="s">
        <v>2638</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88"/>
      <c r="Q23" s="1790" t="str">
        <f t="shared" si="8"/>
        <v>公共配套设施</v>
      </c>
      <c r="R23" s="767" t="s">
        <v>17</v>
      </c>
      <c r="S23" s="768">
        <f>F23</f>
        <v>100</v>
      </c>
      <c r="T23" s="767" t="s">
        <v>17</v>
      </c>
      <c r="U23" s="768">
        <f>H23</f>
        <v>100</v>
      </c>
      <c r="V23" s="767" t="s">
        <v>17</v>
      </c>
      <c r="W23" s="768">
        <f>J23</f>
        <v>100</v>
      </c>
      <c r="X23" s="769"/>
      <c r="Y23" s="3188"/>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188"/>
      <c r="Q24" s="1790"/>
      <c r="R24" s="767"/>
      <c r="S24" s="768"/>
      <c r="T24" s="767"/>
      <c r="U24" s="768"/>
      <c r="V24" s="767"/>
      <c r="W24" s="768"/>
      <c r="X24" s="769"/>
      <c r="Y24" s="3188"/>
      <c r="Z24" s="55"/>
      <c r="AA24" s="770">
        <v>1</v>
      </c>
      <c r="AB24" s="770">
        <v>1</v>
      </c>
      <c r="AC24" s="770">
        <v>1</v>
      </c>
    </row>
    <row r="25" spans="1:29" s="115" customFormat="1" ht="15">
      <c r="A25" s="646"/>
      <c r="B25" s="630" t="s">
        <v>2639</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88"/>
      <c r="Q25" s="1790" t="str">
        <f t="shared" ref="Q25" si="9">B25</f>
        <v>基础设施水平</v>
      </c>
      <c r="R25" s="767" t="s">
        <v>17</v>
      </c>
      <c r="S25" s="768">
        <f>F25</f>
        <v>100</v>
      </c>
      <c r="T25" s="767" t="s">
        <v>17</v>
      </c>
      <c r="U25" s="768">
        <f>H25</f>
        <v>100</v>
      </c>
      <c r="V25" s="767" t="s">
        <v>17</v>
      </c>
      <c r="W25" s="768">
        <f>J25</f>
        <v>100</v>
      </c>
      <c r="X25" s="769"/>
      <c r="Y25" s="3188"/>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188"/>
      <c r="Q26" s="1790"/>
      <c r="R26" s="767"/>
      <c r="S26" s="768"/>
      <c r="T26" s="767"/>
      <c r="U26" s="768"/>
      <c r="V26" s="767"/>
      <c r="W26" s="768"/>
      <c r="X26" s="769"/>
      <c r="Y26" s="3188"/>
      <c r="Z26" s="55"/>
      <c r="AA26" s="770">
        <v>1</v>
      </c>
      <c r="AB26" s="770">
        <v>1</v>
      </c>
      <c r="AC26" s="770">
        <v>1</v>
      </c>
    </row>
    <row r="27" spans="1:29" ht="15">
      <c r="A27" s="425"/>
      <c r="B27" s="629" t="s">
        <v>2640</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88"/>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88"/>
      <c r="Z27" s="1809" t="str">
        <f t="shared" ref="Z27:Z40" si="13">Q27</f>
        <v>临街状况</v>
      </c>
      <c r="AA27" s="1806">
        <f t="shared" si="3"/>
        <v>1</v>
      </c>
      <c r="AB27" s="1806">
        <f t="shared" si="4"/>
        <v>1</v>
      </c>
      <c r="AC27" s="1806">
        <f t="shared" si="5"/>
        <v>1</v>
      </c>
    </row>
    <row r="28" spans="1:29" ht="27">
      <c r="A28" s="425"/>
      <c r="B28" s="630" t="s">
        <v>2675</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88"/>
      <c r="Q28" s="1805" t="str">
        <f t="shared" si="8"/>
        <v>毗邻道路的类型与等级</v>
      </c>
      <c r="R28" s="771" t="s">
        <v>17</v>
      </c>
      <c r="S28" s="772">
        <f t="shared" si="10"/>
        <v>100</v>
      </c>
      <c r="T28" s="771" t="s">
        <v>17</v>
      </c>
      <c r="U28" s="772">
        <f t="shared" si="11"/>
        <v>100</v>
      </c>
      <c r="V28" s="771" t="s">
        <v>17</v>
      </c>
      <c r="W28" s="772">
        <f t="shared" si="12"/>
        <v>100</v>
      </c>
      <c r="X28" s="1808"/>
      <c r="Y28" s="3188"/>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188"/>
      <c r="Q29" s="1805"/>
      <c r="R29" s="771"/>
      <c r="S29" s="772"/>
      <c r="T29" s="771"/>
      <c r="U29" s="772"/>
      <c r="V29" s="771"/>
      <c r="W29" s="772"/>
      <c r="X29" s="1808"/>
      <c r="Y29" s="3188"/>
      <c r="Z29" s="1809"/>
      <c r="AA29" s="1806">
        <v>1</v>
      </c>
      <c r="AB29" s="1806">
        <v>1</v>
      </c>
      <c r="AC29" s="1806">
        <v>1</v>
      </c>
    </row>
    <row r="30" spans="1:29" ht="15">
      <c r="A30" s="425"/>
      <c r="B30" s="651" t="s">
        <v>2733</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88"/>
      <c r="Q30" s="1805" t="str">
        <f t="shared" si="8"/>
        <v>土地级别</v>
      </c>
      <c r="R30" s="771" t="s">
        <v>17</v>
      </c>
      <c r="S30" s="772">
        <f t="shared" si="10"/>
        <v>100</v>
      </c>
      <c r="T30" s="771" t="s">
        <v>17</v>
      </c>
      <c r="U30" s="772">
        <f t="shared" si="11"/>
        <v>100</v>
      </c>
      <c r="V30" s="771" t="s">
        <v>17</v>
      </c>
      <c r="W30" s="772">
        <f t="shared" si="12"/>
        <v>100</v>
      </c>
      <c r="X30" s="1808"/>
      <c r="Y30" s="3188"/>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88"/>
      <c r="Q31" s="1805">
        <f t="shared" si="8"/>
        <v>111</v>
      </c>
      <c r="R31" s="771" t="s">
        <v>17</v>
      </c>
      <c r="S31" s="772">
        <f t="shared" si="10"/>
        <v>100</v>
      </c>
      <c r="T31" s="771" t="s">
        <v>17</v>
      </c>
      <c r="U31" s="772">
        <f t="shared" si="11"/>
        <v>100</v>
      </c>
      <c r="V31" s="771" t="s">
        <v>17</v>
      </c>
      <c r="W31" s="772">
        <f t="shared" si="12"/>
        <v>100</v>
      </c>
      <c r="X31" s="1808"/>
      <c r="Y31" s="3188"/>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189" t="s">
        <v>2549</v>
      </c>
      <c r="Q32" s="1805">
        <f t="shared" si="8"/>
        <v>111</v>
      </c>
      <c r="R32" s="771" t="s">
        <v>17</v>
      </c>
      <c r="S32" s="772">
        <f t="shared" si="10"/>
        <v>100</v>
      </c>
      <c r="T32" s="771" t="s">
        <v>17</v>
      </c>
      <c r="U32" s="772">
        <f t="shared" si="11"/>
        <v>100</v>
      </c>
      <c r="V32" s="771" t="s">
        <v>17</v>
      </c>
      <c r="W32" s="772">
        <f t="shared" si="12"/>
        <v>100</v>
      </c>
      <c r="X32" s="1808"/>
      <c r="Y32" s="3190" t="s">
        <v>2549</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190"/>
      <c r="Q33" s="1805">
        <f t="shared" si="8"/>
        <v>111</v>
      </c>
      <c r="R33" s="774" t="s">
        <v>17</v>
      </c>
      <c r="S33" s="775">
        <f t="shared" si="10"/>
        <v>100</v>
      </c>
      <c r="T33" s="774" t="s">
        <v>17</v>
      </c>
      <c r="U33" s="775">
        <f t="shared" si="11"/>
        <v>100</v>
      </c>
      <c r="V33" s="774" t="s">
        <v>17</v>
      </c>
      <c r="W33" s="775">
        <f t="shared" si="12"/>
        <v>100</v>
      </c>
      <c r="X33" s="776"/>
      <c r="Y33" s="3190"/>
      <c r="Z33" s="777">
        <f t="shared" si="13"/>
        <v>111</v>
      </c>
      <c r="AA33" s="1806">
        <f t="shared" si="3"/>
        <v>1</v>
      </c>
      <c r="AB33" s="1806">
        <f t="shared" si="4"/>
        <v>1</v>
      </c>
      <c r="AC33" s="1806">
        <f t="shared" si="5"/>
        <v>1</v>
      </c>
    </row>
    <row r="34" spans="1:29" ht="15">
      <c r="A34" s="437" t="s">
        <v>2547</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190"/>
      <c r="Q34" s="1805" t="str">
        <f>B34</f>
        <v>宗地面积</v>
      </c>
      <c r="R34" s="771" t="s">
        <v>17</v>
      </c>
      <c r="S34" s="772" t="e">
        <f t="shared" si="10"/>
        <v>#N/A</v>
      </c>
      <c r="T34" s="771" t="s">
        <v>17</v>
      </c>
      <c r="U34" s="772" t="e">
        <f t="shared" si="11"/>
        <v>#N/A</v>
      </c>
      <c r="V34" s="771" t="s">
        <v>17</v>
      </c>
      <c r="W34" s="772" t="e">
        <f t="shared" si="12"/>
        <v>#N/A</v>
      </c>
      <c r="X34" s="1808"/>
      <c r="Y34" s="3190"/>
      <c r="Z34" s="1809" t="str">
        <f t="shared" si="13"/>
        <v>宗地面积</v>
      </c>
      <c r="AA34" s="1806" t="e">
        <f t="shared" si="3"/>
        <v>#N/A</v>
      </c>
      <c r="AB34" s="1806" t="e">
        <f t="shared" si="4"/>
        <v>#N/A</v>
      </c>
      <c r="AC34" s="1806" t="e">
        <f t="shared" si="5"/>
        <v>#N/A</v>
      </c>
    </row>
    <row r="35" spans="1:29" ht="15">
      <c r="A35" s="469"/>
      <c r="B35" s="419" t="s">
        <v>2735</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190"/>
      <c r="Q35" s="1805" t="str">
        <f t="shared" ref="Q35:Q40" si="14">B35</f>
        <v>宗地形状</v>
      </c>
      <c r="R35" s="771" t="s">
        <v>17</v>
      </c>
      <c r="S35" s="772">
        <f t="shared" si="10"/>
        <v>100</v>
      </c>
      <c r="T35" s="771" t="s">
        <v>17</v>
      </c>
      <c r="U35" s="772">
        <f t="shared" si="11"/>
        <v>100</v>
      </c>
      <c r="V35" s="771" t="s">
        <v>17</v>
      </c>
      <c r="W35" s="772">
        <f t="shared" si="12"/>
        <v>100</v>
      </c>
      <c r="X35" s="1808"/>
      <c r="Y35" s="3190"/>
      <c r="Z35" s="1809" t="str">
        <f t="shared" si="13"/>
        <v>宗地形状</v>
      </c>
      <c r="AA35" s="1806">
        <f t="shared" si="3"/>
        <v>1</v>
      </c>
      <c r="AB35" s="1806">
        <f t="shared" si="4"/>
        <v>1</v>
      </c>
      <c r="AC35" s="1806">
        <f t="shared" si="5"/>
        <v>1</v>
      </c>
    </row>
    <row r="36" spans="1:29" s="115" customFormat="1" ht="15">
      <c r="A36" s="470"/>
      <c r="B36" s="419" t="s">
        <v>2737</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190"/>
      <c r="Q36" s="1805" t="str">
        <f t="shared" si="14"/>
        <v>宗地开发程度</v>
      </c>
      <c r="R36" s="767" t="s">
        <v>17</v>
      </c>
      <c r="S36" s="768">
        <f t="shared" si="10"/>
        <v>100</v>
      </c>
      <c r="T36" s="767" t="s">
        <v>17</v>
      </c>
      <c r="U36" s="768">
        <f t="shared" si="11"/>
        <v>100</v>
      </c>
      <c r="V36" s="767" t="s">
        <v>17</v>
      </c>
      <c r="W36" s="768">
        <f t="shared" si="12"/>
        <v>100</v>
      </c>
      <c r="X36" s="769"/>
      <c r="Y36" s="3190"/>
      <c r="Z36" s="55" t="str">
        <f t="shared" si="13"/>
        <v>宗地开发程度</v>
      </c>
      <c r="AA36" s="770">
        <f t="shared" si="3"/>
        <v>1</v>
      </c>
      <c r="AB36" s="770">
        <f t="shared" si="4"/>
        <v>1</v>
      </c>
      <c r="AC36" s="770">
        <f t="shared" si="5"/>
        <v>1</v>
      </c>
    </row>
    <row r="37" spans="1:29" ht="15">
      <c r="A37" s="469"/>
      <c r="B37" s="419" t="s">
        <v>2738</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190" t="s">
        <v>2549</v>
      </c>
      <c r="Q37" s="1805" t="str">
        <f t="shared" si="14"/>
        <v>工程地质条件</v>
      </c>
      <c r="R37" s="771" t="s">
        <v>17</v>
      </c>
      <c r="S37" s="772">
        <f t="shared" si="10"/>
        <v>100</v>
      </c>
      <c r="T37" s="771" t="s">
        <v>17</v>
      </c>
      <c r="U37" s="772">
        <f t="shared" si="11"/>
        <v>100</v>
      </c>
      <c r="V37" s="771" t="s">
        <v>17</v>
      </c>
      <c r="W37" s="772">
        <f t="shared" si="12"/>
        <v>100</v>
      </c>
      <c r="X37" s="1808"/>
      <c r="Y37" s="3190" t="s">
        <v>2549</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190"/>
      <c r="Q38" s="1805">
        <f t="shared" si="14"/>
        <v>111</v>
      </c>
      <c r="R38" s="771" t="s">
        <v>17</v>
      </c>
      <c r="S38" s="772">
        <f t="shared" si="10"/>
        <v>100</v>
      </c>
      <c r="T38" s="771" t="s">
        <v>17</v>
      </c>
      <c r="U38" s="772">
        <f t="shared" si="11"/>
        <v>100</v>
      </c>
      <c r="V38" s="771" t="s">
        <v>17</v>
      </c>
      <c r="W38" s="772">
        <f t="shared" si="12"/>
        <v>100</v>
      </c>
      <c r="X38" s="1808"/>
      <c r="Y38" s="3190"/>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190"/>
      <c r="Q39" s="1805">
        <f t="shared" si="14"/>
        <v>111</v>
      </c>
      <c r="R39" s="771" t="s">
        <v>17</v>
      </c>
      <c r="S39" s="772">
        <f t="shared" si="10"/>
        <v>100</v>
      </c>
      <c r="T39" s="771" t="s">
        <v>17</v>
      </c>
      <c r="U39" s="772">
        <f t="shared" si="11"/>
        <v>100</v>
      </c>
      <c r="V39" s="771" t="s">
        <v>17</v>
      </c>
      <c r="W39" s="772">
        <f t="shared" si="12"/>
        <v>100</v>
      </c>
      <c r="X39" s="1808"/>
      <c r="Y39" s="3190"/>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190"/>
      <c r="Q40" s="1805">
        <f t="shared" si="14"/>
        <v>111</v>
      </c>
      <c r="R40" s="774" t="s">
        <v>17</v>
      </c>
      <c r="S40" s="775">
        <f t="shared" si="10"/>
        <v>100</v>
      </c>
      <c r="T40" s="774" t="s">
        <v>17</v>
      </c>
      <c r="U40" s="775">
        <f t="shared" si="11"/>
        <v>100</v>
      </c>
      <c r="V40" s="774" t="s">
        <v>17</v>
      </c>
      <c r="W40" s="775">
        <f t="shared" si="12"/>
        <v>100</v>
      </c>
      <c r="X40" s="776"/>
      <c r="Y40" s="3190"/>
      <c r="Z40" s="777">
        <f t="shared" si="13"/>
        <v>111</v>
      </c>
      <c r="AA40" s="1806">
        <f t="shared" si="3"/>
        <v>1</v>
      </c>
      <c r="AB40" s="1806">
        <f t="shared" si="4"/>
        <v>1</v>
      </c>
      <c r="AC40" s="1806">
        <f t="shared" si="5"/>
        <v>1</v>
      </c>
    </row>
    <row r="41" spans="1:29" ht="15">
      <c r="A41" s="476" t="s">
        <v>2704</v>
      </c>
      <c r="B41" s="2700" t="s">
        <v>2783</v>
      </c>
      <c r="C41" s="679" t="s">
        <v>1</v>
      </c>
      <c r="D41" s="478"/>
      <c r="E41" s="479"/>
      <c r="F41" s="480"/>
      <c r="G41" s="481"/>
      <c r="H41" s="482"/>
      <c r="I41" s="479"/>
      <c r="J41" s="482"/>
      <c r="K41" s="780"/>
      <c r="L41" s="1139"/>
      <c r="M41" s="1127"/>
      <c r="N41" s="1127"/>
      <c r="O41" s="1140"/>
      <c r="P41" s="3185" t="str">
        <f>A41</f>
        <v>成交单价</v>
      </c>
      <c r="Q41" s="3185"/>
      <c r="R41" s="3191">
        <f>E41</f>
        <v>0</v>
      </c>
      <c r="S41" s="3191"/>
      <c r="T41" s="3191">
        <f>G41</f>
        <v>0</v>
      </c>
      <c r="U41" s="3191"/>
      <c r="V41" s="3191">
        <f>I41</f>
        <v>0</v>
      </c>
      <c r="W41" s="3191"/>
      <c r="X41" s="756"/>
      <c r="Y41" s="778"/>
      <c r="Z41" s="756"/>
      <c r="AA41" s="756"/>
      <c r="AB41" s="756"/>
      <c r="AC41" s="756"/>
    </row>
    <row r="42" spans="1:29" ht="15.75" thickBot="1">
      <c r="A42" s="483" t="s">
        <v>2653</v>
      </c>
      <c r="B42" s="680"/>
      <c r="C42" s="487" t="e">
        <f>R43</f>
        <v>#DIV/0!</v>
      </c>
      <c r="D42" s="486"/>
      <c r="E42" s="487" t="e">
        <f>R42</f>
        <v>#DIV/0!</v>
      </c>
      <c r="F42" s="488"/>
      <c r="G42" s="485" t="e">
        <f>T42</f>
        <v>#DIV/0!</v>
      </c>
      <c r="H42" s="486"/>
      <c r="I42" s="487" t="e">
        <f>V42</f>
        <v>#DIV/0!</v>
      </c>
      <c r="J42" s="486"/>
      <c r="K42" s="781"/>
      <c r="L42" s="1139"/>
      <c r="M42" s="1127"/>
      <c r="N42" s="1127"/>
      <c r="O42" s="1140"/>
      <c r="P42" s="3185" t="str">
        <f>A42</f>
        <v>比较价值（元/平方米）</v>
      </c>
      <c r="Q42" s="3185"/>
      <c r="R42" s="3178" t="e">
        <f>ROUND(PRODUCT(R41,AA7:AA40),0)</f>
        <v>#DIV/0!</v>
      </c>
      <c r="S42" s="3178"/>
      <c r="T42" s="3178" t="e">
        <f>ROUND(PRODUCT(T41,AB7:AB40),0)</f>
        <v>#DIV/0!</v>
      </c>
      <c r="U42" s="3178"/>
      <c r="V42" s="3178" t="e">
        <f>ROUND(PRODUCT(V41,AC7:AC40),0)</f>
        <v>#DIV/0!</v>
      </c>
      <c r="W42" s="3178"/>
      <c r="X42" s="756"/>
      <c r="Y42" s="756"/>
      <c r="Z42" s="756"/>
      <c r="AA42" s="756"/>
      <c r="AB42" s="756"/>
      <c r="AC42" s="756"/>
    </row>
    <row r="43" spans="1:29" ht="15.75" thickBot="1">
      <c r="A43" s="489" t="s">
        <v>2654</v>
      </c>
      <c r="B43" s="490"/>
      <c r="C43" s="491" t="e">
        <f>R43</f>
        <v>#DIV/0!</v>
      </c>
      <c r="D43" s="491"/>
      <c r="E43" s="491"/>
      <c r="F43" s="491"/>
      <c r="G43" s="491"/>
      <c r="H43" s="491"/>
      <c r="I43" s="491"/>
      <c r="J43" s="491"/>
      <c r="K43" s="782"/>
      <c r="L43" s="1139"/>
      <c r="M43" s="1127"/>
      <c r="N43" s="1127"/>
      <c r="O43" s="1140"/>
      <c r="P43" s="3179" t="str">
        <f>A43</f>
        <v>估价对象XX用房的比较价值（楼面单价，元/平方米）</v>
      </c>
      <c r="Q43" s="3180"/>
      <c r="R43" s="3181" t="e">
        <f>ROUND(AVERAGE(R42:V42),0)</f>
        <v>#DIV/0!</v>
      </c>
      <c r="S43" s="3181"/>
      <c r="T43" s="3181"/>
      <c r="U43" s="3181"/>
      <c r="V43" s="3181"/>
      <c r="W43" s="3181"/>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2741</v>
      </c>
      <c r="B50" s="682" t="s">
        <v>2742</v>
      </c>
      <c r="C50" s="2701" t="s">
        <v>2743</v>
      </c>
      <c r="D50" s="2702" t="s">
        <v>2744</v>
      </c>
      <c r="E50" s="683" t="s">
        <v>2745</v>
      </c>
      <c r="F50" s="684" t="s">
        <v>2746</v>
      </c>
      <c r="G50" s="3182" t="s">
        <v>2747</v>
      </c>
      <c r="H50" s="3183"/>
      <c r="I50" s="1809" t="s">
        <v>2784</v>
      </c>
      <c r="J50" s="1809" t="str">
        <f>项目基本情况!F35</f>
        <v>广东省</v>
      </c>
      <c r="K50" s="2704" t="s">
        <v>2749</v>
      </c>
      <c r="L50" s="1102"/>
      <c r="M50" s="1140"/>
      <c r="N50" s="1140"/>
      <c r="O50" s="1140"/>
    </row>
    <row r="51" spans="1:17" s="689" customFormat="1">
      <c r="A51" s="685" t="s">
        <v>2750</v>
      </c>
      <c r="B51" s="686" t="e">
        <f>C43</f>
        <v>#DIV/0!</v>
      </c>
      <c r="C51" s="687">
        <v>1</v>
      </c>
      <c r="D51" s="1159">
        <v>1</v>
      </c>
      <c r="E51" s="687">
        <f>'数据-汇总表'!E8+'数据-汇总表'!E9</f>
        <v>24664.65</v>
      </c>
      <c r="F51" s="688" t="e">
        <f t="shared" ref="F51:F60" si="15">ROUND(B51*E51/10000,0)</f>
        <v>#DIV/0!</v>
      </c>
      <c r="G51" s="3184"/>
      <c r="H51" s="3185"/>
      <c r="I51" s="938">
        <v>1</v>
      </c>
      <c r="J51" s="938">
        <v>1</v>
      </c>
      <c r="K51" s="1141"/>
      <c r="L51" s="937"/>
      <c r="M51" s="937"/>
      <c r="N51" s="937"/>
      <c r="O51" s="937"/>
    </row>
    <row r="52" spans="1:17" s="689" customFormat="1">
      <c r="A52" s="690" t="s">
        <v>2751</v>
      </c>
      <c r="B52" s="259" t="e">
        <f>ROUND($C$43*C52*D52,0)</f>
        <v>#DIV/0!</v>
      </c>
      <c r="C52" s="197">
        <f t="shared" ref="C52:C60" si="16">IF($C$50="北京市系数",I52,J52)</f>
        <v>0</v>
      </c>
      <c r="D52" s="1160">
        <v>0.25</v>
      </c>
      <c r="E52" s="691"/>
      <c r="F52" s="688" t="e">
        <f t="shared" si="15"/>
        <v>#DIV/0!</v>
      </c>
      <c r="G52" s="3186" t="s">
        <v>2752</v>
      </c>
      <c r="H52" s="1100">
        <f>项目基本情况!B37</f>
        <v>0</v>
      </c>
      <c r="I52" s="938">
        <f>SUMIF(修正!A45:A56,H52,修正!B45:B56)</f>
        <v>0</v>
      </c>
      <c r="J52" s="939"/>
      <c r="K52" s="1140"/>
      <c r="L52" s="937"/>
      <c r="M52" s="937"/>
      <c r="N52" s="937"/>
      <c r="O52" s="937"/>
    </row>
    <row r="53" spans="1:17" s="689" customFormat="1">
      <c r="A53" s="690" t="s">
        <v>2753</v>
      </c>
      <c r="B53" s="259" t="e">
        <f t="shared" ref="B53:B60" si="17">ROUND($C$43*C53*D53,0)</f>
        <v>#DIV/0!</v>
      </c>
      <c r="C53" s="197">
        <f t="shared" si="16"/>
        <v>0</v>
      </c>
      <c r="D53" s="1160">
        <v>0.25</v>
      </c>
      <c r="E53" s="691"/>
      <c r="F53" s="688" t="e">
        <f t="shared" si="15"/>
        <v>#DIV/0!</v>
      </c>
      <c r="G53" s="3186"/>
      <c r="H53" s="1100">
        <f>项目基本情况!B37</f>
        <v>0</v>
      </c>
      <c r="I53" s="938">
        <f>SUMIF(修正!A45:A56,H53,修正!C45:C56)</f>
        <v>0</v>
      </c>
      <c r="J53" s="939"/>
      <c r="K53" s="1141"/>
      <c r="L53" s="937"/>
      <c r="M53" s="937"/>
      <c r="N53" s="937"/>
      <c r="O53" s="937"/>
    </row>
    <row r="54" spans="1:17" s="689" customFormat="1">
      <c r="A54" s="690" t="s">
        <v>2754</v>
      </c>
      <c r="B54" s="259" t="e">
        <f t="shared" si="17"/>
        <v>#DIV/0!</v>
      </c>
      <c r="C54" s="197">
        <f t="shared" si="16"/>
        <v>0</v>
      </c>
      <c r="D54" s="1160">
        <v>0.25</v>
      </c>
      <c r="E54" s="691"/>
      <c r="F54" s="688" t="e">
        <f t="shared" si="15"/>
        <v>#DIV/0!</v>
      </c>
      <c r="G54" s="3186"/>
      <c r="H54" s="1100">
        <f>项目基本情况!B37</f>
        <v>0</v>
      </c>
      <c r="I54" s="938">
        <f>SUMIF(修正!A45:A56,H54,修正!D45:D56)</f>
        <v>0</v>
      </c>
      <c r="J54" s="939"/>
      <c r="K54" s="1140"/>
      <c r="L54" s="937"/>
      <c r="M54" s="937"/>
      <c r="N54" s="937"/>
      <c r="O54" s="937"/>
    </row>
    <row r="55" spans="1:17" s="689" customFormat="1">
      <c r="A55" s="690" t="s">
        <v>2755</v>
      </c>
      <c r="B55" s="259" t="e">
        <f t="shared" si="17"/>
        <v>#DIV/0!</v>
      </c>
      <c r="C55" s="197">
        <f t="shared" si="16"/>
        <v>0</v>
      </c>
      <c r="D55" s="1160">
        <v>0.25</v>
      </c>
      <c r="E55" s="691"/>
      <c r="F55" s="688" t="e">
        <f t="shared" si="15"/>
        <v>#DIV/0!</v>
      </c>
      <c r="G55" s="3186"/>
      <c r="H55" s="1100">
        <f>项目基本情况!B37</f>
        <v>0</v>
      </c>
      <c r="I55" s="938">
        <f>SUMIF(修正!A45:A56,H55,修正!E45:E56)</f>
        <v>0</v>
      </c>
      <c r="J55" s="939"/>
      <c r="K55" s="1141"/>
      <c r="L55" s="937"/>
      <c r="M55" s="937"/>
      <c r="N55" s="937"/>
      <c r="O55" s="937"/>
    </row>
    <row r="56" spans="1:17" s="689" customFormat="1">
      <c r="A56" s="690" t="s">
        <v>2756</v>
      </c>
      <c r="B56" s="259" t="e">
        <f t="shared" si="17"/>
        <v>#DIV/0!</v>
      </c>
      <c r="C56" s="197">
        <f t="shared" si="16"/>
        <v>0</v>
      </c>
      <c r="D56" s="1160">
        <v>0.25</v>
      </c>
      <c r="E56" s="258">
        <f>'数据-汇总表'!E11</f>
        <v>0</v>
      </c>
      <c r="F56" s="688" t="e">
        <f t="shared" si="15"/>
        <v>#DIV/0!</v>
      </c>
      <c r="G56" s="2705" t="s">
        <v>2757</v>
      </c>
      <c r="H56" s="1100">
        <f>项目基本情况!C37</f>
        <v>0</v>
      </c>
      <c r="I56" s="938">
        <f>SUMIF(修正!A45:A56,H56,修正!F45:F56)</f>
        <v>0</v>
      </c>
      <c r="J56" s="939"/>
      <c r="K56" s="1140"/>
      <c r="L56" s="937"/>
      <c r="M56" s="937"/>
      <c r="N56" s="937"/>
      <c r="O56" s="937"/>
    </row>
    <row r="57" spans="1:17" s="689" customFormat="1">
      <c r="A57" s="690" t="s">
        <v>2758</v>
      </c>
      <c r="B57" s="259" t="e">
        <f t="shared" si="17"/>
        <v>#DIV/0!</v>
      </c>
      <c r="C57" s="197">
        <f t="shared" si="16"/>
        <v>0</v>
      </c>
      <c r="D57" s="1160">
        <v>0.25</v>
      </c>
      <c r="E57" s="258">
        <f>'数据-汇总表'!E12</f>
        <v>0</v>
      </c>
      <c r="F57" s="688" t="e">
        <f t="shared" si="15"/>
        <v>#DIV/0!</v>
      </c>
      <c r="G57" s="1105" t="s">
        <v>2759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2760</v>
      </c>
      <c r="B58" s="259" t="e">
        <f t="shared" si="17"/>
        <v>#DIV/0!</v>
      </c>
      <c r="C58" s="197">
        <f t="shared" si="16"/>
        <v>0</v>
      </c>
      <c r="D58" s="1160">
        <v>0.25</v>
      </c>
      <c r="E58" s="258">
        <f>'数据-汇总表'!E13</f>
        <v>34093</v>
      </c>
      <c r="F58" s="688" t="e">
        <f t="shared" si="15"/>
        <v>#DIV/0!</v>
      </c>
      <c r="G58" s="1105" t="s">
        <v>2761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2762</v>
      </c>
      <c r="B59" s="259" t="e">
        <f t="shared" si="17"/>
        <v>#DIV/0!</v>
      </c>
      <c r="C59" s="197">
        <f t="shared" si="16"/>
        <v>0</v>
      </c>
      <c r="D59" s="1160">
        <v>0.25</v>
      </c>
      <c r="E59" s="258">
        <f>'数据-汇总表'!E14</f>
        <v>0</v>
      </c>
      <c r="F59" s="688" t="e">
        <f t="shared" si="15"/>
        <v>#DIV/0!</v>
      </c>
      <c r="G59" s="2705" t="s">
        <v>2752</v>
      </c>
      <c r="H59" s="1100">
        <f>项目基本情况!B37</f>
        <v>0</v>
      </c>
      <c r="I59" s="938">
        <f>SUMIF(修正!A45:A56,H59,修正!H45:H56)</f>
        <v>0</v>
      </c>
      <c r="J59" s="939"/>
      <c r="K59" s="1141"/>
      <c r="L59" s="937"/>
      <c r="M59" s="937"/>
      <c r="N59" s="937"/>
      <c r="O59" s="937"/>
    </row>
    <row r="60" spans="1:17" s="689" customFormat="1" ht="15" thickBot="1">
      <c r="A60" s="690" t="s">
        <v>2763</v>
      </c>
      <c r="B60" s="259" t="e">
        <f t="shared" si="17"/>
        <v>#DIV/0!</v>
      </c>
      <c r="C60" s="197">
        <f t="shared" si="16"/>
        <v>0</v>
      </c>
      <c r="D60" s="1160">
        <v>0.25</v>
      </c>
      <c r="E60" s="258">
        <f>'数据-汇总表'!E15</f>
        <v>0</v>
      </c>
      <c r="F60" s="688" t="e">
        <f t="shared" si="15"/>
        <v>#DIV/0!</v>
      </c>
      <c r="G60" s="2706" t="s">
        <v>2757</v>
      </c>
      <c r="H60" s="1110">
        <f>项目基本情况!C37</f>
        <v>0</v>
      </c>
      <c r="I60" s="938">
        <f>SUMIF(修正!A45:A56,H60,修正!H45:H56)</f>
        <v>0</v>
      </c>
      <c r="J60" s="939"/>
      <c r="K60" s="1140"/>
      <c r="L60" s="937"/>
      <c r="M60" s="937"/>
      <c r="N60" s="937"/>
      <c r="O60" s="937"/>
    </row>
    <row r="61" spans="1:17" s="689" customFormat="1" ht="15" thickBot="1">
      <c r="A61" s="692" t="s">
        <v>2764</v>
      </c>
      <c r="B61" s="693" t="s">
        <v>28</v>
      </c>
      <c r="C61" s="693" t="s">
        <v>29</v>
      </c>
      <c r="D61" s="693" t="s">
        <v>1029</v>
      </c>
      <c r="E61" s="693">
        <f>IF(B41="楼面地价",SUM(E51:E60),'数据-汇总表'!D3)</f>
        <v>18569.88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2658</v>
      </c>
      <c r="B64" s="756"/>
      <c r="C64" s="761"/>
      <c r="D64" s="761"/>
      <c r="E64" s="761"/>
      <c r="F64" s="762"/>
      <c r="G64" s="762"/>
      <c r="H64" s="761"/>
      <c r="I64" s="761"/>
      <c r="J64" s="761"/>
      <c r="K64" s="763"/>
      <c r="L64" s="764"/>
      <c r="M64" s="761"/>
      <c r="N64" s="761"/>
      <c r="O64" s="1155"/>
      <c r="P64" s="500"/>
      <c r="Q64" s="501"/>
    </row>
    <row r="65" spans="1:17" s="505" customFormat="1" ht="15">
      <c r="A65" s="2707" t="s">
        <v>2765</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2785</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2569</v>
      </c>
      <c r="B67" s="513"/>
      <c r="C67" s="514"/>
      <c r="D67" s="515"/>
      <c r="E67" s="515"/>
      <c r="F67" s="515"/>
      <c r="G67" s="515"/>
      <c r="H67" s="515"/>
      <c r="I67" s="515"/>
      <c r="J67" s="515"/>
      <c r="K67" s="515"/>
      <c r="L67" s="515"/>
      <c r="M67" s="516"/>
      <c r="N67" s="516"/>
      <c r="O67" s="517"/>
      <c r="P67" s="501"/>
      <c r="Q67" s="501"/>
    </row>
    <row r="68" spans="1:17" s="115" customFormat="1" ht="15">
      <c r="A68" s="518" t="s">
        <v>2534</v>
      </c>
      <c r="B68" s="507"/>
      <c r="C68" s="519" t="s">
        <v>2636</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2572</v>
      </c>
      <c r="B70" s="525" t="s">
        <v>2538</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2541</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2768</v>
      </c>
      <c r="C87" s="570" t="s">
        <v>2581</v>
      </c>
      <c r="D87" s="570" t="s">
        <v>2582</v>
      </c>
      <c r="E87" s="570" t="s">
        <v>2583</v>
      </c>
      <c r="F87" s="570" t="s">
        <v>2584</v>
      </c>
      <c r="G87" s="570" t="s">
        <v>2585</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2769</v>
      </c>
      <c r="C89" s="570" t="s">
        <v>2581</v>
      </c>
      <c r="D89" s="570" t="s">
        <v>2582</v>
      </c>
      <c r="E89" s="570" t="s">
        <v>2583</v>
      </c>
      <c r="F89" s="570" t="s">
        <v>2584</v>
      </c>
      <c r="G89" s="570" t="s">
        <v>2585</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2786</v>
      </c>
      <c r="C93" s="657" t="s">
        <v>2659</v>
      </c>
      <c r="D93" s="657" t="s">
        <v>2660</v>
      </c>
      <c r="E93" s="657" t="s">
        <v>2661</v>
      </c>
      <c r="F93" s="657" t="s">
        <v>2662</v>
      </c>
      <c r="G93" s="657" t="s">
        <v>2663</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2675</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2547</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2787</v>
      </c>
      <c r="B1" s="238"/>
      <c r="C1" s="242" t="s">
        <v>2788</v>
      </c>
      <c r="D1" s="385">
        <f>SUM(D29:D30,D33:D39)</f>
        <v>0</v>
      </c>
      <c r="E1" s="2713"/>
      <c r="F1" s="2713"/>
      <c r="G1" s="2713"/>
      <c r="H1" s="2713"/>
      <c r="I1" s="2713"/>
      <c r="J1" s="2713"/>
      <c r="K1" s="1366"/>
      <c r="L1" s="2714" t="s">
        <v>2789</v>
      </c>
      <c r="M1" s="1076">
        <f>SUMPRODUCT((区片价!B5:B9=I2)*(区片价!C3:F3=E2)*(区片价!C5:F9))</f>
        <v>0</v>
      </c>
      <c r="N1" s="1079">
        <f>SUMPRODUCT((因素修正幅度!B5:B9=I2)*(因素修正幅度!C3:F3=E2)*(因素修正幅度!C5:F9))</f>
        <v>0</v>
      </c>
      <c r="O1" s="2715"/>
      <c r="P1" s="2715"/>
      <c r="Q1" s="1366"/>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7" t="s">
        <v>2796</v>
      </c>
      <c r="D2" s="2718" t="s">
        <v>2797</v>
      </c>
      <c r="E2" s="2719"/>
      <c r="F2" s="2718" t="s">
        <v>2798</v>
      </c>
      <c r="G2" s="2720">
        <f>IF(E2="商业",项目基本情况!B37,IF(E2="办公",项目基本情况!C37,IF(E2="住宅",项目基本情况!D37,项目基本情况!E37)))</f>
        <v>0</v>
      </c>
      <c r="H2" s="2718" t="s">
        <v>2799</v>
      </c>
      <c r="I2" s="2720">
        <f>IF(E2="商业",项目基本情况!B38,IF(E2="办公",项目基本情况!C38,IF(E2="住宅",项目基本情况!D38,项目基本情况!E38)))</f>
        <v>0</v>
      </c>
      <c r="J2" s="2721"/>
      <c r="K2" s="1366"/>
      <c r="L2" s="2722" t="s">
        <v>2800</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7" t="s">
        <v>2802</v>
      </c>
      <c r="D3" s="2718" t="s">
        <v>2803</v>
      </c>
      <c r="E3" s="2723"/>
      <c r="F3" s="2724" t="s">
        <v>2804</v>
      </c>
      <c r="G3" s="909">
        <f>IF(F3="宗地容积率",'数据-汇总表'!I4,IF(F3="估价对象容积率",'数据-汇总表'!I6,'数据-汇总表'!I7))</f>
        <v>2.39</v>
      </c>
      <c r="H3" s="195" t="s">
        <v>2805</v>
      </c>
      <c r="I3" s="940"/>
      <c r="J3" s="2721" t="s">
        <v>2806</v>
      </c>
      <c r="K3" s="1366"/>
      <c r="L3" s="2722" t="s">
        <v>2807</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3"/>
      <c r="B4" s="3284"/>
      <c r="C4" s="3284"/>
      <c r="D4" s="3285"/>
      <c r="E4" s="3285"/>
      <c r="F4" s="3285"/>
      <c r="G4" s="3285"/>
      <c r="H4" s="3285"/>
      <c r="I4" s="3285"/>
      <c r="J4" s="3286"/>
      <c r="K4" s="1366"/>
      <c r="L4" s="2722" t="s">
        <v>2808</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2809</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2810</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2811</v>
      </c>
      <c r="B6" s="2736" t="s">
        <v>2812</v>
      </c>
      <c r="C6" s="911">
        <f>SUMIF(L1:L12,G2,M1:M12)</f>
        <v>0</v>
      </c>
      <c r="D6" s="2737" t="s">
        <v>2813</v>
      </c>
      <c r="E6" s="2738"/>
      <c r="F6" s="2738"/>
      <c r="G6" s="2739"/>
      <c r="H6" s="2739"/>
      <c r="I6" s="2739"/>
      <c r="J6" s="2740"/>
      <c r="K6" s="1837"/>
      <c r="L6" s="2722" t="s">
        <v>2814</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7" t="str">
        <f>IF(E2="商业",IF(C8="不临58条商业街","",2),"")</f>
        <v/>
      </c>
      <c r="B7" s="2741" t="s">
        <v>2815</v>
      </c>
      <c r="C7" s="912" t="e">
        <f>IF(C8="不临58条商业街",1,ROUND(1+(1.6*E8+1.2*E9+0.8*E10+0.4*E11)*C9,4))</f>
        <v>#DIV/0!</v>
      </c>
      <c r="D7" s="2742" t="s">
        <v>2816</v>
      </c>
      <c r="E7" s="941"/>
      <c r="F7" s="2743"/>
      <c r="G7" s="2744"/>
      <c r="H7" s="2744"/>
      <c r="I7" s="2744"/>
      <c r="J7" s="2745"/>
      <c r="K7" s="1837"/>
      <c r="L7" s="2722" t="s">
        <v>2817</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2.39</v>
      </c>
      <c r="AA7" s="1601"/>
      <c r="AB7" s="1601"/>
      <c r="AC7" s="1602"/>
      <c r="AD7" s="1603"/>
      <c r="AE7" s="1603"/>
      <c r="AF7" s="1603"/>
      <c r="AG7" s="1603"/>
      <c r="AH7" s="1603"/>
      <c r="AI7" s="1603"/>
      <c r="AJ7" s="1604"/>
    </row>
    <row r="8" spans="1:36" ht="15">
      <c r="A8" s="3288"/>
      <c r="B8" s="195" t="s">
        <v>2820</v>
      </c>
      <c r="C8" s="2746"/>
      <c r="D8" s="913" t="s">
        <v>139</v>
      </c>
      <c r="E8" s="914" t="e">
        <f>ROUND(C11/E7,4)</f>
        <v>#DIV/0!</v>
      </c>
      <c r="F8" s="2747" t="s">
        <v>2821</v>
      </c>
      <c r="G8" s="2748"/>
      <c r="H8" s="2748"/>
      <c r="I8" s="2748"/>
      <c r="J8" s="2749"/>
      <c r="K8" s="1366"/>
      <c r="L8" s="2722" t="s">
        <v>2822</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80" t="s">
        <v>2823</v>
      </c>
      <c r="X8" s="3281"/>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88"/>
      <c r="B9" s="195" t="s">
        <v>2836</v>
      </c>
      <c r="C9" s="915">
        <f>SUMIF(修正!C59:C119,C8,修正!E59:E119)</f>
        <v>0</v>
      </c>
      <c r="D9" s="197" t="s">
        <v>140</v>
      </c>
      <c r="E9" s="197" t="e">
        <f>ROUND(C11/E7,4)</f>
        <v>#DIV/0!</v>
      </c>
      <c r="F9" s="2747" t="s">
        <v>2837</v>
      </c>
      <c r="G9" s="2748"/>
      <c r="H9" s="2748"/>
      <c r="I9" s="2748"/>
      <c r="J9" s="2749"/>
      <c r="K9" s="1366"/>
      <c r="L9" s="2722" t="s">
        <v>2838</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82"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8"/>
      <c r="B10" s="195" t="s">
        <v>2841</v>
      </c>
      <c r="C10" s="197">
        <f>SUMIF(修正!C59:C119,C8,修正!F59:F119)</f>
        <v>0</v>
      </c>
      <c r="D10" s="197" t="s">
        <v>141</v>
      </c>
      <c r="E10" s="197" t="e">
        <f>ROUND(C11/E7,4)</f>
        <v>#DIV/0!</v>
      </c>
      <c r="F10" s="2747" t="s">
        <v>2842</v>
      </c>
      <c r="G10" s="2748"/>
      <c r="H10" s="2748"/>
      <c r="I10" s="2748"/>
      <c r="J10" s="2749"/>
      <c r="K10" s="1366"/>
      <c r="L10" s="2722" t="s">
        <v>2843</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8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8"/>
      <c r="B11" s="2750" t="s">
        <v>2844</v>
      </c>
      <c r="C11" s="916">
        <f>C10/4</f>
        <v>0</v>
      </c>
      <c r="D11" s="916" t="s">
        <v>142</v>
      </c>
      <c r="E11" s="916" t="e">
        <f>ROUND(C11/E7,4)</f>
        <v>#DIV/0!</v>
      </c>
      <c r="F11" s="2751" t="s">
        <v>2845</v>
      </c>
      <c r="G11" s="2752"/>
      <c r="H11" s="2752"/>
      <c r="I11" s="2752"/>
      <c r="J11" s="2753"/>
      <c r="K11" s="1366"/>
      <c r="L11" s="2722" t="s">
        <v>2846</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82" t="s">
        <v>2847</v>
      </c>
      <c r="X11" s="1609" t="s">
        <v>2848</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7" t="s">
        <v>2849</v>
      </c>
      <c r="B12" s="2754" t="s">
        <v>2850</v>
      </c>
      <c r="C12" s="912">
        <f>ROUND(C15*D15*E15*F15*G15*H15*I15*J15,4)</f>
        <v>1</v>
      </c>
      <c r="D12" s="2755" t="s">
        <v>2851</v>
      </c>
      <c r="E12" s="2756"/>
      <c r="F12" s="2756"/>
      <c r="G12" s="2757"/>
      <c r="H12" s="2757"/>
      <c r="I12" s="2757"/>
      <c r="J12" s="2758"/>
      <c r="K12" s="1366"/>
      <c r="L12" s="2759" t="s">
        <v>2852</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82"/>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9"/>
      <c r="B13" s="2760" t="s">
        <v>2854</v>
      </c>
      <c r="C13" s="2761" t="s">
        <v>2855</v>
      </c>
      <c r="D13" s="1803" t="s">
        <v>2856</v>
      </c>
      <c r="E13" s="1803" t="s">
        <v>2857</v>
      </c>
      <c r="F13" s="30" t="s">
        <v>2858</v>
      </c>
      <c r="G13" s="2762" t="s">
        <v>2859</v>
      </c>
      <c r="H13" s="2762" t="s">
        <v>2859</v>
      </c>
      <c r="I13" s="2762" t="s">
        <v>2859</v>
      </c>
      <c r="J13" s="2763" t="s">
        <v>2859</v>
      </c>
      <c r="K13" s="1366"/>
      <c r="L13" s="1366"/>
      <c r="M13" s="1366"/>
      <c r="N13" s="1366"/>
      <c r="O13" s="1366"/>
      <c r="P13" s="1366"/>
      <c r="Q13" s="1366"/>
      <c r="R13" s="1597">
        <v>12</v>
      </c>
      <c r="S13" s="1598"/>
      <c r="T13" s="1597" t="e">
        <f t="shared" si="0"/>
        <v>#DIV/0!</v>
      </c>
      <c r="U13" s="1598"/>
      <c r="V13" s="1597" t="e">
        <f t="shared" si="1"/>
        <v>#DIV/0!</v>
      </c>
      <c r="W13" s="3282"/>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289"/>
      <c r="B14" s="2764"/>
      <c r="C14" s="2765"/>
      <c r="D14" s="2766"/>
      <c r="E14" s="2766"/>
      <c r="F14" s="2767"/>
      <c r="G14" s="2768" t="s">
        <v>2860</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0"/>
      <c r="B15" s="2772" t="s">
        <v>2861</v>
      </c>
      <c r="C15" s="226">
        <f>IF(C14="有",1.1,1)</f>
        <v>1</v>
      </c>
      <c r="D15" s="226">
        <f>IF(D14="有",1.1,1)</f>
        <v>1</v>
      </c>
      <c r="E15" s="226">
        <f>IF(E14="有",1.1,1)</f>
        <v>1</v>
      </c>
      <c r="F15" s="226">
        <f>IF(F14="500米范围内",1.2,IF(F14="500-1000米",1.1,1))</f>
        <v>1</v>
      </c>
      <c r="G15" s="942">
        <v>1</v>
      </c>
      <c r="H15" s="942">
        <v>1</v>
      </c>
      <c r="I15" s="942">
        <v>1</v>
      </c>
      <c r="J15" s="943">
        <v>1</v>
      </c>
      <c r="K15" s="1366"/>
      <c r="L15" s="2773" t="s">
        <v>2797</v>
      </c>
      <c r="M15" s="913" t="s">
        <v>2862</v>
      </c>
      <c r="N15" s="913" t="s">
        <v>2863</v>
      </c>
      <c r="O15" s="913" t="s">
        <v>2864</v>
      </c>
      <c r="P15" s="2774" t="s">
        <v>2865</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7" t="s">
        <v>2866</v>
      </c>
      <c r="B16" s="2741" t="s">
        <v>2867</v>
      </c>
      <c r="C16" s="1796" t="e">
        <f>ROUND(SUM(G17:J17)/C17,0)</f>
        <v>#DIV/0!</v>
      </c>
      <c r="D16" s="2775" t="s">
        <v>2868</v>
      </c>
      <c r="E16" s="2776"/>
      <c r="F16" s="2777"/>
      <c r="G16" s="2778"/>
      <c r="H16" s="2778"/>
      <c r="I16" s="2778"/>
      <c r="J16" s="2779"/>
      <c r="K16" s="1366"/>
      <c r="L16" s="2780" t="s">
        <v>2869</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8"/>
      <c r="B17" s="2781" t="s">
        <v>2870</v>
      </c>
      <c r="C17" s="917">
        <f>SUMPRODUCT((修正!A2:A5=E2)*(修正!B1:M1=G2)*(修正!B2:M5))</f>
        <v>0</v>
      </c>
      <c r="D17" s="2782" t="s">
        <v>2871</v>
      </c>
      <c r="E17" s="916" t="str">
        <f>IF(OR(G2="八级",G2="九级",G2="十级",G2="十一级",G2="十二级"),"五通一平","七通一平")</f>
        <v>七通一平</v>
      </c>
      <c r="F17" s="917" t="s">
        <v>2872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2874</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2875</v>
      </c>
      <c r="C19" s="920" t="e">
        <f>ROUND(IF(H19="按公示增长率计算",SUMPRODUCT((地价!A3:A24=YEAR(G19)&amp;"-"&amp;ROUNDUP(MONTH(G19)/3,0))*(地价!X2:AB2=E2)*(地价!X3:AB24)),IF(H19="地价指数",M20/M19,(1+I19)^O19)),4)</f>
        <v>#DIV/0!</v>
      </c>
      <c r="D19" s="2793" t="s">
        <v>2876</v>
      </c>
      <c r="E19" s="921">
        <v>41640</v>
      </c>
      <c r="F19" s="2793" t="s">
        <v>2877</v>
      </c>
      <c r="G19" s="922">
        <f>'数据-取费表'!B2</f>
        <v>43433</v>
      </c>
      <c r="H19" s="2794" t="s">
        <v>2878</v>
      </c>
      <c r="I19" s="923" t="str">
        <f>IF(H19="季度增幅（自定义）",SUMIF(N21:N24,E2,O21:O24),"")</f>
        <v/>
      </c>
      <c r="J19" s="2791"/>
      <c r="K19" s="1373"/>
      <c r="L19" s="2795" t="s">
        <v>2879</v>
      </c>
      <c r="M19" s="1729">
        <f>ROUND(SUMIF(地价!B2:F2,E2,地价!B24:F24),0)</f>
        <v>0</v>
      </c>
      <c r="N19" s="2796" t="s">
        <v>2880</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2881</v>
      </c>
      <c r="C20" s="925" t="e">
        <f>ROUND(POWER(1+G20,J20-I20)*(POWER(1+G20,I20)-1)/(POWER(1+G20,J20)-1),4)</f>
        <v>#DIV/0!</v>
      </c>
      <c r="D20" s="2802" t="s">
        <v>2882</v>
      </c>
      <c r="E20" s="1763">
        <f ca="1">存贷款利率!D4/100</f>
        <v>4.3499999999999997E-2</v>
      </c>
      <c r="F20" s="2802" t="s">
        <v>2873</v>
      </c>
      <c r="G20" s="930">
        <f>SUMIF(M15:P15,E2,M17:P17)</f>
        <v>0</v>
      </c>
      <c r="H20" s="2802" t="s">
        <v>2883</v>
      </c>
      <c r="I20" s="931" t="e">
        <f>SUMIF('数据-取费表'!C6:C15,E2,'数据-取费表'!F6:F15)/COUNTIF('数据-取费表'!C6:C15,E2)</f>
        <v>#DIV/0!</v>
      </c>
      <c r="J20" s="932">
        <f>IF(E2="住宅",70,IF(E2="商业",40,50))</f>
        <v>50</v>
      </c>
      <c r="K20" s="1373"/>
      <c r="L20" s="2803" t="s">
        <v>2884</v>
      </c>
      <c r="M20" s="1730">
        <f>ROUND(SUMPRODUCT((地价!A4:A24=YEAR(G19)&amp;"-"&amp;ROUNDUP(MONTH(G19)/3,0))*(地价!B2:F2=E2)*(地价!B4:F24)),0)</f>
        <v>0</v>
      </c>
      <c r="N20" s="2804" t="s">
        <v>2885</v>
      </c>
      <c r="O20" s="2805" t="s">
        <v>2886</v>
      </c>
      <c r="P20" s="2806" t="s">
        <v>2887</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2888</v>
      </c>
      <c r="C21" s="933">
        <f>IF(B21="容积率修正",IF(G3&lt;=10,D22,J22),C23)</f>
        <v>0</v>
      </c>
      <c r="D21" s="2809"/>
      <c r="E21" s="2809"/>
      <c r="F21" s="2809"/>
      <c r="G21" s="2809"/>
      <c r="H21" s="2809"/>
      <c r="I21" s="2809"/>
      <c r="J21" s="2810"/>
      <c r="K21" s="1373"/>
      <c r="N21" s="2811" t="s">
        <v>2889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2890</v>
      </c>
      <c r="B22" s="2812" t="s">
        <v>2891</v>
      </c>
      <c r="C22" s="1805" t="s">
        <v>2892</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2894</v>
      </c>
      <c r="B23" s="2813" t="s">
        <v>2895</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2897</v>
      </c>
      <c r="C24" s="920">
        <f>SUMIF(A45:A88,E2,B45:B88)</f>
        <v>0</v>
      </c>
      <c r="D24" s="2789"/>
      <c r="E24" s="2819"/>
      <c r="F24" s="2819"/>
      <c r="G24" s="2819"/>
      <c r="H24" s="2819"/>
      <c r="I24" s="2819"/>
      <c r="J24" s="2820"/>
      <c r="K24" s="1373"/>
      <c r="N24" s="2821" t="s">
        <v>2898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2899</v>
      </c>
      <c r="C25" s="926"/>
      <c r="D25" s="2744"/>
      <c r="E25" s="2744"/>
      <c r="F25" s="2823"/>
      <c r="G25" s="2744"/>
      <c r="H25" s="2744"/>
      <c r="I25" s="2744"/>
      <c r="J25" s="2745"/>
      <c r="K25" s="1366"/>
      <c r="N25" s="2824" t="s">
        <v>2900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2901</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2902</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2903</v>
      </c>
      <c r="C28" s="2836" t="s">
        <v>2904</v>
      </c>
      <c r="D28" s="2836" t="s">
        <v>2905</v>
      </c>
      <c r="E28" s="2837" t="s">
        <v>2906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2907</v>
      </c>
      <c r="C29" s="203" t="e">
        <f>ROUND(C5*C18*C19*C20*C21*C24,0)</f>
        <v>#DIV/0!</v>
      </c>
      <c r="D29" s="2841"/>
      <c r="E29" s="938" t="e">
        <f>ROUND(C29*D29/10000,0)</f>
        <v>#DIV/0!</v>
      </c>
      <c r="F29" s="2842" t="s">
        <v>2908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2909</v>
      </c>
      <c r="C30" s="226" t="e">
        <f>ROUND(IF(E2="工业",C29*M39,C29*M38),0)</f>
        <v>#DIV/0!</v>
      </c>
      <c r="D30" s="2847"/>
      <c r="E30" s="938" t="e">
        <f>ROUND(C30*D30/10000,0)</f>
        <v>#DIV/0!</v>
      </c>
      <c r="F30" s="2848" t="s">
        <v>2910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2911</v>
      </c>
      <c r="C31" s="2853" t="s">
        <v>2912</v>
      </c>
      <c r="D31" s="2757"/>
      <c r="E31" s="2853"/>
      <c r="F31" s="2853"/>
      <c r="G31" s="2755" t="s">
        <v>2913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2904</v>
      </c>
      <c r="D32" s="495" t="s">
        <v>2905</v>
      </c>
      <c r="E32" s="495" t="s">
        <v>2906</v>
      </c>
      <c r="F32" s="385" t="s">
        <v>2914</v>
      </c>
      <c r="G32" s="2856" t="s">
        <v>2904</v>
      </c>
      <c r="H32" s="2856" t="s">
        <v>2905</v>
      </c>
      <c r="I32" s="2856" t="s">
        <v>2906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7" t="s">
        <v>2915</v>
      </c>
      <c r="B33" s="2857" t="s">
        <v>2916</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8"/>
      <c r="B34" s="2761" t="s">
        <v>2917</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8"/>
      <c r="B35" s="2761" t="s">
        <v>2918</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99"/>
      <c r="B36" s="2761" t="s">
        <v>2919</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2920</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2921</v>
      </c>
      <c r="M37" s="2861"/>
      <c r="N37" s="1366"/>
      <c r="O37" s="1366"/>
      <c r="P37" s="1366"/>
      <c r="Q37" s="1366"/>
      <c r="R37" s="1366"/>
      <c r="S37" s="1366"/>
      <c r="T37" s="1366"/>
      <c r="U37" s="1366"/>
      <c r="V37" s="1366"/>
      <c r="W37" s="1366"/>
      <c r="X37" s="1366"/>
      <c r="Y37" s="1366"/>
      <c r="Z37" s="1367"/>
    </row>
    <row r="38" spans="1:37">
      <c r="A38" s="2859"/>
      <c r="B38" s="2761" t="s">
        <v>2922</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2923</v>
      </c>
      <c r="M38" s="2862">
        <v>0.25</v>
      </c>
      <c r="N38" s="1366"/>
      <c r="O38" s="1366"/>
      <c r="P38" s="1366"/>
      <c r="Q38" s="1366"/>
      <c r="R38" s="1366"/>
      <c r="S38" s="1366"/>
      <c r="T38" s="1366"/>
      <c r="U38" s="1366"/>
      <c r="V38" s="1366"/>
      <c r="W38" s="1366"/>
      <c r="X38" s="1366"/>
      <c r="Y38" s="1366"/>
      <c r="Z38" s="1367"/>
    </row>
    <row r="39" spans="1:37" ht="13.5" thickBot="1">
      <c r="A39" s="2845"/>
      <c r="B39" s="2863" t="s">
        <v>2924</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2865</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2926</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2927</v>
      </c>
      <c r="B47" s="1804" t="s">
        <v>2928</v>
      </c>
      <c r="C47" s="1804" t="s">
        <v>2929</v>
      </c>
      <c r="D47" s="1804" t="s">
        <v>2930</v>
      </c>
      <c r="E47" s="812" t="s">
        <v>2931</v>
      </c>
      <c r="F47" s="2875" t="s">
        <v>2932</v>
      </c>
      <c r="G47" s="1804" t="s">
        <v>754</v>
      </c>
      <c r="H47" s="2876" t="s">
        <v>2933</v>
      </c>
      <c r="I47" s="1804" t="s">
        <v>2934</v>
      </c>
      <c r="J47" s="600" t="s">
        <v>2581</v>
      </c>
      <c r="K47" s="600" t="s">
        <v>2582</v>
      </c>
      <c r="L47" s="600" t="s">
        <v>2583</v>
      </c>
      <c r="M47" s="600" t="s">
        <v>2584</v>
      </c>
      <c r="N47" s="600" t="s">
        <v>2585</v>
      </c>
      <c r="AA47" s="1367"/>
      <c r="AB47" s="1367"/>
      <c r="AC47" s="1367"/>
      <c r="AD47" s="1367"/>
      <c r="AE47" s="1367"/>
      <c r="AF47" s="1367"/>
      <c r="AG47" s="1367"/>
      <c r="AH47" s="1367"/>
      <c r="AI47" s="1367"/>
      <c r="AJ47" s="1367"/>
      <c r="AK47" s="1367"/>
    </row>
    <row r="48" spans="1:37" s="1366" customFormat="1" ht="24.75">
      <c r="A48" s="2874" t="s">
        <v>2935</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2936</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2937</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2938</v>
      </c>
      <c r="B51" s="2879" t="s">
        <v>2939</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2940</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2941</v>
      </c>
      <c r="B53" s="2880" t="s">
        <v>2942</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2943</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2944</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2945</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2927</v>
      </c>
      <c r="B58" s="1804"/>
      <c r="C58" s="1804" t="s">
        <v>2929</v>
      </c>
      <c r="D58" s="1804" t="s">
        <v>2930</v>
      </c>
      <c r="E58" s="812" t="s">
        <v>2931</v>
      </c>
      <c r="F58" s="2875" t="s">
        <v>2947</v>
      </c>
      <c r="G58" s="1804" t="s">
        <v>754</v>
      </c>
      <c r="H58" s="2876" t="s">
        <v>2933</v>
      </c>
      <c r="I58" s="1804" t="s">
        <v>2934</v>
      </c>
      <c r="J58" s="600" t="s">
        <v>2581</v>
      </c>
      <c r="K58" s="600" t="s">
        <v>2582</v>
      </c>
      <c r="L58" s="600" t="s">
        <v>2583</v>
      </c>
      <c r="M58" s="600" t="s">
        <v>2584</v>
      </c>
      <c r="N58" s="600" t="s">
        <v>2585</v>
      </c>
      <c r="AA58" s="1367"/>
      <c r="AB58" s="1367"/>
      <c r="AC58" s="1367"/>
      <c r="AD58" s="1367"/>
      <c r="AE58" s="1367"/>
      <c r="AF58" s="1367"/>
      <c r="AG58" s="1367"/>
      <c r="AH58" s="1367"/>
      <c r="AI58" s="1367"/>
      <c r="AJ58" s="1367"/>
      <c r="AK58" s="1367"/>
    </row>
    <row r="59" spans="1:37" s="1366" customFormat="1" ht="24">
      <c r="A59" s="2874" t="s">
        <v>2948</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2936</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2938</v>
      </c>
      <c r="B62" s="2879" t="s">
        <v>2939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2941</v>
      </c>
      <c r="B64" s="2880" t="s">
        <v>2942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2943</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2944</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2945</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2927</v>
      </c>
      <c r="B69" s="1804"/>
      <c r="C69" s="1804" t="s">
        <v>2929</v>
      </c>
      <c r="D69" s="1804" t="s">
        <v>2930</v>
      </c>
      <c r="E69" s="812" t="s">
        <v>2931</v>
      </c>
      <c r="F69" s="2875" t="s">
        <v>2947</v>
      </c>
      <c r="G69" s="1804" t="s">
        <v>754</v>
      </c>
      <c r="H69" s="2876" t="s">
        <v>2933</v>
      </c>
      <c r="I69" s="1804" t="s">
        <v>2934</v>
      </c>
      <c r="J69" s="600" t="s">
        <v>2581</v>
      </c>
      <c r="K69" s="600" t="s">
        <v>2582</v>
      </c>
      <c r="L69" s="600" t="s">
        <v>2583</v>
      </c>
      <c r="M69" s="600" t="s">
        <v>2584</v>
      </c>
      <c r="N69" s="600" t="s">
        <v>2585</v>
      </c>
      <c r="AA69" s="1367"/>
      <c r="AB69" s="1367"/>
      <c r="AC69" s="1367"/>
      <c r="AD69" s="1367"/>
      <c r="AE69" s="1367"/>
      <c r="AF69" s="1367"/>
      <c r="AG69" s="1367"/>
      <c r="AH69" s="1367"/>
      <c r="AI69" s="1367"/>
      <c r="AJ69" s="1367"/>
      <c r="AK69" s="1367"/>
    </row>
    <row r="70" spans="1:37" s="1366" customFormat="1" ht="24">
      <c r="A70" s="2874" t="s">
        <v>2950</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2936</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2943</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2944</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2941</v>
      </c>
      <c r="B76" s="2880" t="s">
        <v>2942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2945</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2953</v>
      </c>
      <c r="B79" s="2871">
        <f>1+E81</f>
        <v>1</v>
      </c>
      <c r="C79" s="807"/>
      <c r="D79" s="807"/>
      <c r="E79" s="808"/>
      <c r="F79" s="2873"/>
      <c r="G79" s="6"/>
      <c r="H79" s="6"/>
      <c r="I79" s="6"/>
      <c r="J79" s="7"/>
      <c r="K79" s="7"/>
      <c r="L79" s="7"/>
      <c r="M79" s="7"/>
      <c r="N79" s="7"/>
      <c r="Z79" s="2716"/>
      <c r="AA79" s="2792"/>
      <c r="AG79" s="1368"/>
      <c r="AK79" s="2792"/>
    </row>
    <row r="80" spans="1:37" ht="24.75">
      <c r="A80" s="2874" t="s">
        <v>2927</v>
      </c>
      <c r="B80" s="1804"/>
      <c r="C80" s="1804" t="s">
        <v>2929</v>
      </c>
      <c r="D80" s="1804" t="s">
        <v>2930</v>
      </c>
      <c r="E80" s="812" t="s">
        <v>2931</v>
      </c>
      <c r="F80" s="2875" t="s">
        <v>2947</v>
      </c>
      <c r="G80" s="1804" t="s">
        <v>754</v>
      </c>
      <c r="H80" s="2876" t="s">
        <v>2933</v>
      </c>
      <c r="I80" s="1804" t="s">
        <v>2934</v>
      </c>
      <c r="J80" s="600" t="s">
        <v>2581</v>
      </c>
      <c r="K80" s="600" t="s">
        <v>2582</v>
      </c>
      <c r="L80" s="600" t="s">
        <v>2583</v>
      </c>
      <c r="M80" s="600" t="s">
        <v>2584</v>
      </c>
      <c r="N80" s="600" t="s">
        <v>2585</v>
      </c>
      <c r="Z80" s="2716"/>
      <c r="AA80" s="2792"/>
      <c r="AG80" s="1368"/>
      <c r="AK80" s="2792"/>
    </row>
    <row r="81" spans="1:37" ht="24">
      <c r="A81" s="2874" t="s">
        <v>2954</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2936</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2943</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2944</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2941</v>
      </c>
      <c r="B87" s="2880" t="s">
        <v>2955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2956</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91" t="s">
        <v>2957</v>
      </c>
      <c r="B90" s="3291"/>
      <c r="C90" s="3291"/>
      <c r="D90" s="3291"/>
      <c r="E90" s="3291"/>
      <c r="F90" s="3291"/>
      <c r="G90" s="3291"/>
      <c r="H90" s="3291"/>
      <c r="I90" s="3291"/>
      <c r="J90" s="3291"/>
      <c r="K90" s="2888"/>
      <c r="L90" s="2888"/>
      <c r="M90" s="2888"/>
      <c r="N90" s="2888"/>
    </row>
    <row r="91" spans="1:37">
      <c r="A91" s="3293" t="s">
        <v>2958</v>
      </c>
      <c r="B91" s="3293" t="s">
        <v>2959</v>
      </c>
      <c r="C91" s="2842" t="s">
        <v>2960</v>
      </c>
      <c r="D91" s="2843"/>
      <c r="E91" s="2843"/>
      <c r="F91" s="2843"/>
      <c r="G91" s="2843"/>
      <c r="H91" s="2843"/>
      <c r="I91" s="2843"/>
      <c r="J91" s="2889"/>
      <c r="K91" s="2890"/>
      <c r="L91" s="2890"/>
      <c r="M91" s="2890"/>
      <c r="N91" s="2890"/>
    </row>
    <row r="92" spans="1:37">
      <c r="A92" s="3293"/>
      <c r="B92" s="3293"/>
      <c r="C92" s="938" t="s">
        <v>2824</v>
      </c>
      <c r="D92" s="938" t="s">
        <v>2825</v>
      </c>
      <c r="E92" s="938" t="s">
        <v>2826</v>
      </c>
      <c r="F92" s="938" t="s">
        <v>2827</v>
      </c>
      <c r="G92" s="938" t="s">
        <v>2828</v>
      </c>
      <c r="H92" s="938" t="s">
        <v>2829</v>
      </c>
      <c r="I92" s="938" t="s">
        <v>2830</v>
      </c>
      <c r="J92" s="938" t="s">
        <v>2831</v>
      </c>
      <c r="K92" s="938" t="s">
        <v>2832</v>
      </c>
      <c r="L92" s="938" t="s">
        <v>2833</v>
      </c>
      <c r="M92" s="938" t="s">
        <v>2834</v>
      </c>
      <c r="N92" s="938" t="s">
        <v>2835</v>
      </c>
    </row>
    <row r="93" spans="1:37">
      <c r="A93" s="3294" t="s">
        <v>2961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5"/>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4" t="s">
        <v>2962</v>
      </c>
      <c r="B101" s="2895" t="s">
        <v>2963</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95"/>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95"/>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95"/>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95"/>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95"/>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95"/>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95"/>
      <c r="B108" s="3148" t="s">
        <v>2964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6"/>
      <c r="B109" s="3149"/>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92" t="s">
        <v>2965</v>
      </c>
      <c r="B110" s="3292"/>
      <c r="C110" s="3292"/>
      <c r="D110" s="3292"/>
      <c r="E110" s="3292"/>
      <c r="F110" s="3292"/>
      <c r="G110" s="3292"/>
      <c r="H110" s="3292"/>
      <c r="I110" s="3292"/>
      <c r="J110" s="3292"/>
      <c r="K110" s="2897"/>
      <c r="L110" s="2897"/>
      <c r="M110" s="2897"/>
      <c r="N110" s="2897"/>
    </row>
    <row r="112" spans="1:14" ht="13.5" thickBot="1"/>
    <row r="113" spans="1:13" ht="25.5" thickBot="1">
      <c r="A113" s="896" t="s">
        <v>2966</v>
      </c>
      <c r="B113" s="1283">
        <f>G3</f>
        <v>2.39</v>
      </c>
      <c r="C113" s="897" t="s">
        <v>2967</v>
      </c>
      <c r="D113" s="898">
        <f>SUMPRODUCT((A115:A118=F113)*(B114:M114=H113)*B115:M118)</f>
        <v>0</v>
      </c>
      <c r="E113" s="2720" t="s">
        <v>2797</v>
      </c>
      <c r="F113" s="2899">
        <f>E2</f>
        <v>0</v>
      </c>
      <c r="G113" s="2720" t="s">
        <v>2798</v>
      </c>
      <c r="H113" s="2899">
        <f>G2</f>
        <v>0</v>
      </c>
      <c r="I113" s="2720"/>
      <c r="J113" s="2900"/>
      <c r="K113" s="2900"/>
      <c r="L113" s="2900"/>
      <c r="M113" s="2900"/>
    </row>
    <row r="114" spans="1:13">
      <c r="A114" s="901"/>
      <c r="B114" s="2901" t="s">
        <v>2968</v>
      </c>
      <c r="C114" s="2901" t="s">
        <v>2969</v>
      </c>
      <c r="D114" s="2901" t="s">
        <v>2970</v>
      </c>
      <c r="E114" s="2902" t="s">
        <v>2971</v>
      </c>
      <c r="F114" s="2902" t="s">
        <v>2972</v>
      </c>
      <c r="G114" s="2902" t="s">
        <v>2973</v>
      </c>
      <c r="H114" s="2903" t="s">
        <v>2974</v>
      </c>
      <c r="I114" s="2903" t="s">
        <v>2975</v>
      </c>
      <c r="J114" s="2904" t="s">
        <v>2976</v>
      </c>
      <c r="K114" s="2904" t="s">
        <v>2977</v>
      </c>
      <c r="L114" s="2904" t="s">
        <v>2978</v>
      </c>
      <c r="M114" s="2905" t="s">
        <v>2979</v>
      </c>
    </row>
    <row r="115" spans="1:13">
      <c r="A115" s="902" t="s">
        <v>2862</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2863</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2864</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2865</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0" t="s">
        <v>183</v>
      </c>
      <c r="B18" s="875" t="s">
        <v>560</v>
      </c>
      <c r="C18" s="876" t="s">
        <v>561</v>
      </c>
      <c r="D18" s="877"/>
      <c r="E18" s="875">
        <v>1</v>
      </c>
      <c r="F18" s="878" t="s">
        <v>562</v>
      </c>
      <c r="G18" s="879"/>
      <c r="H18" s="871"/>
      <c r="I18" s="871"/>
    </row>
    <row r="19" spans="1:9" s="880" customFormat="1" ht="19.5" customHeight="1">
      <c r="A19" s="3300"/>
      <c r="B19" s="3300" t="s">
        <v>563</v>
      </c>
      <c r="C19" s="876" t="s">
        <v>564</v>
      </c>
      <c r="D19" s="877"/>
      <c r="E19" s="875">
        <v>0.9</v>
      </c>
      <c r="F19" s="878" t="s">
        <v>565</v>
      </c>
      <c r="G19" s="879"/>
      <c r="H19" s="871"/>
      <c r="I19" s="871"/>
    </row>
    <row r="20" spans="1:9" s="880" customFormat="1" ht="19.5" customHeight="1">
      <c r="A20" s="3300"/>
      <c r="B20" s="3300"/>
      <c r="C20" s="876" t="s">
        <v>566</v>
      </c>
      <c r="D20" s="877"/>
      <c r="E20" s="875">
        <v>1.1000000000000001</v>
      </c>
      <c r="F20" s="878" t="s">
        <v>567</v>
      </c>
      <c r="G20" s="879"/>
      <c r="H20" s="871"/>
      <c r="I20" s="871"/>
    </row>
    <row r="21" spans="1:9" s="880" customFormat="1" ht="19.5" customHeight="1">
      <c r="A21" s="3300"/>
      <c r="B21" s="3300"/>
      <c r="C21" s="876" t="s">
        <v>568</v>
      </c>
      <c r="D21" s="877"/>
      <c r="E21" s="875">
        <v>0.8</v>
      </c>
      <c r="F21" s="878" t="s">
        <v>569</v>
      </c>
      <c r="G21" s="879"/>
      <c r="H21" s="871"/>
      <c r="I21" s="871"/>
    </row>
    <row r="22" spans="1:9" s="880" customFormat="1" ht="19.5" customHeight="1">
      <c r="A22" s="3300"/>
      <c r="B22" s="3300"/>
      <c r="C22" s="876" t="s">
        <v>570</v>
      </c>
      <c r="D22" s="877"/>
      <c r="E22" s="875">
        <v>0.5</v>
      </c>
      <c r="F22" s="878"/>
      <c r="G22" s="879"/>
      <c r="H22" s="871"/>
      <c r="I22" s="871"/>
    </row>
    <row r="23" spans="1:9" s="880" customFormat="1" ht="19.5" customHeight="1">
      <c r="A23" s="3300" t="s">
        <v>184</v>
      </c>
      <c r="B23" s="875" t="s">
        <v>560</v>
      </c>
      <c r="C23" s="876" t="s">
        <v>571</v>
      </c>
      <c r="D23" s="877"/>
      <c r="E23" s="875">
        <v>1</v>
      </c>
      <c r="F23" s="878" t="s">
        <v>572</v>
      </c>
      <c r="G23" s="879"/>
      <c r="H23" s="871"/>
      <c r="I23" s="871"/>
    </row>
    <row r="24" spans="1:9" s="880" customFormat="1" ht="19.5" customHeight="1">
      <c r="A24" s="3300"/>
      <c r="B24" s="3300" t="s">
        <v>563</v>
      </c>
      <c r="C24" s="876" t="s">
        <v>573</v>
      </c>
      <c r="D24" s="877"/>
      <c r="E24" s="875">
        <v>0.5</v>
      </c>
      <c r="F24" s="878"/>
      <c r="G24" s="879"/>
      <c r="H24" s="871"/>
      <c r="I24" s="871"/>
    </row>
    <row r="25" spans="1:9" s="880" customFormat="1" ht="19.5" customHeight="1">
      <c r="A25" s="3300"/>
      <c r="B25" s="3300"/>
      <c r="C25" s="876" t="s">
        <v>574</v>
      </c>
      <c r="D25" s="877"/>
      <c r="E25" s="875">
        <v>1.1000000000000001</v>
      </c>
      <c r="F25" s="878"/>
      <c r="G25" s="879"/>
      <c r="H25" s="871"/>
      <c r="I25" s="871"/>
    </row>
    <row r="26" spans="1:9" s="880" customFormat="1" ht="19.5" customHeight="1">
      <c r="A26" s="3300"/>
      <c r="B26" s="3300"/>
      <c r="C26" s="876" t="s">
        <v>575</v>
      </c>
      <c r="D26" s="877"/>
      <c r="E26" s="875">
        <v>1.1000000000000001</v>
      </c>
      <c r="F26" s="878"/>
      <c r="G26" s="879"/>
      <c r="H26" s="871"/>
      <c r="I26" s="871"/>
    </row>
    <row r="27" spans="1:9" s="880" customFormat="1" ht="19.5" customHeight="1">
      <c r="A27" s="3300"/>
      <c r="B27" s="3300"/>
      <c r="C27" s="876" t="s">
        <v>576</v>
      </c>
      <c r="D27" s="877"/>
      <c r="E27" s="875">
        <v>0.9</v>
      </c>
      <c r="F27" s="878" t="s">
        <v>577</v>
      </c>
      <c r="G27" s="879"/>
      <c r="H27" s="871"/>
      <c r="I27" s="871"/>
    </row>
    <row r="28" spans="1:9" s="880" customFormat="1" ht="19.5" customHeight="1">
      <c r="A28" s="3300"/>
      <c r="B28" s="3300"/>
      <c r="C28" s="876" t="s">
        <v>578</v>
      </c>
      <c r="D28" s="877"/>
      <c r="E28" s="875">
        <v>0.9</v>
      </c>
      <c r="F28" s="878" t="s">
        <v>579</v>
      </c>
      <c r="G28" s="879"/>
      <c r="H28" s="871"/>
      <c r="I28" s="871"/>
    </row>
    <row r="29" spans="1:9" s="880" customFormat="1" ht="19.5" customHeight="1">
      <c r="A29" s="3300"/>
      <c r="B29" s="3300"/>
      <c r="C29" s="876" t="s">
        <v>580</v>
      </c>
      <c r="D29" s="877"/>
      <c r="E29" s="875">
        <v>0.9</v>
      </c>
      <c r="F29" s="878" t="s">
        <v>581</v>
      </c>
      <c r="G29" s="879"/>
      <c r="H29" s="871"/>
      <c r="I29" s="871"/>
    </row>
    <row r="30" spans="1:9" s="880" customFormat="1" ht="19.5" customHeight="1">
      <c r="A30" s="3300"/>
      <c r="B30" s="3300"/>
      <c r="C30" s="876" t="s">
        <v>582</v>
      </c>
      <c r="D30" s="877"/>
      <c r="E30" s="875">
        <v>0.9</v>
      </c>
      <c r="F30" s="878" t="s">
        <v>583</v>
      </c>
      <c r="G30" s="879"/>
      <c r="H30" s="871"/>
      <c r="I30" s="871"/>
    </row>
    <row r="31" spans="1:9" s="880" customFormat="1" ht="19.5" customHeight="1">
      <c r="A31" s="3300"/>
      <c r="B31" s="3300"/>
      <c r="C31" s="876" t="s">
        <v>584</v>
      </c>
      <c r="D31" s="877"/>
      <c r="E31" s="875">
        <v>0.8</v>
      </c>
      <c r="F31" s="878" t="s">
        <v>585</v>
      </c>
      <c r="G31" s="879"/>
      <c r="H31" s="871"/>
      <c r="I31" s="871"/>
    </row>
    <row r="32" spans="1:9" s="880" customFormat="1" ht="19.5" customHeight="1">
      <c r="A32" s="3300"/>
      <c r="B32" s="3300"/>
      <c r="C32" s="876" t="s">
        <v>586</v>
      </c>
      <c r="D32" s="877"/>
      <c r="E32" s="875">
        <v>0.8</v>
      </c>
      <c r="F32" s="878" t="s">
        <v>587</v>
      </c>
      <c r="G32" s="879"/>
      <c r="H32" s="871"/>
      <c r="I32" s="871"/>
    </row>
    <row r="33" spans="1:9" s="880" customFormat="1" ht="19.5" customHeight="1">
      <c r="A33" s="3300" t="s">
        <v>185</v>
      </c>
      <c r="B33" s="875" t="s">
        <v>560</v>
      </c>
      <c r="C33" s="876" t="s">
        <v>588</v>
      </c>
      <c r="D33" s="877"/>
      <c r="E33" s="875">
        <v>1</v>
      </c>
      <c r="F33" s="878" t="s">
        <v>589</v>
      </c>
      <c r="G33" s="879"/>
      <c r="H33" s="871"/>
      <c r="I33" s="871"/>
    </row>
    <row r="34" spans="1:9" s="880" customFormat="1" ht="19.5" customHeight="1">
      <c r="A34" s="3300"/>
      <c r="B34" s="875" t="s">
        <v>563</v>
      </c>
      <c r="C34" s="876" t="s">
        <v>590</v>
      </c>
      <c r="D34" s="877"/>
      <c r="E34" s="875">
        <v>1.5</v>
      </c>
      <c r="F34" s="878" t="s">
        <v>591</v>
      </c>
      <c r="G34" s="879"/>
      <c r="H34" s="871"/>
      <c r="I34" s="871"/>
    </row>
    <row r="35" spans="1:9" s="880" customFormat="1" ht="19.5" customHeight="1">
      <c r="A35" s="3300" t="s">
        <v>186</v>
      </c>
      <c r="B35" s="875" t="s">
        <v>560</v>
      </c>
      <c r="C35" s="876" t="s">
        <v>592</v>
      </c>
      <c r="D35" s="877"/>
      <c r="E35" s="875">
        <v>1</v>
      </c>
      <c r="F35" s="878" t="s">
        <v>593</v>
      </c>
      <c r="G35" s="879"/>
      <c r="H35" s="871"/>
      <c r="I35" s="871"/>
    </row>
    <row r="36" spans="1:9" s="880" customFormat="1" ht="19.5" customHeight="1">
      <c r="A36" s="3300"/>
      <c r="B36" s="3300" t="s">
        <v>563</v>
      </c>
      <c r="C36" s="876" t="s">
        <v>594</v>
      </c>
      <c r="D36" s="877"/>
      <c r="E36" s="875">
        <v>1</v>
      </c>
      <c r="F36" s="878" t="s">
        <v>595</v>
      </c>
      <c r="G36" s="879"/>
      <c r="H36" s="871"/>
      <c r="I36" s="871"/>
    </row>
    <row r="37" spans="1:9" s="880" customFormat="1" ht="19.5" customHeight="1">
      <c r="A37" s="3300"/>
      <c r="B37" s="3300"/>
      <c r="C37" s="876" t="s">
        <v>596</v>
      </c>
      <c r="D37" s="877"/>
      <c r="E37" s="875">
        <v>1.5</v>
      </c>
      <c r="F37" s="878" t="s">
        <v>597</v>
      </c>
      <c r="G37" s="879"/>
      <c r="H37" s="871"/>
      <c r="I37" s="871"/>
    </row>
    <row r="38" spans="1:9" s="880" customFormat="1" ht="19.5" customHeight="1">
      <c r="A38" s="3300"/>
      <c r="B38" s="3300"/>
      <c r="C38" s="876" t="s">
        <v>598</v>
      </c>
      <c r="D38" s="877"/>
      <c r="E38" s="875">
        <v>1</v>
      </c>
      <c r="F38" s="878" t="s">
        <v>599</v>
      </c>
      <c r="G38" s="879"/>
      <c r="H38" s="871"/>
      <c r="I38" s="871"/>
    </row>
    <row r="39" spans="1:9" s="880" customFormat="1" ht="19.5" customHeight="1">
      <c r="A39" s="3300"/>
      <c r="B39" s="330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0" t="s">
        <v>614</v>
      </c>
      <c r="C61" s="811" t="s">
        <v>615</v>
      </c>
      <c r="D61" s="811" t="s">
        <v>616</v>
      </c>
      <c r="E61" s="888">
        <v>0.5</v>
      </c>
      <c r="F61" s="875">
        <v>80</v>
      </c>
    </row>
    <row r="62" spans="1:8" s="871" customFormat="1" ht="24">
      <c r="A62" s="875">
        <v>2</v>
      </c>
      <c r="B62" s="3300"/>
      <c r="C62" s="811" t="s">
        <v>617</v>
      </c>
      <c r="D62" s="811" t="s">
        <v>618</v>
      </c>
      <c r="E62" s="888">
        <v>0.5</v>
      </c>
      <c r="F62" s="875">
        <v>80</v>
      </c>
    </row>
    <row r="63" spans="1:8" s="871" customFormat="1" ht="36">
      <c r="A63" s="875">
        <v>3</v>
      </c>
      <c r="B63" s="3300"/>
      <c r="C63" s="811" t="s">
        <v>619</v>
      </c>
      <c r="D63" s="811" t="s">
        <v>620</v>
      </c>
      <c r="E63" s="888">
        <v>0.5</v>
      </c>
      <c r="F63" s="875">
        <v>80</v>
      </c>
    </row>
    <row r="64" spans="1:8" s="871" customFormat="1" ht="36">
      <c r="A64" s="875">
        <v>4</v>
      </c>
      <c r="B64" s="3300"/>
      <c r="C64" s="811" t="s">
        <v>621</v>
      </c>
      <c r="D64" s="811" t="s">
        <v>622</v>
      </c>
      <c r="E64" s="888">
        <v>0.4</v>
      </c>
      <c r="F64" s="875">
        <v>60</v>
      </c>
    </row>
    <row r="65" spans="1:6" s="871" customFormat="1" ht="36">
      <c r="A65" s="875">
        <v>5</v>
      </c>
      <c r="B65" s="3300"/>
      <c r="C65" s="811" t="s">
        <v>623</v>
      </c>
      <c r="D65" s="811" t="s">
        <v>624</v>
      </c>
      <c r="E65" s="888">
        <v>0.2</v>
      </c>
      <c r="F65" s="875">
        <v>30</v>
      </c>
    </row>
    <row r="66" spans="1:6" s="871" customFormat="1" ht="36">
      <c r="A66" s="875">
        <v>6</v>
      </c>
      <c r="B66" s="3300"/>
      <c r="C66" s="811" t="s">
        <v>625</v>
      </c>
      <c r="D66" s="811" t="s">
        <v>626</v>
      </c>
      <c r="E66" s="888">
        <v>0.3</v>
      </c>
      <c r="F66" s="875">
        <v>50</v>
      </c>
    </row>
    <row r="67" spans="1:6" s="871" customFormat="1" ht="36">
      <c r="A67" s="875">
        <v>7</v>
      </c>
      <c r="B67" s="3300"/>
      <c r="C67" s="811" t="s">
        <v>627</v>
      </c>
      <c r="D67" s="811" t="s">
        <v>628</v>
      </c>
      <c r="E67" s="888">
        <v>0.2</v>
      </c>
      <c r="F67" s="875">
        <v>30</v>
      </c>
    </row>
    <row r="68" spans="1:6" s="871" customFormat="1" ht="36">
      <c r="A68" s="875">
        <v>8</v>
      </c>
      <c r="B68" s="3300"/>
      <c r="C68" s="811" t="s">
        <v>629</v>
      </c>
      <c r="D68" s="811" t="s">
        <v>630</v>
      </c>
      <c r="E68" s="888">
        <v>0.2</v>
      </c>
      <c r="F68" s="875">
        <v>30</v>
      </c>
    </row>
    <row r="69" spans="1:6" s="871" customFormat="1" ht="36">
      <c r="A69" s="875">
        <v>9</v>
      </c>
      <c r="B69" s="3300"/>
      <c r="C69" s="811" t="s">
        <v>631</v>
      </c>
      <c r="D69" s="811" t="s">
        <v>632</v>
      </c>
      <c r="E69" s="888">
        <v>0.2</v>
      </c>
      <c r="F69" s="875">
        <v>30</v>
      </c>
    </row>
    <row r="70" spans="1:6" s="871" customFormat="1" ht="48">
      <c r="A70" s="875">
        <v>10</v>
      </c>
      <c r="B70" s="3300"/>
      <c r="C70" s="811" t="s">
        <v>633</v>
      </c>
      <c r="D70" s="811" t="s">
        <v>634</v>
      </c>
      <c r="E70" s="888">
        <v>0.2</v>
      </c>
      <c r="F70" s="875">
        <v>30</v>
      </c>
    </row>
    <row r="71" spans="1:6" s="871" customFormat="1" ht="48">
      <c r="A71" s="875">
        <v>11</v>
      </c>
      <c r="B71" s="3300"/>
      <c r="C71" s="811" t="s">
        <v>635</v>
      </c>
      <c r="D71" s="811" t="s">
        <v>636</v>
      </c>
      <c r="E71" s="888">
        <v>0.2</v>
      </c>
      <c r="F71" s="875">
        <v>30</v>
      </c>
    </row>
    <row r="72" spans="1:6" s="871" customFormat="1" ht="36">
      <c r="A72" s="875">
        <v>12</v>
      </c>
      <c r="B72" s="3300"/>
      <c r="C72" s="811" t="s">
        <v>637</v>
      </c>
      <c r="D72" s="811" t="s">
        <v>638</v>
      </c>
      <c r="E72" s="888">
        <v>0.5</v>
      </c>
      <c r="F72" s="875">
        <v>80</v>
      </c>
    </row>
    <row r="73" spans="1:6" s="871" customFormat="1" ht="24">
      <c r="A73" s="875">
        <v>13</v>
      </c>
      <c r="B73" s="3300"/>
      <c r="C73" s="811" t="s">
        <v>639</v>
      </c>
      <c r="D73" s="811" t="s">
        <v>640</v>
      </c>
      <c r="E73" s="888">
        <v>0.4</v>
      </c>
      <c r="F73" s="875">
        <v>60</v>
      </c>
    </row>
    <row r="74" spans="1:6" s="871" customFormat="1" ht="24">
      <c r="A74" s="875">
        <v>14</v>
      </c>
      <c r="B74" s="3300"/>
      <c r="C74" s="811" t="s">
        <v>641</v>
      </c>
      <c r="D74" s="811" t="s">
        <v>642</v>
      </c>
      <c r="E74" s="888">
        <v>0.2</v>
      </c>
      <c r="F74" s="875">
        <v>30</v>
      </c>
    </row>
    <row r="75" spans="1:6" s="871" customFormat="1" ht="24">
      <c r="A75" s="875">
        <v>15</v>
      </c>
      <c r="B75" s="3300"/>
      <c r="C75" s="811" t="s">
        <v>643</v>
      </c>
      <c r="D75" s="811" t="s">
        <v>644</v>
      </c>
      <c r="E75" s="888">
        <v>0.2</v>
      </c>
      <c r="F75" s="875">
        <v>30</v>
      </c>
    </row>
    <row r="76" spans="1:6" s="871" customFormat="1" ht="24">
      <c r="A76" s="875">
        <v>16</v>
      </c>
      <c r="B76" s="3300" t="s">
        <v>645</v>
      </c>
      <c r="C76" s="811" t="s">
        <v>646</v>
      </c>
      <c r="D76" s="811" t="s">
        <v>647</v>
      </c>
      <c r="E76" s="888">
        <v>0.5</v>
      </c>
      <c r="F76" s="875">
        <v>80</v>
      </c>
    </row>
    <row r="77" spans="1:6" s="871" customFormat="1" ht="24">
      <c r="A77" s="875">
        <v>17</v>
      </c>
      <c r="B77" s="3300"/>
      <c r="C77" s="811" t="s">
        <v>648</v>
      </c>
      <c r="D77" s="811" t="s">
        <v>649</v>
      </c>
      <c r="E77" s="888">
        <v>0.5</v>
      </c>
      <c r="F77" s="875">
        <v>80</v>
      </c>
    </row>
    <row r="78" spans="1:6" s="871" customFormat="1" ht="24">
      <c r="A78" s="875">
        <v>18</v>
      </c>
      <c r="B78" s="3300"/>
      <c r="C78" s="811" t="s">
        <v>650</v>
      </c>
      <c r="D78" s="811" t="s">
        <v>651</v>
      </c>
      <c r="E78" s="888">
        <v>0.2</v>
      </c>
      <c r="F78" s="875">
        <v>30</v>
      </c>
    </row>
    <row r="79" spans="1:6" s="871" customFormat="1" ht="24">
      <c r="A79" s="875">
        <v>19</v>
      </c>
      <c r="B79" s="3300"/>
      <c r="C79" s="811" t="s">
        <v>652</v>
      </c>
      <c r="D79" s="811" t="s">
        <v>653</v>
      </c>
      <c r="E79" s="888">
        <v>0.5</v>
      </c>
      <c r="F79" s="875">
        <v>80</v>
      </c>
    </row>
    <row r="80" spans="1:6" s="871" customFormat="1" ht="36">
      <c r="A80" s="875">
        <v>20</v>
      </c>
      <c r="B80" s="3300"/>
      <c r="C80" s="811" t="s">
        <v>654</v>
      </c>
      <c r="D80" s="811" t="s">
        <v>655</v>
      </c>
      <c r="E80" s="888">
        <v>0.2</v>
      </c>
      <c r="F80" s="875">
        <v>30</v>
      </c>
    </row>
    <row r="81" spans="1:6" s="871" customFormat="1" ht="36">
      <c r="A81" s="875">
        <v>21</v>
      </c>
      <c r="B81" s="3300"/>
      <c r="C81" s="811" t="s">
        <v>656</v>
      </c>
      <c r="D81" s="811" t="s">
        <v>657</v>
      </c>
      <c r="E81" s="888">
        <v>0.2</v>
      </c>
      <c r="F81" s="875">
        <v>30</v>
      </c>
    </row>
    <row r="82" spans="1:6" s="871" customFormat="1" ht="48">
      <c r="A82" s="875">
        <v>22</v>
      </c>
      <c r="B82" s="3300"/>
      <c r="C82" s="811" t="s">
        <v>658</v>
      </c>
      <c r="D82" s="811" t="s">
        <v>659</v>
      </c>
      <c r="E82" s="888">
        <v>0.2</v>
      </c>
      <c r="F82" s="875">
        <v>30</v>
      </c>
    </row>
    <row r="83" spans="1:6" s="871" customFormat="1" ht="48">
      <c r="A83" s="875">
        <v>23</v>
      </c>
      <c r="B83" s="3300"/>
      <c r="C83" s="811" t="s">
        <v>660</v>
      </c>
      <c r="D83" s="811" t="s">
        <v>661</v>
      </c>
      <c r="E83" s="888">
        <v>0.2</v>
      </c>
      <c r="F83" s="875">
        <v>30</v>
      </c>
    </row>
    <row r="84" spans="1:6" s="871" customFormat="1" ht="36">
      <c r="A84" s="875">
        <v>24</v>
      </c>
      <c r="B84" s="3300"/>
      <c r="C84" s="811" t="s">
        <v>662</v>
      </c>
      <c r="D84" s="811" t="s">
        <v>663</v>
      </c>
      <c r="E84" s="888">
        <v>0.2</v>
      </c>
      <c r="F84" s="875">
        <v>30</v>
      </c>
    </row>
    <row r="85" spans="1:6" s="871" customFormat="1" ht="36">
      <c r="A85" s="875">
        <v>25</v>
      </c>
      <c r="B85" s="3300"/>
      <c r="C85" s="811" t="s">
        <v>664</v>
      </c>
      <c r="D85" s="811" t="s">
        <v>665</v>
      </c>
      <c r="E85" s="888">
        <v>0.5</v>
      </c>
      <c r="F85" s="875">
        <v>80</v>
      </c>
    </row>
    <row r="86" spans="1:6" s="871" customFormat="1" ht="36">
      <c r="A86" s="875">
        <v>26</v>
      </c>
      <c r="B86" s="3300"/>
      <c r="C86" s="811" t="s">
        <v>666</v>
      </c>
      <c r="D86" s="811" t="s">
        <v>667</v>
      </c>
      <c r="E86" s="888">
        <v>0.2</v>
      </c>
      <c r="F86" s="875">
        <v>30</v>
      </c>
    </row>
    <row r="87" spans="1:6" s="871" customFormat="1" ht="36">
      <c r="A87" s="875">
        <v>27</v>
      </c>
      <c r="B87" s="3300"/>
      <c r="C87" s="811" t="s">
        <v>668</v>
      </c>
      <c r="D87" s="811" t="s">
        <v>669</v>
      </c>
      <c r="E87" s="888">
        <v>0.2</v>
      </c>
      <c r="F87" s="875">
        <v>30</v>
      </c>
    </row>
    <row r="88" spans="1:6" s="871" customFormat="1" ht="36">
      <c r="A88" s="875">
        <v>28</v>
      </c>
      <c r="B88" s="3300"/>
      <c r="C88" s="811" t="s">
        <v>670</v>
      </c>
      <c r="D88" s="811" t="s">
        <v>671</v>
      </c>
      <c r="E88" s="888">
        <v>0.2</v>
      </c>
      <c r="F88" s="875">
        <v>30</v>
      </c>
    </row>
    <row r="89" spans="1:6" s="871" customFormat="1" ht="24">
      <c r="A89" s="875">
        <v>29</v>
      </c>
      <c r="B89" s="3300"/>
      <c r="C89" s="811" t="s">
        <v>672</v>
      </c>
      <c r="D89" s="811" t="s">
        <v>673</v>
      </c>
      <c r="E89" s="888">
        <v>0.2</v>
      </c>
      <c r="F89" s="875">
        <v>30</v>
      </c>
    </row>
    <row r="90" spans="1:6" s="871" customFormat="1" ht="24">
      <c r="A90" s="875">
        <v>30</v>
      </c>
      <c r="B90" s="3300"/>
      <c r="C90" s="811" t="s">
        <v>674</v>
      </c>
      <c r="D90" s="811" t="s">
        <v>675</v>
      </c>
      <c r="E90" s="888">
        <v>0.2</v>
      </c>
      <c r="F90" s="875">
        <v>30</v>
      </c>
    </row>
    <row r="91" spans="1:6" s="871" customFormat="1" ht="36">
      <c r="A91" s="875">
        <v>31</v>
      </c>
      <c r="B91" s="3300"/>
      <c r="C91" s="811" t="s">
        <v>676</v>
      </c>
      <c r="D91" s="811" t="s">
        <v>677</v>
      </c>
      <c r="E91" s="888">
        <v>0.2</v>
      </c>
      <c r="F91" s="875">
        <v>30</v>
      </c>
    </row>
    <row r="92" spans="1:6" s="871" customFormat="1" ht="24">
      <c r="A92" s="875">
        <v>32</v>
      </c>
      <c r="B92" s="3300" t="s">
        <v>678</v>
      </c>
      <c r="C92" s="875" t="s">
        <v>679</v>
      </c>
      <c r="D92" s="811" t="s">
        <v>680</v>
      </c>
      <c r="E92" s="888">
        <v>0.2</v>
      </c>
      <c r="F92" s="875">
        <v>30</v>
      </c>
    </row>
    <row r="93" spans="1:6" s="871" customFormat="1" ht="36">
      <c r="A93" s="875">
        <v>33</v>
      </c>
      <c r="B93" s="3300"/>
      <c r="C93" s="875" t="s">
        <v>681</v>
      </c>
      <c r="D93" s="811" t="s">
        <v>682</v>
      </c>
      <c r="E93" s="888">
        <v>0.2</v>
      </c>
      <c r="F93" s="875">
        <v>30</v>
      </c>
    </row>
    <row r="94" spans="1:6" s="871" customFormat="1" ht="48">
      <c r="A94" s="875">
        <v>34</v>
      </c>
      <c r="B94" s="3300"/>
      <c r="C94" s="875" t="s">
        <v>683</v>
      </c>
      <c r="D94" s="811" t="s">
        <v>684</v>
      </c>
      <c r="E94" s="888">
        <v>0.2</v>
      </c>
      <c r="F94" s="875">
        <v>30</v>
      </c>
    </row>
    <row r="95" spans="1:6" s="871" customFormat="1" ht="36">
      <c r="A95" s="875">
        <v>35</v>
      </c>
      <c r="B95" s="3300"/>
      <c r="C95" s="875" t="s">
        <v>685</v>
      </c>
      <c r="D95" s="811" t="s">
        <v>686</v>
      </c>
      <c r="E95" s="888">
        <v>0.2</v>
      </c>
      <c r="F95" s="875">
        <v>30</v>
      </c>
    </row>
    <row r="96" spans="1:6" s="871" customFormat="1" ht="48">
      <c r="A96" s="875">
        <v>36</v>
      </c>
      <c r="B96" s="3300"/>
      <c r="C96" s="811" t="s">
        <v>687</v>
      </c>
      <c r="D96" s="811" t="s">
        <v>688</v>
      </c>
      <c r="E96" s="888">
        <v>0.2</v>
      </c>
      <c r="F96" s="875">
        <v>30</v>
      </c>
    </row>
    <row r="97" spans="1:6" s="871" customFormat="1" ht="36">
      <c r="A97" s="875">
        <v>37</v>
      </c>
      <c r="B97" s="3300"/>
      <c r="C97" s="875" t="s">
        <v>689</v>
      </c>
      <c r="D97" s="811" t="s">
        <v>690</v>
      </c>
      <c r="E97" s="888">
        <v>0.2</v>
      </c>
      <c r="F97" s="875">
        <v>30</v>
      </c>
    </row>
    <row r="98" spans="1:6" s="871" customFormat="1" ht="36">
      <c r="A98" s="875">
        <v>38</v>
      </c>
      <c r="B98" s="3300"/>
      <c r="C98" s="875" t="s">
        <v>691</v>
      </c>
      <c r="D98" s="811" t="s">
        <v>692</v>
      </c>
      <c r="E98" s="888">
        <v>0.2</v>
      </c>
      <c r="F98" s="875">
        <v>30</v>
      </c>
    </row>
    <row r="99" spans="1:6" s="871" customFormat="1" ht="36">
      <c r="A99" s="875">
        <v>39</v>
      </c>
      <c r="B99" s="3300" t="s">
        <v>693</v>
      </c>
      <c r="C99" s="875" t="s">
        <v>694</v>
      </c>
      <c r="D99" s="811" t="s">
        <v>695</v>
      </c>
      <c r="E99" s="888">
        <v>0.3</v>
      </c>
      <c r="F99" s="875">
        <v>50</v>
      </c>
    </row>
    <row r="100" spans="1:6" s="871" customFormat="1" ht="24">
      <c r="A100" s="875">
        <v>40</v>
      </c>
      <c r="B100" s="3300"/>
      <c r="C100" s="875" t="s">
        <v>696</v>
      </c>
      <c r="D100" s="811" t="s">
        <v>697</v>
      </c>
      <c r="E100" s="888">
        <v>0.2</v>
      </c>
      <c r="F100" s="875">
        <v>30</v>
      </c>
    </row>
    <row r="101" spans="1:6" s="871" customFormat="1" ht="36">
      <c r="A101" s="875">
        <v>41</v>
      </c>
      <c r="B101" s="330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0" t="s">
        <v>708</v>
      </c>
      <c r="C105" s="875" t="s">
        <v>709</v>
      </c>
      <c r="D105" s="811" t="s">
        <v>710</v>
      </c>
      <c r="E105" s="888">
        <v>0.2</v>
      </c>
      <c r="F105" s="875">
        <v>30</v>
      </c>
    </row>
    <row r="106" spans="1:6" s="871" customFormat="1" ht="36">
      <c r="A106" s="875">
        <v>46</v>
      </c>
      <c r="B106" s="3300"/>
      <c r="C106" s="875" t="s">
        <v>711</v>
      </c>
      <c r="D106" s="811" t="s">
        <v>712</v>
      </c>
      <c r="E106" s="888">
        <v>0.2</v>
      </c>
      <c r="F106" s="875">
        <v>30</v>
      </c>
    </row>
    <row r="107" spans="1:6" s="871" customFormat="1" ht="36">
      <c r="A107" s="875">
        <v>47</v>
      </c>
      <c r="B107" s="3300" t="s">
        <v>713</v>
      </c>
      <c r="C107" s="875" t="s">
        <v>714</v>
      </c>
      <c r="D107" s="811" t="s">
        <v>715</v>
      </c>
      <c r="E107" s="888">
        <v>0.3</v>
      </c>
      <c r="F107" s="875">
        <v>50</v>
      </c>
    </row>
    <row r="108" spans="1:6" s="871" customFormat="1" ht="36">
      <c r="A108" s="875">
        <v>48</v>
      </c>
      <c r="B108" s="330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0" t="s">
        <v>724</v>
      </c>
      <c r="C111" s="875" t="s">
        <v>725</v>
      </c>
      <c r="D111" s="811" t="s">
        <v>726</v>
      </c>
      <c r="E111" s="888">
        <v>0.2</v>
      </c>
      <c r="F111" s="875">
        <v>30</v>
      </c>
    </row>
    <row r="112" spans="1:6" s="871" customFormat="1" ht="24">
      <c r="A112" s="875">
        <v>52</v>
      </c>
      <c r="B112" s="3300"/>
      <c r="C112" s="875" t="s">
        <v>727</v>
      </c>
      <c r="D112" s="811" t="s">
        <v>728</v>
      </c>
      <c r="E112" s="888">
        <v>0.2</v>
      </c>
      <c r="F112" s="875">
        <v>30</v>
      </c>
    </row>
    <row r="113" spans="1:6" s="871" customFormat="1" ht="24">
      <c r="A113" s="875">
        <v>53</v>
      </c>
      <c r="B113" s="330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0" t="s">
        <v>737</v>
      </c>
      <c r="C116" s="875" t="s">
        <v>738</v>
      </c>
      <c r="D116" s="811" t="s">
        <v>739</v>
      </c>
      <c r="E116" s="888">
        <v>0.2</v>
      </c>
      <c r="F116" s="875">
        <v>30</v>
      </c>
    </row>
    <row r="117" spans="1:6" ht="36">
      <c r="A117" s="875">
        <v>57</v>
      </c>
      <c r="B117" s="330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6"/>
      <c r="B4" s="2992" t="s">
        <v>1630</v>
      </c>
      <c r="C4" s="2992"/>
      <c r="D4" s="2992"/>
      <c r="E4" s="1956"/>
    </row>
    <row r="5" spans="1:5" ht="16.5" thickTop="1">
      <c r="A5" s="1954"/>
      <c r="B5" s="2990" t="s">
        <v>1622</v>
      </c>
      <c r="C5" s="1957" t="s">
        <v>1623</v>
      </c>
      <c r="D5" s="1036">
        <f ca="1">结果表!H101</f>
        <v>26168</v>
      </c>
      <c r="E5" s="1954"/>
    </row>
    <row r="6" spans="1:5" ht="15.75">
      <c r="A6" s="1954"/>
      <c r="B6" s="2990"/>
      <c r="C6" s="1957" t="s">
        <v>1624</v>
      </c>
      <c r="D6" s="1036" t="str">
        <f ca="1">NUMBERSTRING(INT(D5*10000),2)&amp;"元整"</f>
        <v>贰亿陆仟壹佰陆拾捌万元整</v>
      </c>
      <c r="E6" s="1954"/>
    </row>
    <row r="7" spans="1:5" ht="15.75">
      <c r="A7" s="1954"/>
      <c r="B7" s="2995"/>
      <c r="C7" s="1958" t="s">
        <v>1625</v>
      </c>
      <c r="D7" s="1037">
        <f ca="1">结果表!H102</f>
        <v>4408</v>
      </c>
      <c r="E7" s="1954"/>
    </row>
    <row r="8" spans="1:5" ht="15.75">
      <c r="A8" s="1954"/>
      <c r="B8" s="2996" t="str">
        <f>结果表!E103</f>
        <v>2.估价师知悉的法定优先受偿款</v>
      </c>
      <c r="C8" s="1959" t="s">
        <v>1626</v>
      </c>
      <c r="D8" s="1037">
        <f>结果表!H103</f>
        <v>0</v>
      </c>
      <c r="E8" s="1954"/>
    </row>
    <row r="9" spans="1:5" ht="15.75">
      <c r="A9" s="1954"/>
      <c r="B9" s="2998"/>
      <c r="C9" s="1957" t="s">
        <v>1624</v>
      </c>
      <c r="D9" s="1036" t="str">
        <f>NUMBERSTRING(INT(D8*10000),2)&amp;"元整"</f>
        <v>零元整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2989" t="str">
        <f>结果表!E107</f>
        <v>3.房地产抵押价值</v>
      </c>
      <c r="C13" s="1962" t="s">
        <v>1623</v>
      </c>
      <c r="D13" s="1039">
        <f ca="1">结果表!H107</f>
        <v>26168</v>
      </c>
      <c r="E13" s="1954"/>
    </row>
    <row r="14" spans="1:5" ht="15.75">
      <c r="A14" s="1954"/>
      <c r="B14" s="2990"/>
      <c r="C14" s="1957" t="s">
        <v>1624</v>
      </c>
      <c r="D14" s="1036" t="str">
        <f ca="1">NUMBERSTRING(INT(D13*10000),2)&amp;"元整"</f>
        <v>贰亿陆仟壹佰陆拾捌万元整</v>
      </c>
      <c r="E14" s="1954"/>
    </row>
    <row r="15" spans="1:5" ht="15">
      <c r="A15" s="1954"/>
      <c r="B15" s="2995"/>
      <c r="C15" s="1958" t="s">
        <v>1634</v>
      </c>
      <c r="D15" s="1048">
        <f ca="1">结果表!H108</f>
        <v>4408</v>
      </c>
      <c r="E15" s="1954"/>
    </row>
    <row r="16" spans="1:5" ht="15">
      <c r="A16" s="1954"/>
      <c r="B16" s="2996" t="str">
        <f>结果表!E109</f>
        <v>——</v>
      </c>
      <c r="C16" s="1962" t="s">
        <v>1635</v>
      </c>
      <c r="D16" s="1963" t="str">
        <f>结果表!H109</f>
        <v>——</v>
      </c>
      <c r="E16" s="1954"/>
    </row>
    <row r="17" spans="1:5" ht="15.75">
      <c r="A17" s="1954"/>
      <c r="B17" s="2997"/>
      <c r="C17" s="1957" t="s">
        <v>1636</v>
      </c>
      <c r="D17" s="1036" t="e">
        <f>NUMBERSTRING(INT(D16*10000),2)&amp;"元整"</f>
        <v>#VALUE!</v>
      </c>
      <c r="E17" s="1954"/>
    </row>
    <row r="18" spans="1:5" ht="15">
      <c r="A18" s="1954"/>
      <c r="B18" s="2998"/>
      <c r="C18" s="1958" t="s">
        <v>1625</v>
      </c>
      <c r="D18" s="1048" t="str">
        <f>结果表!H110</f>
        <v>——</v>
      </c>
      <c r="E18" s="1954"/>
    </row>
    <row r="19" spans="1:5" ht="15.75">
      <c r="A19" s="1954"/>
      <c r="B19" s="2989" t="str">
        <f>结果表!E111</f>
        <v>——</v>
      </c>
      <c r="C19" s="1962" t="s">
        <v>1623</v>
      </c>
      <c r="D19" s="1037" t="str">
        <f>结果表!H111</f>
        <v>——</v>
      </c>
      <c r="E19" s="1954"/>
    </row>
    <row r="20" spans="1:5" ht="15.75">
      <c r="A20" s="1954"/>
      <c r="B20" s="2990"/>
      <c r="C20" s="1957" t="s">
        <v>1636</v>
      </c>
      <c r="D20" s="1036" t="e">
        <f>NUMBERSTRING(INT(D19*10000),2)&amp;"元整"</f>
        <v>#VALUE!</v>
      </c>
      <c r="E20" s="1954"/>
    </row>
    <row r="21" spans="1:5" ht="15.75" thickBot="1">
      <c r="A21" s="1954"/>
      <c r="B21" s="2991"/>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2988</v>
      </c>
    </row>
    <row r="2" spans="1:5" ht="15.75">
      <c r="A2" s="2906" t="s">
        <v>2980</v>
      </c>
      <c r="B2" s="2907" t="e">
        <f ca="1">SUMIF(B6:B13,"&lt;&gt;#ref!",B6:B13)</f>
        <v>#DIV/0!</v>
      </c>
      <c r="C2" s="2906" t="s">
        <v>2981</v>
      </c>
      <c r="D2" s="2906" t="s">
        <v>2982</v>
      </c>
      <c r="E2" s="2907">
        <f ca="1">SUMIF(E6:E13,"&lt;&gt;#ref!",E6:E13)</f>
        <v>0</v>
      </c>
    </row>
    <row r="3" spans="1:5" ht="15.75">
      <c r="A3" s="2906" t="s">
        <v>2983</v>
      </c>
      <c r="B3" s="2907" t="e">
        <f ca="1">ROUND(B2*10000/E2,0)</f>
        <v>#DIV/0!</v>
      </c>
      <c r="C3" s="2906" t="s">
        <v>2989</v>
      </c>
      <c r="D3" s="2908"/>
      <c r="E3" s="2908"/>
    </row>
    <row r="4" spans="1:5" ht="15.75">
      <c r="A4" s="2909"/>
      <c r="B4" s="2908"/>
      <c r="C4" s="2908"/>
      <c r="D4" s="2908"/>
      <c r="E4" s="2908"/>
    </row>
    <row r="5" spans="1:5" ht="28.5">
      <c r="A5" s="2910" t="s">
        <v>2984</v>
      </c>
      <c r="B5" s="2906" t="s">
        <v>2985</v>
      </c>
      <c r="C5" s="2907"/>
      <c r="D5" s="2908"/>
      <c r="E5" s="2906" t="s">
        <v>2986</v>
      </c>
    </row>
    <row r="6" spans="1:5" ht="15.75">
      <c r="A6" s="2911" t="s">
        <v>2987</v>
      </c>
      <c r="B6" s="2907" t="e">
        <f ca="1">SUMIF(INDIRECT("'"&amp;A6&amp;"'"&amp;"!A:A"),"总价",INDIRECT("'"&amp;A6&amp;"'"&amp;"!B:B"))</f>
        <v>#DIV/0!</v>
      </c>
      <c r="C6" s="2906" t="s">
        <v>2981</v>
      </c>
      <c r="D6" s="2908"/>
      <c r="E6" s="2571">
        <f ca="1">SUMIF(INDIRECT("'"&amp;A6&amp;"'"&amp;"!C:C"),"建筑面积",INDIRECT("'"&amp;A6&amp;"'"&amp;"!D:D"))</f>
        <v>0</v>
      </c>
    </row>
    <row r="7" spans="1:5" ht="15.75">
      <c r="A7" s="2911"/>
      <c r="B7" s="2907" t="e">
        <f ca="1">SUMIF(INDIRECT("'"&amp;A7&amp;"'"&amp;"!A:A"),"总价",INDIRECT("'"&amp;A7&amp;"'"&amp;"!B:B"))</f>
        <v>#REF!</v>
      </c>
      <c r="C7" s="2906" t="s">
        <v>2981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2981</v>
      </c>
      <c r="D8" s="2908"/>
      <c r="E8" s="2571" t="e">
        <f t="shared" ca="1" si="0"/>
        <v>#REF!</v>
      </c>
    </row>
    <row r="9" spans="1:5" ht="15.75">
      <c r="A9" s="2911"/>
      <c r="B9" s="2907" t="e">
        <f t="shared" ca="1" si="1"/>
        <v>#REF!</v>
      </c>
      <c r="C9" s="2906" t="s">
        <v>2981</v>
      </c>
      <c r="D9" s="2908"/>
      <c r="E9" s="2571" t="e">
        <f t="shared" ca="1" si="0"/>
        <v>#REF!</v>
      </c>
    </row>
    <row r="10" spans="1:5" ht="15.75">
      <c r="A10" s="2911"/>
      <c r="B10" s="2907" t="e">
        <f t="shared" ca="1" si="1"/>
        <v>#REF!</v>
      </c>
      <c r="C10" s="2906" t="s">
        <v>2981</v>
      </c>
      <c r="D10" s="2908"/>
      <c r="E10" s="2571" t="e">
        <f t="shared" ca="1" si="0"/>
        <v>#REF!</v>
      </c>
    </row>
    <row r="11" spans="1:5" ht="15.75">
      <c r="A11" s="2911"/>
      <c r="B11" s="2907" t="e">
        <f t="shared" ca="1" si="1"/>
        <v>#REF!</v>
      </c>
      <c r="C11" s="2906" t="s">
        <v>2981</v>
      </c>
      <c r="D11" s="2908"/>
      <c r="E11" s="2571" t="e">
        <f t="shared" ca="1" si="0"/>
        <v>#REF!</v>
      </c>
    </row>
    <row r="12" spans="1:5" ht="15.75">
      <c r="A12" s="2911"/>
      <c r="B12" s="2907" t="e">
        <f t="shared" ca="1" si="1"/>
        <v>#REF!</v>
      </c>
      <c r="C12" s="2906" t="s">
        <v>2981</v>
      </c>
      <c r="D12" s="2908"/>
      <c r="E12" s="2571" t="e">
        <f t="shared" ca="1" si="0"/>
        <v>#REF!</v>
      </c>
    </row>
    <row r="13" spans="1:5" ht="15.75">
      <c r="A13" s="2911"/>
      <c r="B13" s="2907" t="e">
        <f t="shared" ca="1" si="1"/>
        <v>#REF!</v>
      </c>
      <c r="C13" s="2906" t="s">
        <v>2981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6" t="s">
        <v>1150</v>
      </c>
      <c r="C1" s="3306"/>
      <c r="D1" s="3306"/>
      <c r="E1" s="3306"/>
      <c r="F1" s="3306"/>
      <c r="G1" s="3305" t="s">
        <v>1151</v>
      </c>
      <c r="H1" s="3305"/>
      <c r="I1" s="3305"/>
      <c r="J1" s="3305"/>
      <c r="K1" s="3305"/>
      <c r="L1" s="3305"/>
      <c r="N1" s="3305" t="s">
        <v>1152</v>
      </c>
      <c r="O1" s="3305"/>
      <c r="P1" s="3305"/>
      <c r="Q1" s="3305"/>
      <c r="R1" s="1442"/>
      <c r="S1" s="3305" t="s">
        <v>1153</v>
      </c>
      <c r="T1" s="3305"/>
      <c r="U1" s="3305"/>
      <c r="V1" s="3305"/>
      <c r="X1" s="3304" t="s">
        <v>1154</v>
      </c>
      <c r="Y1" s="3305"/>
      <c r="Z1" s="3305"/>
      <c r="AA1" s="3305"/>
      <c r="AB1" s="3305"/>
      <c r="AD1" s="3304" t="s">
        <v>1155</v>
      </c>
      <c r="AE1" s="3305"/>
      <c r="AF1" s="3305"/>
      <c r="AG1" s="3305"/>
      <c r="AH1" s="330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3023</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3031</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3024</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3030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3019</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0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2"/>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2"/>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03"/>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1">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2"/>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2"/>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03"/>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1">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2"/>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2"/>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03"/>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0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0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0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1">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2"/>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2"/>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03"/>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1">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2">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2">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03">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1">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2">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2">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03">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1">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2">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2">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03">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1">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2">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2">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03">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1">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2">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2">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03">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1">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2">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2">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03">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1">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2">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2">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03">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1">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2">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2">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03">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1">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2">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2">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03">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1">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2">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2">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03">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2990</v>
      </c>
      <c r="C1" s="3312" t="s">
        <v>2991</v>
      </c>
      <c r="D1" s="3313"/>
      <c r="E1" s="3313"/>
      <c r="F1" s="3313"/>
      <c r="G1" s="3313"/>
      <c r="H1" s="3313"/>
      <c r="I1" s="3313"/>
      <c r="J1" s="3313"/>
      <c r="K1" s="3313"/>
      <c r="L1" s="3313"/>
      <c r="M1" s="3313"/>
      <c r="N1" s="3313"/>
      <c r="O1" s="3313"/>
      <c r="P1" s="3313"/>
      <c r="Q1" s="3313"/>
      <c r="R1" s="3313"/>
      <c r="S1" s="3314"/>
      <c r="T1" s="1200" t="s">
        <v>2992</v>
      </c>
    </row>
    <row r="2" spans="1:45" s="704" customFormat="1">
      <c r="A2" s="1201"/>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2994</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2995</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2996</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2997</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2998</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2999</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3000</v>
      </c>
      <c r="B17" s="2913"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3002</v>
      </c>
      <c r="E19" s="1787"/>
      <c r="F19" s="1787"/>
      <c r="G19" s="1787"/>
      <c r="H19" s="1276"/>
      <c r="I19" s="165"/>
      <c r="J19" s="165"/>
      <c r="K19" s="165"/>
      <c r="L19" s="165"/>
      <c r="M19" s="165"/>
      <c r="N19" s="165"/>
      <c r="O19" s="165"/>
      <c r="P19" s="165"/>
      <c r="Q19" s="165"/>
      <c r="R19" s="785"/>
      <c r="S19" s="135"/>
    </row>
    <row r="20" spans="1:45" ht="16.5" thickBot="1">
      <c r="A20" s="712" t="s">
        <v>3003</v>
      </c>
      <c r="B20" s="335" t="e">
        <f ca="1">IF(D20="——",S22,S22-F20)</f>
        <v>#REF!</v>
      </c>
      <c r="C20" s="165"/>
      <c r="D20" s="2915" t="s">
        <v>3004</v>
      </c>
      <c r="E20" s="1788"/>
      <c r="F20" s="1200" t="e">
        <f ca="1">SUMIF(INDIRECT("'"&amp;H20&amp;"'"&amp;"!A:A"),"承租人权益价值",INDIRECT("'"&amp;H20&amp;"'"&amp;"!c:c"))</f>
        <v>#REF!</v>
      </c>
      <c r="G20" s="1200" t="s">
        <v>3005</v>
      </c>
      <c r="H20" s="2916"/>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70" t="s">
        <v>33</v>
      </c>
      <c r="D22" s="3171"/>
      <c r="E22" s="3171"/>
      <c r="F22" s="3171"/>
      <c r="G22" s="3171"/>
      <c r="H22" s="3171"/>
      <c r="I22" s="3171"/>
      <c r="J22" s="3171"/>
      <c r="K22" s="3171"/>
      <c r="L22" s="3171"/>
      <c r="M22" s="3171"/>
      <c r="N22" s="3171"/>
      <c r="O22" s="3171"/>
      <c r="P22" s="3171"/>
      <c r="Q22" s="3311"/>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34186</v>
      </c>
      <c r="C2" s="2" t="s">
        <v>133</v>
      </c>
      <c r="D2" s="240"/>
      <c r="E2" s="240"/>
      <c r="F2" s="240"/>
      <c r="G2" s="240"/>
    </row>
    <row r="3" spans="1:7" s="241" customFormat="1" ht="18" customHeight="1" thickBot="1">
      <c r="A3" s="244" t="s">
        <v>85</v>
      </c>
      <c r="B3" s="245">
        <f ca="1">ROUND(B2*10000/'数据-汇总表'!E3,0)</f>
        <v>5758</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200</v>
      </c>
      <c r="D9" s="1028">
        <f>'数据-汇总表'!E5</f>
        <v>22416.510000000002</v>
      </c>
      <c r="E9" s="266">
        <f>'数据-取费表'!B27</f>
        <v>89</v>
      </c>
      <c r="F9" s="262"/>
      <c r="G9" s="267"/>
    </row>
    <row r="10" spans="1:7" s="255" customFormat="1" ht="13.5" customHeight="1">
      <c r="A10" s="946" t="s">
        <v>801</v>
      </c>
      <c r="B10" s="265" t="s">
        <v>94</v>
      </c>
      <c r="C10" s="266">
        <f>ROUND(D10*E10/10000,0)</f>
        <v>329</v>
      </c>
      <c r="D10" s="1028">
        <f>'数据-汇总表'!E6</f>
        <v>36949.859999999993</v>
      </c>
      <c r="E10" s="266">
        <f>'数据-取费表'!B28</f>
        <v>89</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1187</v>
      </c>
      <c r="D19" s="1032">
        <f>'数据-汇总表'!E3</f>
        <v>59366.369999999995</v>
      </c>
      <c r="E19" s="252">
        <f>'数据-取费表'!B31</f>
        <v>200</v>
      </c>
      <c r="F19" s="272"/>
      <c r="G19" s="1" t="s">
        <v>1074</v>
      </c>
    </row>
    <row r="20" spans="1:7" s="255" customFormat="1" ht="13.5" customHeight="1">
      <c r="A20" s="944" t="s">
        <v>1057</v>
      </c>
      <c r="B20" s="251" t="s">
        <v>104</v>
      </c>
      <c r="C20" s="273">
        <f>ROUND((C5+C19)*F20,0)</f>
        <v>436</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1045</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56</v>
      </c>
      <c r="D24" s="279"/>
      <c r="E24" s="279"/>
      <c r="F24" s="280"/>
      <c r="G24" s="281" t="s">
        <v>109</v>
      </c>
    </row>
    <row r="25" spans="1:7" s="255" customFormat="1" ht="24">
      <c r="A25" s="947" t="s">
        <v>793</v>
      </c>
      <c r="B25" s="256" t="s">
        <v>1058</v>
      </c>
      <c r="C25" s="1351">
        <f ca="1">ROUND(IF('数据-取费表'!B22&lt;=1,C20*F22*'数据-取费表'!B23/2,C20*(POWER((1+F22),'数据-取费表'!B23/2)-1)),0)</f>
        <v>10</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778</v>
      </c>
      <c r="D27" s="276">
        <f>C29</f>
        <v>4.0000000000000002E-4</v>
      </c>
      <c r="E27" s="277" t="s">
        <v>126</v>
      </c>
      <c r="F27" s="287">
        <f>'数据-取费表'!Q16</f>
        <v>7.0000000000000007E-2</v>
      </c>
      <c r="G27" s="288" t="s">
        <v>1069</v>
      </c>
    </row>
    <row r="28" spans="1:7" s="255" customFormat="1" ht="13.5" customHeight="1">
      <c r="A28" s="947" t="s">
        <v>794</v>
      </c>
      <c r="B28" s="289" t="s">
        <v>1062</v>
      </c>
      <c r="C28" s="290">
        <f>ROUND((C5+C19+C20)*F27*'数据-取费表'!B21/'数据-取费表'!B20,0)</f>
        <v>778</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25699</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7122</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6212</v>
      </c>
      <c r="D34" s="258"/>
      <c r="E34" s="261"/>
      <c r="F34" s="298">
        <f>IF('数据-取费表'!B24=0,1,'数据-取费表'!N16)</f>
        <v>0.47199999999999998</v>
      </c>
      <c r="G34" s="260" t="s">
        <v>116</v>
      </c>
    </row>
    <row r="35" spans="1:7" ht="13.5" customHeight="1">
      <c r="A35" s="947" t="s">
        <v>796</v>
      </c>
      <c r="B35" s="256" t="s">
        <v>60</v>
      </c>
      <c r="C35" s="261">
        <f>ROUND(C34*F35,0)</f>
        <v>186</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71</v>
      </c>
      <c r="D36" s="261"/>
      <c r="E36" s="261"/>
      <c r="F36" s="300">
        <f>'数据-取费表'!B34</f>
        <v>0.05</v>
      </c>
      <c r="G36" s="301" t="s">
        <v>62</v>
      </c>
    </row>
    <row r="37" spans="1:7" s="299" customFormat="1" ht="13.5" customHeight="1">
      <c r="A37" s="947" t="s">
        <v>798</v>
      </c>
      <c r="B37" s="256" t="s">
        <v>118</v>
      </c>
      <c r="C37" s="290">
        <f>ROUND(E37*D37*F34/10000,0)</f>
        <v>560</v>
      </c>
      <c r="D37" s="258">
        <f>'数据-汇总表'!E3</f>
        <v>59366.369999999995</v>
      </c>
      <c r="E37" s="290">
        <f>'数据-取费表'!B35</f>
        <v>200</v>
      </c>
      <c r="F37" s="300"/>
      <c r="G37" s="302" t="s">
        <v>119</v>
      </c>
    </row>
    <row r="38" spans="1:7" ht="13.5" customHeight="1">
      <c r="A38" s="947" t="s">
        <v>799</v>
      </c>
      <c r="B38" s="256" t="s">
        <v>63</v>
      </c>
      <c r="C38" s="261">
        <f>ROUND(C34*F38,0)</f>
        <v>93</v>
      </c>
      <c r="D38" s="261"/>
      <c r="E38" s="261"/>
      <c r="F38" s="300">
        <f>'数据-取费表'!B36</f>
        <v>1.4999999999999999E-2</v>
      </c>
      <c r="G38" s="260" t="s">
        <v>117</v>
      </c>
    </row>
    <row r="39" spans="1:7" s="255" customFormat="1" ht="13.5" customHeight="1">
      <c r="A39" s="944" t="s">
        <v>783</v>
      </c>
      <c r="B39" s="251" t="s">
        <v>104</v>
      </c>
      <c r="C39" s="273">
        <f>ROUND(C33*F20,0)</f>
        <v>142</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170</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167</v>
      </c>
      <c r="D42" s="279"/>
      <c r="E42" s="279"/>
      <c r="F42" s="280"/>
      <c r="G42" s="3175" t="s">
        <v>121</v>
      </c>
    </row>
    <row r="43" spans="1:7" ht="13.5" customHeight="1">
      <c r="A43" s="947" t="s">
        <v>792</v>
      </c>
      <c r="B43" s="256" t="s">
        <v>1064</v>
      </c>
      <c r="C43" s="279">
        <f ca="1">ROUND(IF('数据-取费表'!B22&lt;=1,C39*F22*'数据-取费表'!B21/2,C39*(POWER((1+F22),'数据-取费表'!B21/2)-1)),0)</f>
        <v>3</v>
      </c>
      <c r="D43" s="279"/>
      <c r="E43" s="279"/>
      <c r="F43" s="280"/>
      <c r="G43" s="3176"/>
    </row>
    <row r="44" spans="1:7" ht="13.5" customHeight="1">
      <c r="A44" s="947" t="s">
        <v>793</v>
      </c>
      <c r="B44" s="256" t="s">
        <v>1066</v>
      </c>
      <c r="C44" s="279">
        <f ca="1">ROUND(IF('数据-取费表'!B22&lt;=1,C40*F22*'数据-取费表'!B21/2,C40*(POWER((1+F22),'数据-取费表'!B21/2)-1)),4)</f>
        <v>2.0000000000000001E-4</v>
      </c>
      <c r="D44" s="279"/>
      <c r="E44" s="279"/>
      <c r="F44" s="280"/>
      <c r="G44" s="3177"/>
    </row>
    <row r="45" spans="1:7" s="255" customFormat="1" ht="13.5" customHeight="1">
      <c r="A45" s="944" t="s">
        <v>786</v>
      </c>
      <c r="B45" s="285" t="s">
        <v>112</v>
      </c>
      <c r="C45" s="286">
        <f>C46</f>
        <v>508</v>
      </c>
      <c r="D45" s="276">
        <f>C47</f>
        <v>6.9999999999999999E-4</v>
      </c>
      <c r="E45" s="277" t="s">
        <v>129</v>
      </c>
      <c r="F45" s="287"/>
      <c r="G45" s="288" t="s">
        <v>1072</v>
      </c>
    </row>
    <row r="46" spans="1:7" s="255" customFormat="1" ht="13.5" customHeight="1">
      <c r="A46" s="947" t="s">
        <v>794</v>
      </c>
      <c r="B46" s="289" t="s">
        <v>1065</v>
      </c>
      <c r="C46" s="290">
        <f>ROUND((C33+C39)*F27,0)</f>
        <v>508</v>
      </c>
      <c r="D46" s="304"/>
      <c r="E46" s="277"/>
      <c r="F46" s="287"/>
      <c r="G46" s="288"/>
    </row>
    <row r="47" spans="1:7" s="255" customFormat="1" ht="13.5" customHeight="1">
      <c r="A47" s="947" t="s">
        <v>792</v>
      </c>
      <c r="B47" s="289" t="s">
        <v>1067</v>
      </c>
      <c r="C47" s="279">
        <f>ROUND(C40*F27,4)</f>
        <v>6.9999999999999999E-4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8487</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8487</v>
      </c>
      <c r="D51" s="273"/>
      <c r="E51" s="273"/>
      <c r="F51" s="305"/>
      <c r="G51" s="275" t="s">
        <v>64</v>
      </c>
    </row>
    <row r="52" spans="1:7" s="249" customFormat="1" ht="16.5" thickBot="1">
      <c r="A52" s="306" t="s">
        <v>65</v>
      </c>
      <c r="B52" s="307"/>
      <c r="C52" s="308">
        <f ca="1">C31+C51</f>
        <v>34186</v>
      </c>
      <c r="D52" s="307"/>
      <c r="E52" s="307"/>
      <c r="F52" s="307"/>
      <c r="G52" s="309"/>
    </row>
    <row r="55" spans="1:7" ht="15">
      <c r="B55" s="311" t="s">
        <v>66</v>
      </c>
      <c r="C55" s="312"/>
    </row>
    <row r="56" spans="1:7">
      <c r="B56" s="314" t="s">
        <v>67</v>
      </c>
      <c r="C56" s="315">
        <f ca="1">ROUND(C51/C52,3)</f>
        <v>0.248</v>
      </c>
    </row>
    <row r="57" spans="1:7">
      <c r="B57" s="314" t="s">
        <v>68</v>
      </c>
      <c r="C57" s="316">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5" t="s">
        <v>156</v>
      </c>
      <c r="B1" s="3315"/>
      <c r="C1" s="3315"/>
      <c r="D1" s="3315"/>
      <c r="E1" s="3315"/>
      <c r="F1" s="331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6" t="s">
        <v>169</v>
      </c>
      <c r="B2" s="3316"/>
      <c r="C2" s="3316"/>
      <c r="D2" s="3316"/>
      <c r="E2" s="3316"/>
      <c r="F2" s="331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5" t="s">
        <v>871</v>
      </c>
      <c r="B1" s="331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43433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1641</v>
      </c>
      <c r="B2" s="3009" t="s">
        <v>1642</v>
      </c>
      <c r="C2" s="3009" t="s">
        <v>1643</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59366.369999999995</v>
      </c>
      <c r="C4" s="1040">
        <f>项目基本情况!C18</f>
        <v>18569.88</v>
      </c>
      <c r="D4" s="1040">
        <f ca="1">结果表!D118</f>
        <v>17873</v>
      </c>
      <c r="E4" s="1040">
        <f ca="1">结果表!E118</f>
        <v>3011</v>
      </c>
      <c r="F4" s="1040">
        <f ca="1">结果表!F118</f>
        <v>8295</v>
      </c>
      <c r="G4" s="1040">
        <f ca="1">结果表!G118</f>
        <v>1397</v>
      </c>
      <c r="H4" s="1040">
        <f ca="1">结果表!H118</f>
        <v>26168</v>
      </c>
      <c r="I4" s="1040">
        <f ca="1">结果表!I118</f>
        <v>4408</v>
      </c>
    </row>
    <row r="5" spans="1:9" ht="30" customHeight="1">
      <c r="A5" s="3003" t="s">
        <v>1640</v>
      </c>
      <c r="B5" s="3003"/>
      <c r="C5" s="3003"/>
      <c r="D5" s="3004" t="str">
        <f ca="1">结果表!D119</f>
        <v>壹亿柒仟捌佰柒拾叁万元整</v>
      </c>
      <c r="E5" s="3004"/>
      <c r="F5" s="3004" t="str">
        <f ca="1">结果表!F119</f>
        <v>捌仟贰佰玖拾伍万元整</v>
      </c>
      <c r="G5" s="3004"/>
      <c r="H5" s="3004" t="str">
        <f ca="1">结果表!H119</f>
        <v>贰亿陆仟壹佰陆拾捌万元整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1640</v>
      </c>
      <c r="B7" s="3003"/>
      <c r="C7" s="3003"/>
      <c r="D7" s="3005" t="str">
        <f>结果表!D121</f>
        <v>零元整</v>
      </c>
      <c r="E7" s="3006"/>
      <c r="F7" s="3006"/>
      <c r="G7" s="3006"/>
      <c r="H7" s="3006"/>
      <c r="I7" s="3007"/>
    </row>
    <row r="8" spans="1:9" ht="15.75">
      <c r="A8" s="3002" t="str">
        <f>结果表!A122</f>
        <v>房地产抵押价值</v>
      </c>
      <c r="B8" s="3002"/>
      <c r="C8" s="3002"/>
      <c r="D8" s="3002">
        <f ca="1">结果表!D122</f>
        <v>26168</v>
      </c>
      <c r="E8" s="3002"/>
      <c r="F8" s="3002"/>
      <c r="G8" s="3002"/>
      <c r="H8" s="3002"/>
      <c r="I8" s="3002"/>
    </row>
    <row r="9" spans="1:9" ht="15">
      <c r="A9" s="3003" t="s">
        <v>1640</v>
      </c>
      <c r="B9" s="3003"/>
      <c r="C9" s="3003"/>
      <c r="D9" s="3004" t="str">
        <f ca="1">结果表!D123</f>
        <v>贰亿陆仟壹佰陆拾捌万元整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1640</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6" t="s">
        <v>1662</v>
      </c>
      <c r="B1" s="3016"/>
      <c r="C1" s="3016"/>
      <c r="D1" s="3016"/>
    </row>
    <row r="2" spans="1:4" ht="18">
      <c r="A2" s="3017" t="s">
        <v>1646</v>
      </c>
      <c r="B2" s="3017"/>
      <c r="C2" s="3017"/>
      <c r="D2" s="3017"/>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7" t="s">
        <v>1652</v>
      </c>
      <c r="B6" s="3017"/>
      <c r="C6" s="3017"/>
      <c r="D6" s="3017"/>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18" t="s">
        <v>1655</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c r="B15" s="3010"/>
      <c r="C15" s="3010"/>
      <c r="D15" s="3010"/>
    </row>
    <row r="16" spans="1:4" ht="30" customHeight="1">
      <c r="A16" s="3012" t="s">
        <v>1656</v>
      </c>
      <c r="B16" s="3012"/>
      <c r="C16" s="3012"/>
      <c r="D16" s="3012"/>
    </row>
    <row r="17" spans="1:4" ht="144" customHeight="1">
      <c r="A17" s="3012" t="s">
        <v>1657</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1658</v>
      </c>
      <c r="B22" s="3014"/>
      <c r="C22" s="3014"/>
      <c r="D22" s="3014"/>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4" t="s">
        <v>1669</v>
      </c>
      <c r="B15" s="3019" t="s">
        <v>136</v>
      </c>
      <c r="C15" s="3020"/>
    </row>
    <row r="16" spans="1:7" ht="13.5">
      <c r="A16" s="3025"/>
      <c r="B16" s="3019" t="s">
        <v>69</v>
      </c>
      <c r="C16" s="3020"/>
    </row>
    <row r="17" spans="1:3" ht="13.5">
      <c r="A17" s="3025"/>
      <c r="B17" s="3022" t="s">
        <v>1670</v>
      </c>
      <c r="C17" s="1995" t="s">
        <v>1669</v>
      </c>
    </row>
    <row r="18" spans="1:3" ht="13.5">
      <c r="A18" s="3025"/>
      <c r="B18" s="3022"/>
      <c r="C18" s="1995" t="s">
        <v>1671</v>
      </c>
    </row>
    <row r="19" spans="1:3" ht="13.5">
      <c r="A19" s="3025"/>
      <c r="B19" s="3022"/>
      <c r="C19" s="1995" t="s">
        <v>1672</v>
      </c>
    </row>
    <row r="20" spans="1:3" ht="13.5">
      <c r="A20" s="3026"/>
      <c r="B20" s="3021" t="s">
        <v>1673</v>
      </c>
      <c r="C20" s="3020"/>
    </row>
    <row r="21" spans="1:3" ht="13.5">
      <c r="A21" s="1996" t="s">
        <v>1674</v>
      </c>
      <c r="B21" s="1997"/>
      <c r="C21" s="1998"/>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1995" t="s">
        <v>1680</v>
      </c>
    </row>
    <row r="26" spans="1:3" ht="13.5">
      <c r="A26" s="3023"/>
      <c r="B26" s="3022"/>
      <c r="C26" s="1995" t="s">
        <v>1681</v>
      </c>
    </row>
    <row r="27" spans="1:3" ht="13.5">
      <c r="A27" s="3023"/>
      <c r="B27" s="3022"/>
      <c r="C27" s="1995" t="s">
        <v>1682</v>
      </c>
    </row>
    <row r="28" spans="1:3" ht="13.5">
      <c r="A28" s="3023"/>
      <c r="B28" s="3022"/>
      <c r="C28" s="1995" t="s">
        <v>1683</v>
      </c>
    </row>
    <row r="29" spans="1:3" ht="13.5">
      <c r="A29" s="3023"/>
      <c r="B29" s="3022"/>
      <c r="C29" s="1995" t="s">
        <v>1684</v>
      </c>
    </row>
    <row r="30" spans="1:3" ht="13.5">
      <c r="A30" s="3023"/>
      <c r="B30" s="3022"/>
      <c r="C30" s="1995" t="s">
        <v>1685</v>
      </c>
    </row>
    <row r="31" spans="1:3" ht="13.5">
      <c r="A31" s="3023"/>
      <c r="B31" s="3022"/>
      <c r="C31" s="1995" t="s">
        <v>1686</v>
      </c>
    </row>
    <row r="32" spans="1:3" ht="13.5">
      <c r="A32" s="3023"/>
      <c r="B32" s="3022"/>
      <c r="C32" s="1995" t="s">
        <v>1687</v>
      </c>
    </row>
    <row r="33" spans="1:3" ht="13.5">
      <c r="A33" s="3023"/>
      <c r="B33" s="3022"/>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43446</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3029</v>
      </c>
      <c r="B12" s="1018">
        <v>1120110054</v>
      </c>
      <c r="C12" s="2936">
        <v>43937</v>
      </c>
      <c r="D12" s="1697" t="s">
        <v>3029</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27" t="s">
        <v>846</v>
      </c>
      <c r="B25" s="3027"/>
      <c r="C25" s="3027"/>
      <c r="D25" s="3027"/>
      <c r="E25" s="3027"/>
      <c r="F25" s="3027"/>
      <c r="G25" s="3027"/>
    </row>
    <row r="26" spans="1:7" s="1021" customFormat="1" ht="24" customHeight="1">
      <c r="A26" s="3028" t="s">
        <v>847</v>
      </c>
      <c r="B26" s="3028"/>
      <c r="C26" s="3029"/>
      <c r="D26" s="3030" t="s">
        <v>848</v>
      </c>
      <c r="E26" s="3028"/>
      <c r="F26" s="3028"/>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假设开发法!Print_Area</vt:lpstr>
      <vt:lpstr>结果表!Print_Area</vt:lpstr>
      <vt:lpstr>'收益法 (元)'!Print_Area</vt:lpstr>
      <vt:lpstr>'收益法-车库'!Print_Area</vt:lpstr>
      <vt:lpstr>'收益法-商业'!Print_Area</vt:lpstr>
      <vt:lpstr>'数据-汇总表'!Print_Area</vt:lpstr>
      <vt:lpstr>'数据-基础表'!Print_Area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2018-12-12T06:56:03Z</dcterms:modified>
</cp:coreProperties>
</file>