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74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金麟府数据" sheetId="79" r:id="rId46"/>
    <sheet name="中国铁建国际公馆" sheetId="80" r:id="rId47"/>
    <sheet name="金麟府分户" sheetId="81" r:id="rId48"/>
    <sheet name="金麟府分户 (80-90)" sheetId="82" r:id="rId49"/>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8" hidden="1">'金麟府分户 (80-90)'!$A$1:$J$145</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147" i="82" l="1"/>
  <c r="I147" i="82"/>
  <c r="I146" i="82"/>
  <c r="J146" i="82"/>
  <c r="H146" i="82"/>
  <c r="J147" i="82" l="1"/>
  <c r="F127" i="21"/>
  <c r="E23" i="79"/>
  <c r="C23" i="79"/>
  <c r="B23" i="79"/>
  <c r="G127" i="21"/>
  <c r="D127" i="21"/>
  <c r="D23" i="79" l="1"/>
  <c r="P3" i="77"/>
  <c r="F19" i="6" l="1"/>
  <c r="I13" i="3"/>
  <c r="I27" i="21" l="1"/>
  <c r="I45" i="21"/>
  <c r="I44" i="21"/>
  <c r="G44" i="21" s="1"/>
  <c r="G27" i="21"/>
  <c r="E44" i="21"/>
  <c r="E27" i="21"/>
  <c r="C27" i="21"/>
  <c r="C45" i="21"/>
  <c r="E45" i="21" s="1"/>
  <c r="C41" i="21"/>
  <c r="I41" i="21" s="1"/>
  <c r="G41" i="21" l="1"/>
  <c r="E41" i="21"/>
  <c r="C6" i="21"/>
  <c r="D3" i="4" l="1"/>
  <c r="AH5" i="71" l="1"/>
  <c r="AG5" i="71"/>
  <c r="AE5" i="71"/>
  <c r="AF5" i="71" s="1"/>
  <c r="AD5" i="71"/>
  <c r="Q5" i="71"/>
  <c r="Q6" i="71"/>
  <c r="P5" i="71"/>
  <c r="P6" i="71"/>
  <c r="O5" i="71"/>
  <c r="O6" i="71"/>
  <c r="N5" i="71"/>
  <c r="N6" i="71"/>
  <c r="AH6" i="71"/>
  <c r="AG6" i="71"/>
  <c r="AE6" i="71"/>
  <c r="AF6" i="7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M19" i="43"/>
  <c r="D14" i="71"/>
  <c r="AH12" i="71"/>
  <c r="AG12" i="71"/>
  <c r="AE12" i="71"/>
  <c r="AF12" i="71" s="1"/>
  <c r="AD12" i="71"/>
  <c r="AD13" i="71"/>
  <c r="AG13" i="71"/>
  <c r="AH13" i="71"/>
  <c r="AE13" i="71"/>
  <c r="AF13" i="71" s="1"/>
  <c r="N13" i="71"/>
  <c r="Q13" i="71"/>
  <c r="P13" i="71"/>
  <c r="O13" i="71"/>
  <c r="Q14" i="71"/>
  <c r="F13" i="71"/>
  <c r="F12" i="71" s="1"/>
  <c r="F11" i="71" s="1"/>
  <c r="P14" i="71"/>
  <c r="E13" i="71"/>
  <c r="E12" i="71" s="1"/>
  <c r="E11" i="71" s="1"/>
  <c r="O14" i="71"/>
  <c r="N14" i="71"/>
  <c r="V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8" i="71"/>
  <c r="F77" i="71"/>
  <c r="F76" i="71" s="1"/>
  <c r="F75" i="71" s="1"/>
  <c r="E77" i="71"/>
  <c r="E76" i="71"/>
  <c r="E75" i="71" s="1"/>
  <c r="C77" i="71"/>
  <c r="D77" i="71" s="1"/>
  <c r="B77" i="71"/>
  <c r="B76" i="71" s="1"/>
  <c r="B75" i="71"/>
  <c r="D74" i="71"/>
  <c r="F73" i="71"/>
  <c r="F72" i="71" s="1"/>
  <c r="F71" i="71" s="1"/>
  <c r="E73" i="71"/>
  <c r="E72" i="71"/>
  <c r="E71" i="71" s="1"/>
  <c r="C73" i="71"/>
  <c r="D73" i="71" s="1"/>
  <c r="B73" i="71"/>
  <c r="B72" i="71" s="1"/>
  <c r="B71"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V57" i="71"/>
  <c r="E57" i="71"/>
  <c r="P57" i="71"/>
  <c r="C57" i="71"/>
  <c r="B57" i="71"/>
  <c r="F56" i="71"/>
  <c r="F55" i="71" s="1"/>
  <c r="Q55" i="71"/>
  <c r="D54" i="71"/>
  <c r="Q53" i="71"/>
  <c r="P53" i="71"/>
  <c r="O53" i="71"/>
  <c r="N53" i="71"/>
  <c r="Q52" i="71"/>
  <c r="P52" i="71"/>
  <c r="O52" i="71"/>
  <c r="N52" i="71"/>
  <c r="Q51" i="71"/>
  <c r="P51" i="71"/>
  <c r="O51" i="71"/>
  <c r="N51" i="71"/>
  <c r="Q50" i="71"/>
  <c r="F51" i="71"/>
  <c r="F52" i="71" s="1"/>
  <c r="F53" i="71"/>
  <c r="V53" i="71" s="1"/>
  <c r="P50" i="71"/>
  <c r="E51" i="71" s="1"/>
  <c r="O50" i="71"/>
  <c r="C51" i="71" s="1"/>
  <c r="D51" i="71" s="1"/>
  <c r="N50" i="71"/>
  <c r="B51" i="71" s="1"/>
  <c r="B52" i="71"/>
  <c r="B53" i="71" s="1"/>
  <c r="S53" i="71" s="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c r="E41" i="71" s="1"/>
  <c r="U41" i="71" s="1"/>
  <c r="O38" i="71"/>
  <c r="C39" i="71"/>
  <c r="N38" i="71"/>
  <c r="B39" i="71"/>
  <c r="B40" i="71" s="1"/>
  <c r="B41" i="71"/>
  <c r="S41" i="71" s="1"/>
  <c r="D38" i="71"/>
  <c r="T37" i="71"/>
  <c r="Q37" i="71"/>
  <c r="P37" i="71"/>
  <c r="O37" i="71"/>
  <c r="N37" i="71"/>
  <c r="D37" i="71"/>
  <c r="Q36" i="71"/>
  <c r="P36" i="71"/>
  <c r="O36" i="71"/>
  <c r="N36" i="71"/>
  <c r="Q35" i="71"/>
  <c r="P35" i="71"/>
  <c r="O35" i="71"/>
  <c r="N35" i="71"/>
  <c r="Q34" i="71"/>
  <c r="F35" i="71" s="1"/>
  <c r="F36" i="71" s="1"/>
  <c r="F37" i="71" s="1"/>
  <c r="V37" i="71" s="1"/>
  <c r="P34" i="71"/>
  <c r="E35" i="71"/>
  <c r="E36" i="71" s="1"/>
  <c r="E37" i="71" s="1"/>
  <c r="U37" i="71" s="1"/>
  <c r="O34" i="71"/>
  <c r="C35" i="71" s="1"/>
  <c r="N34" i="71"/>
  <c r="B35" i="71" s="1"/>
  <c r="B36" i="71" s="1"/>
  <c r="B37" i="71" s="1"/>
  <c r="S37" i="71" s="1"/>
  <c r="D34" i="71"/>
  <c r="Q33" i="71"/>
  <c r="P33" i="71"/>
  <c r="O33" i="71"/>
  <c r="N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AB28" i="71"/>
  <c r="Q28" i="71"/>
  <c r="P28" i="71"/>
  <c r="AA28" i="71" s="1"/>
  <c r="O28" i="71"/>
  <c r="Y28" i="71" s="1"/>
  <c r="Z28" i="71" s="1"/>
  <c r="N28" i="71"/>
  <c r="X28" i="71"/>
  <c r="Q27" i="71"/>
  <c r="AB27" i="71"/>
  <c r="P27" i="71"/>
  <c r="O27" i="71"/>
  <c r="Y27" i="71" s="1"/>
  <c r="Z27" i="71" s="1"/>
  <c r="N27" i="71"/>
  <c r="Q26" i="71"/>
  <c r="F27" i="71" s="1"/>
  <c r="F28" i="71" s="1"/>
  <c r="F29" i="71" s="1"/>
  <c r="V29" i="71" s="1"/>
  <c r="P26" i="71"/>
  <c r="O26" i="71"/>
  <c r="C27" i="71" s="1"/>
  <c r="N26" i="71"/>
  <c r="D26" i="71"/>
  <c r="Q25" i="71"/>
  <c r="AB25" i="71"/>
  <c r="P25" i="71"/>
  <c r="O25" i="71"/>
  <c r="Y25" i="71" s="1"/>
  <c r="Z25" i="71" s="1"/>
  <c r="N25" i="71"/>
  <c r="Q24" i="71"/>
  <c r="AB24" i="71" s="1"/>
  <c r="P24" i="71"/>
  <c r="AA22" i="71" s="1"/>
  <c r="O24" i="71"/>
  <c r="Y24" i="71"/>
  <c r="Z24" i="71" s="1"/>
  <c r="N24" i="71"/>
  <c r="X22" i="71" s="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AA19" i="71" s="1"/>
  <c r="O20" i="71"/>
  <c r="Y20" i="71"/>
  <c r="Z20" i="71" s="1"/>
  <c r="N20" i="71"/>
  <c r="X18" i="71" s="1"/>
  <c r="Q19" i="71"/>
  <c r="AB19" i="71"/>
  <c r="P19" i="71"/>
  <c r="O19" i="71"/>
  <c r="Y19" i="71" s="1"/>
  <c r="Z19" i="71" s="1"/>
  <c r="N19" i="71"/>
  <c r="Q18" i="71"/>
  <c r="F19" i="71" s="1"/>
  <c r="F20" i="71" s="1"/>
  <c r="F21" i="71" s="1"/>
  <c r="V21" i="71" s="1"/>
  <c r="P18" i="71"/>
  <c r="O18" i="71"/>
  <c r="Y18" i="71" s="1"/>
  <c r="Z18" i="71" s="1"/>
  <c r="N18" i="71"/>
  <c r="D18" i="71"/>
  <c r="O17" i="71"/>
  <c r="N17" i="71"/>
  <c r="B17" i="71" s="1"/>
  <c r="B19" i="71"/>
  <c r="B20" i="71"/>
  <c r="B21" i="71" s="1"/>
  <c r="S21" i="71" s="1"/>
  <c r="E19" i="71"/>
  <c r="E20" i="71" s="1"/>
  <c r="E21" i="71" s="1"/>
  <c r="U21" i="71" s="1"/>
  <c r="AA18" i="71"/>
  <c r="B23" i="71"/>
  <c r="B24" i="71"/>
  <c r="B25" i="71" s="1"/>
  <c r="S25" i="71" s="1"/>
  <c r="B27" i="71"/>
  <c r="B28" i="71" s="1"/>
  <c r="B29" i="71" s="1"/>
  <c r="S29" i="71" s="1"/>
  <c r="X26" i="71"/>
  <c r="E27" i="71"/>
  <c r="E28" i="71"/>
  <c r="E29" i="71" s="1"/>
  <c r="U29" i="71" s="1"/>
  <c r="N57" i="71"/>
  <c r="E23" i="71"/>
  <c r="E24" i="71"/>
  <c r="E25" i="71" s="1"/>
  <c r="U25" i="71" s="1"/>
  <c r="C19" i="71"/>
  <c r="D19" i="71" s="1"/>
  <c r="X19" i="71"/>
  <c r="X20" i="71"/>
  <c r="X21" i="71"/>
  <c r="C23" i="71"/>
  <c r="C24" i="71" s="1"/>
  <c r="Y22" i="71"/>
  <c r="Z22" i="71" s="1"/>
  <c r="AB22" i="71"/>
  <c r="AA23" i="71"/>
  <c r="AA24" i="71"/>
  <c r="X25" i="71"/>
  <c r="AA25" i="71"/>
  <c r="Y26" i="71"/>
  <c r="Z26" i="71" s="1"/>
  <c r="AB26" i="71"/>
  <c r="X27" i="71"/>
  <c r="AA27" i="71"/>
  <c r="C17" i="71"/>
  <c r="C16" i="71" s="1"/>
  <c r="X14" i="71"/>
  <c r="X16" i="71"/>
  <c r="C20" i="71"/>
  <c r="D20" i="71" s="1"/>
  <c r="D23" i="71"/>
  <c r="C40" i="71"/>
  <c r="D40" i="71" s="1"/>
  <c r="D39" i="71"/>
  <c r="P17" i="71"/>
  <c r="AA3" i="71" s="1"/>
  <c r="E48" i="71"/>
  <c r="E49" i="71" s="1"/>
  <c r="U49" i="71" s="1"/>
  <c r="E52" i="71"/>
  <c r="E53" i="71"/>
  <c r="U53" i="71" s="1"/>
  <c r="Q54" i="71"/>
  <c r="U57" i="71"/>
  <c r="E56" i="71"/>
  <c r="E55" i="71" s="1"/>
  <c r="Q17" i="71"/>
  <c r="C44" i="71"/>
  <c r="D44" i="71" s="1"/>
  <c r="D43" i="71"/>
  <c r="C48" i="71"/>
  <c r="D48" i="71" s="1"/>
  <c r="D47" i="71"/>
  <c r="C52" i="71"/>
  <c r="C53" i="71" s="1"/>
  <c r="Q56" i="71"/>
  <c r="T57" i="71"/>
  <c r="O57" i="71"/>
  <c r="D57" i="71"/>
  <c r="C56" i="71"/>
  <c r="O56" i="71" s="1"/>
  <c r="Q57" i="71"/>
  <c r="C60" i="71"/>
  <c r="D60" i="71" s="1"/>
  <c r="E60" i="71"/>
  <c r="E59" i="71"/>
  <c r="C64" i="71"/>
  <c r="C63" i="71" s="1"/>
  <c r="D63" i="71" s="1"/>
  <c r="E64" i="71"/>
  <c r="E63" i="71"/>
  <c r="D65" i="71"/>
  <c r="C68" i="71"/>
  <c r="C67" i="71" s="1"/>
  <c r="D67" i="71" s="1"/>
  <c r="E68" i="71"/>
  <c r="E67" i="71"/>
  <c r="C72" i="71"/>
  <c r="D72" i="71" s="1"/>
  <c r="C76" i="71"/>
  <c r="T17" i="71"/>
  <c r="F17" i="71"/>
  <c r="F16" i="71"/>
  <c r="F15" i="71" s="1"/>
  <c r="AB14" i="71"/>
  <c r="AB16" i="71"/>
  <c r="E17" i="71"/>
  <c r="E16" i="71" s="1"/>
  <c r="E15" i="71" s="1"/>
  <c r="AA14" i="71"/>
  <c r="AA16" i="71"/>
  <c r="D17" i="71"/>
  <c r="U17" i="71" s="1"/>
  <c r="C55" i="71"/>
  <c r="D55" i="71" s="1"/>
  <c r="D56" i="71"/>
  <c r="D52" i="71"/>
  <c r="C71" i="71"/>
  <c r="D71" i="71" s="1"/>
  <c r="D64" i="71"/>
  <c r="D76" i="71"/>
  <c r="C75" i="71"/>
  <c r="D75" i="71" s="1"/>
  <c r="D68" i="71"/>
  <c r="C59" i="71"/>
  <c r="D59" i="71" s="1"/>
  <c r="C49" i="71"/>
  <c r="T49" i="71" s="1"/>
  <c r="C45" i="71"/>
  <c r="T45" i="71" s="1"/>
  <c r="P56" i="71"/>
  <c r="C41" i="71"/>
  <c r="T41" i="71" s="1"/>
  <c r="C21" i="71"/>
  <c r="T21" i="71" s="1"/>
  <c r="O55" i="71"/>
  <c r="O54" i="71"/>
  <c r="D21" i="71"/>
  <c r="D41" i="71"/>
  <c r="D45" i="71"/>
  <c r="D49"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D83" i="21"/>
  <c r="F21" i="21"/>
  <c r="AA21" i="21" s="1"/>
  <c r="D81" i="21"/>
  <c r="G20" i="20"/>
  <c r="B86" i="43"/>
  <c r="C22" i="20"/>
  <c r="B75" i="43"/>
  <c r="B55" i="43"/>
  <c r="B66" i="43"/>
  <c r="C25" i="40"/>
  <c r="C29" i="39"/>
  <c r="S29" i="39"/>
  <c r="S18" i="36"/>
  <c r="U18" i="36"/>
  <c r="H25" i="40"/>
  <c r="J25" i="40"/>
  <c r="H29" i="39"/>
  <c r="J29" i="39"/>
  <c r="J18" i="36"/>
  <c r="H18" i="35"/>
  <c r="S18" i="35"/>
  <c r="J18" i="35"/>
  <c r="AC18" i="35" s="1"/>
  <c r="H21" i="37"/>
  <c r="AB21" i="37" s="1"/>
  <c r="F21" i="37"/>
  <c r="F84" i="34"/>
  <c r="G84" i="34" s="1"/>
  <c r="H21" i="34"/>
  <c r="F83" i="33"/>
  <c r="G83" i="33" s="1"/>
  <c r="H21" i="33"/>
  <c r="F21" i="33"/>
  <c r="AA21" i="33" s="1"/>
  <c r="E83" i="21"/>
  <c r="H1" i="69"/>
  <c r="AC25" i="40"/>
  <c r="W25" i="40"/>
  <c r="AB25" i="40"/>
  <c r="U25" i="40"/>
  <c r="AB29" i="39"/>
  <c r="U29" i="39"/>
  <c r="AC29" i="39"/>
  <c r="W29" i="39"/>
  <c r="AC18" i="36"/>
  <c r="W18" i="36"/>
  <c r="U21" i="37"/>
  <c r="AA21" i="37"/>
  <c r="S21" i="37"/>
  <c r="AB21" i="34"/>
  <c r="U21" i="34"/>
  <c r="U21" i="33"/>
  <c r="AB21" i="33"/>
  <c r="S21" i="33"/>
  <c r="AB18" i="35"/>
  <c r="U18" i="35"/>
  <c r="W18" i="35"/>
  <c r="J21" i="37"/>
  <c r="AC21" i="37" s="1"/>
  <c r="J21" i="34"/>
  <c r="AC21" i="34" s="1"/>
  <c r="J21" i="33"/>
  <c r="AC21" i="33" s="1"/>
  <c r="F83" i="21"/>
  <c r="H21" i="21"/>
  <c r="F38" i="69"/>
  <c r="E37" i="69"/>
  <c r="F36" i="69"/>
  <c r="F35" i="69"/>
  <c r="F21" i="69"/>
  <c r="C21" i="69"/>
  <c r="F20" i="69"/>
  <c r="E10" i="69"/>
  <c r="E9" i="69"/>
  <c r="C7" i="69"/>
  <c r="W21" i="34"/>
  <c r="G83" i="21"/>
  <c r="J21" i="21"/>
  <c r="W21" i="21" s="1"/>
  <c r="C40" i="69"/>
  <c r="F38" i="68"/>
  <c r="E37" i="68"/>
  <c r="F36" i="68"/>
  <c r="F35" i="68"/>
  <c r="F21" i="68"/>
  <c r="C21" i="68"/>
  <c r="F20" i="68"/>
  <c r="E10" i="68"/>
  <c r="E9" i="68"/>
  <c r="C7" i="68"/>
  <c r="C5" i="68" s="1"/>
  <c r="C40" i="68"/>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D114" i="34"/>
  <c r="F38" i="34"/>
  <c r="S38" i="34"/>
  <c r="D112" i="34"/>
  <c r="E112" i="34"/>
  <c r="F112" i="34" s="1"/>
  <c r="G112" i="34"/>
  <c r="H112" i="34" s="1"/>
  <c r="I112" i="34" s="1"/>
  <c r="J112" i="34" s="1"/>
  <c r="K112" i="34"/>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D81" i="39"/>
  <c r="E81" i="39"/>
  <c r="F81" i="39" s="1"/>
  <c r="G81" i="39" s="1"/>
  <c r="H81" i="39" s="1"/>
  <c r="I81" i="39"/>
  <c r="J81" i="39" s="1"/>
  <c r="K81" i="39" s="1"/>
  <c r="L81" i="39" s="1"/>
  <c r="M81" i="39" s="1"/>
  <c r="D76" i="40"/>
  <c r="E76" i="40"/>
  <c r="F76" i="40" s="1"/>
  <c r="G76" i="40" s="1"/>
  <c r="H76" i="40" s="1"/>
  <c r="I76" i="40"/>
  <c r="J76" i="40" s="1"/>
  <c r="K76" i="40" s="1"/>
  <c r="L76" i="40" s="1"/>
  <c r="M76" i="40" s="1"/>
  <c r="B120" i="40"/>
  <c r="B118" i="40"/>
  <c r="B116" i="40"/>
  <c r="D115" i="40"/>
  <c r="E115" i="40"/>
  <c r="F115" i="40" s="1"/>
  <c r="G115" i="40" s="1"/>
  <c r="H115" i="40" s="1"/>
  <c r="I115" i="40"/>
  <c r="J115" i="40" s="1"/>
  <c r="K115" i="40" s="1"/>
  <c r="L115" i="40" s="1"/>
  <c r="M115" i="40" s="1"/>
  <c r="D113" i="40"/>
  <c r="E113" i="40"/>
  <c r="F113" i="40" s="1"/>
  <c r="G113" i="40" s="1"/>
  <c r="H113" i="40" s="1"/>
  <c r="I113" i="40"/>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F12" i="36" s="1"/>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J29" i="34" s="1"/>
  <c r="B75" i="34"/>
  <c r="B73" i="34"/>
  <c r="B71" i="34"/>
  <c r="B130" i="33"/>
  <c r="B128" i="33"/>
  <c r="B126" i="33"/>
  <c r="B98" i="33"/>
  <c r="B96" i="33"/>
  <c r="J30" i="33" s="1"/>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67" i="43" s="1"/>
  <c r="B77" i="43"/>
  <c r="C18" i="20"/>
  <c r="B71" i="43"/>
  <c r="C17" i="20"/>
  <c r="B59" i="43"/>
  <c r="C16" i="20"/>
  <c r="C17" i="39"/>
  <c r="C15" i="20"/>
  <c r="B70" i="43" s="1"/>
  <c r="E54" i="21"/>
  <c r="F54" i="21" s="1"/>
  <c r="I54" i="21"/>
  <c r="J54" i="21" s="1"/>
  <c r="G54" i="21"/>
  <c r="H54" i="21" s="1"/>
  <c r="D125" i="21"/>
  <c r="E125" i="21" s="1"/>
  <c r="F125" i="21" s="1"/>
  <c r="G125" i="21" s="1"/>
  <c r="D123" i="2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c r="H66" i="21" s="1"/>
  <c r="I66" i="21" s="1"/>
  <c r="D111" i="21"/>
  <c r="E111" i="21"/>
  <c r="F111" i="21"/>
  <c r="C111" i="21"/>
  <c r="D79" i="21"/>
  <c r="E79" i="21"/>
  <c r="F79" i="21" s="1"/>
  <c r="G79" i="21"/>
  <c r="D85" i="21"/>
  <c r="F19" i="21"/>
  <c r="AA19" i="21" s="1"/>
  <c r="E81" i="21"/>
  <c r="H19" i="21" s="1"/>
  <c r="F81" i="21"/>
  <c r="G81" i="21" s="1"/>
  <c r="D77" i="21"/>
  <c r="E77" i="21" s="1"/>
  <c r="B130" i="21"/>
  <c r="J46" i="21" s="1"/>
  <c r="W46" i="21" s="1"/>
  <c r="B128" i="21"/>
  <c r="J45" i="21"/>
  <c r="W45" i="21" s="1"/>
  <c r="B126" i="21"/>
  <c r="B98" i="21"/>
  <c r="B96" i="21"/>
  <c r="B94" i="21"/>
  <c r="J29" i="21" s="1"/>
  <c r="B92" i="21"/>
  <c r="B90" i="21"/>
  <c r="J27" i="2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S41" i="21"/>
  <c r="F45" i="39"/>
  <c r="S45" i="39" s="1"/>
  <c r="J45" i="39"/>
  <c r="J44" i="39"/>
  <c r="AC44" i="39" s="1"/>
  <c r="F36" i="39"/>
  <c r="S36" i="39" s="1"/>
  <c r="H36" i="39"/>
  <c r="AB36" i="39" s="1"/>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AC12" i="34"/>
  <c r="AA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c r="I101" i="37" s="1"/>
  <c r="J101" i="37" s="1"/>
  <c r="K101" i="37" s="1"/>
  <c r="L101" i="37" s="1"/>
  <c r="M101" i="37" s="1"/>
  <c r="J34" i="37"/>
  <c r="W34" i="37" s="1"/>
  <c r="S10" i="37"/>
  <c r="AB34" i="37"/>
  <c r="J33" i="37"/>
  <c r="AC33" i="37"/>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F46" i="21"/>
  <c r="AA46" i="21" s="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30" i="33"/>
  <c r="AB30" i="33" s="1"/>
  <c r="F30" i="33"/>
  <c r="H44" i="33"/>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c r="W44" i="39"/>
  <c r="U36" i="39"/>
  <c r="S35" i="39"/>
  <c r="G540" i="3"/>
  <c r="G535" i="3"/>
  <c r="G531" i="3"/>
  <c r="G527" i="3"/>
  <c r="G523" i="3"/>
  <c r="G518" i="3"/>
  <c r="G514" i="3"/>
  <c r="G510" i="3"/>
  <c r="G508" i="3"/>
  <c r="G504" i="3"/>
  <c r="G500" i="3"/>
  <c r="G496" i="3"/>
  <c r="G584" i="3"/>
  <c r="G580" i="3"/>
  <c r="G572" i="3"/>
  <c r="G568" i="3"/>
  <c r="G564" i="3"/>
  <c r="G554" i="3"/>
  <c r="G550" i="3"/>
  <c r="BL584" i="3"/>
  <c r="BL580" i="3"/>
  <c r="BL576" i="3"/>
  <c r="BL568" i="3"/>
  <c r="BL564" i="3"/>
  <c r="BL560" i="3"/>
  <c r="BL554" i="3"/>
  <c r="BL546" i="3"/>
  <c r="AZ546" i="3" s="1"/>
  <c r="BL538" i="3"/>
  <c r="BL530" i="3"/>
  <c r="BL522" i="3"/>
  <c r="BL516" i="3"/>
  <c r="BL512" i="3"/>
  <c r="BL506" i="3"/>
  <c r="BL502" i="3"/>
  <c r="BL498" i="3"/>
  <c r="BL494" i="3"/>
  <c r="BL582" i="3"/>
  <c r="BL578" i="3"/>
  <c r="BL570" i="3"/>
  <c r="BL566" i="3"/>
  <c r="BL562" i="3"/>
  <c r="BL552" i="3"/>
  <c r="BL540" i="3"/>
  <c r="G533" i="3"/>
  <c r="G529" i="3"/>
  <c r="G525" i="3"/>
  <c r="BL524" i="3"/>
  <c r="BL518" i="3"/>
  <c r="BL514" i="3"/>
  <c r="BL510" i="3"/>
  <c r="BL504" i="3"/>
  <c r="BL500" i="3"/>
  <c r="BL496" i="3"/>
  <c r="G493" i="3"/>
  <c r="BA584" i="3"/>
  <c r="BA582" i="3"/>
  <c r="AZ582" i="3" s="1"/>
  <c r="BA580" i="3"/>
  <c r="AZ580" i="3" s="1"/>
  <c r="BA578" i="3"/>
  <c r="AZ578" i="3" s="1"/>
  <c r="BA576" i="3"/>
  <c r="AZ576" i="3" s="1"/>
  <c r="BA574" i="3"/>
  <c r="BA572" i="3"/>
  <c r="BA570" i="3"/>
  <c r="BA568" i="3"/>
  <c r="AZ568" i="3" s="1"/>
  <c r="BA566" i="3"/>
  <c r="AZ566" i="3" s="1"/>
  <c r="BA564" i="3"/>
  <c r="AZ564" i="3" s="1"/>
  <c r="BA562" i="3"/>
  <c r="BA560" i="3"/>
  <c r="AZ560" i="3" s="1"/>
  <c r="BA554" i="3"/>
  <c r="AZ554" i="3"/>
  <c r="BA552" i="3"/>
  <c r="AZ552" i="3"/>
  <c r="BA546" i="3"/>
  <c r="BA528" i="3"/>
  <c r="BA526" i="3"/>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BA579" i="3"/>
  <c r="BA575" i="3"/>
  <c r="BA571" i="3"/>
  <c r="BA569" i="3"/>
  <c r="BA567" i="3"/>
  <c r="BA565" i="3"/>
  <c r="BA563" i="3"/>
  <c r="BA559" i="3"/>
  <c r="AZ559" i="3" s="1"/>
  <c r="BA555" i="3"/>
  <c r="BA553" i="3"/>
  <c r="AZ553" i="3" s="1"/>
  <c r="BA549" i="3"/>
  <c r="BA547" i="3"/>
  <c r="AZ547" i="3" s="1"/>
  <c r="BA543" i="3"/>
  <c r="BA539" i="3"/>
  <c r="AZ539" i="3" s="1"/>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AZ583" i="3" s="1"/>
  <c r="BQ581" i="3"/>
  <c r="BL581" i="3" s="1"/>
  <c r="BQ579" i="3"/>
  <c r="BL579" i="3" s="1"/>
  <c r="AZ579" i="3" s="1"/>
  <c r="BQ577" i="3"/>
  <c r="BL577" i="3"/>
  <c r="BQ575" i="3"/>
  <c r="BL575" i="3" s="1"/>
  <c r="AZ575" i="3" s="1"/>
  <c r="BQ573" i="3"/>
  <c r="BL573" i="3"/>
  <c r="BQ571" i="3"/>
  <c r="BL571" i="3" s="1"/>
  <c r="AZ571" i="3" s="1"/>
  <c r="BQ569" i="3"/>
  <c r="BL569" i="3"/>
  <c r="AZ569" i="3" s="1"/>
  <c r="BQ567" i="3"/>
  <c r="BL567" i="3" s="1"/>
  <c r="AZ567" i="3" s="1"/>
  <c r="BQ565" i="3"/>
  <c r="BL565" i="3"/>
  <c r="AZ565" i="3" s="1"/>
  <c r="BQ563" i="3"/>
  <c r="BL563" i="3" s="1"/>
  <c r="BQ561" i="3"/>
  <c r="BL561" i="3" s="1"/>
  <c r="BQ559" i="3"/>
  <c r="BL559" i="3"/>
  <c r="G559" i="3"/>
  <c r="G555" i="3"/>
  <c r="G553" i="3"/>
  <c r="G549" i="3"/>
  <c r="G547" i="3"/>
  <c r="G545" i="3"/>
  <c r="G543" i="3"/>
  <c r="G541" i="3"/>
  <c r="G539" i="3"/>
  <c r="G537" i="3"/>
  <c r="BQ555" i="3"/>
  <c r="BL555" i="3" s="1"/>
  <c r="AZ555" i="3" s="1"/>
  <c r="BQ553" i="3"/>
  <c r="BL553" i="3"/>
  <c r="BQ551" i="3"/>
  <c r="BL551" i="3" s="1"/>
  <c r="BQ549" i="3"/>
  <c r="BL549" i="3" s="1"/>
  <c r="AZ549" i="3" s="1"/>
  <c r="BQ547" i="3"/>
  <c r="BL547" i="3"/>
  <c r="BQ545" i="3"/>
  <c r="BL545" i="3" s="1"/>
  <c r="BQ543" i="3"/>
  <c r="BL543" i="3"/>
  <c r="AZ543" i="3" s="1"/>
  <c r="BQ541" i="3"/>
  <c r="BL541" i="3" s="1"/>
  <c r="BQ539" i="3"/>
  <c r="BL539" i="3"/>
  <c r="BQ537" i="3"/>
  <c r="BL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AZ520" i="3" s="1"/>
  <c r="G519" i="3"/>
  <c r="G517" i="3"/>
  <c r="G515" i="3"/>
  <c r="G513" i="3"/>
  <c r="G511" i="3"/>
  <c r="BQ519" i="3"/>
  <c r="BL519" i="3"/>
  <c r="BQ517" i="3"/>
  <c r="BL517" i="3" s="1"/>
  <c r="AZ517" i="3" s="1"/>
  <c r="BQ515" i="3"/>
  <c r="BL515" i="3"/>
  <c r="BQ513" i="3"/>
  <c r="BL513" i="3" s="1"/>
  <c r="AZ513" i="3" s="1"/>
  <c r="BQ511" i="3"/>
  <c r="BL511" i="3"/>
  <c r="BA509" i="3"/>
  <c r="AC509" i="3"/>
  <c r="BQ509" i="3"/>
  <c r="BL509" i="3" s="1"/>
  <c r="BL508" i="3"/>
  <c r="AZ508" i="3" s="1"/>
  <c r="G507" i="3"/>
  <c r="G505" i="3"/>
  <c r="G503" i="3"/>
  <c r="G501" i="3"/>
  <c r="G499" i="3"/>
  <c r="G497" i="3"/>
  <c r="G495" i="3"/>
  <c r="BQ507" i="3"/>
  <c r="BL507" i="3"/>
  <c r="AZ507" i="3" s="1"/>
  <c r="BQ505" i="3"/>
  <c r="BL505" i="3" s="1"/>
  <c r="AZ505" i="3" s="1"/>
  <c r="BQ503" i="3"/>
  <c r="BL503" i="3"/>
  <c r="AZ503" i="3" s="1"/>
  <c r="BQ501" i="3"/>
  <c r="BL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S26" i="31"/>
  <c r="U14" i="40"/>
  <c r="AC32" i="36"/>
  <c r="AC33" i="36"/>
  <c r="AA12" i="35"/>
  <c r="W14" i="37"/>
  <c r="AB28" i="37"/>
  <c r="U33" i="37"/>
  <c r="W26" i="37"/>
  <c r="AC8" i="37"/>
  <c r="U26" i="37"/>
  <c r="W47" i="34"/>
  <c r="W37" i="34"/>
  <c r="AB37" i="34"/>
  <c r="AC36" i="34"/>
  <c r="AA13" i="33"/>
  <c r="AC31" i="33"/>
  <c r="AC45" i="33"/>
  <c r="U11" i="33"/>
  <c r="U19" i="21"/>
  <c r="AC46"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U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A12" i="52"/>
  <c r="B56" i="72" s="1"/>
  <c r="G4" i="4"/>
  <c r="I4" i="4"/>
  <c r="K5" i="4"/>
  <c r="B47" i="48" s="1"/>
  <c r="A2" i="9"/>
  <c r="F59" i="43"/>
  <c r="H62" i="43" s="1"/>
  <c r="AZ20" i="3"/>
  <c r="AZ24" i="3"/>
  <c r="AZ28" i="3"/>
  <c r="AZ32" i="3"/>
  <c r="AZ494" i="3"/>
  <c r="AZ502"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E15" i="6" s="1"/>
  <c r="AZ317" i="3"/>
  <c r="AZ333" i="3"/>
  <c r="BQ5" i="3"/>
  <c r="F28" i="6" s="1"/>
  <c r="AZ496" i="3"/>
  <c r="G548" i="3"/>
  <c r="G538" i="3"/>
  <c r="G520" i="3"/>
  <c r="G502" i="3"/>
  <c r="BS5" i="3"/>
  <c r="BP5" i="3"/>
  <c r="E11" i="6" s="1"/>
  <c r="E61" i="39" s="1"/>
  <c r="BN5" i="3"/>
  <c r="AZ343" i="3"/>
  <c r="BK5" i="3"/>
  <c r="BI5" i="3"/>
  <c r="BG5" i="3"/>
  <c r="BE5" i="3"/>
  <c r="BC5" i="3"/>
  <c r="G17" i="3"/>
  <c r="BA17" i="3"/>
  <c r="BT5" i="3"/>
  <c r="AZ350" i="3"/>
  <c r="AZ352" i="3"/>
  <c r="AZ360" i="3"/>
  <c r="AZ368" i="3"/>
  <c r="BA15" i="3"/>
  <c r="AZ15" i="3"/>
  <c r="BB5" i="3"/>
  <c r="E8" i="6" s="1"/>
  <c r="BR5" i="3"/>
  <c r="G28" i="6" s="1"/>
  <c r="AZ380" i="3"/>
  <c r="AZ388" i="3"/>
  <c r="AZ396" i="3"/>
  <c r="AZ499" i="3"/>
  <c r="G509" i="3"/>
  <c r="BL493" i="3"/>
  <c r="AZ491" i="3"/>
  <c r="AZ390" i="3"/>
  <c r="AZ493" i="3"/>
  <c r="U36" i="40"/>
  <c r="F36" i="43"/>
  <c r="F81" i="43"/>
  <c r="H83" i="43"/>
  <c r="H113" i="43"/>
  <c r="F48" i="43"/>
  <c r="F70" i="43"/>
  <c r="M11" i="43"/>
  <c r="D17" i="43"/>
  <c r="F39" i="43"/>
  <c r="I17" i="43"/>
  <c r="F35" i="43"/>
  <c r="J17" i="43"/>
  <c r="F6" i="1"/>
  <c r="G6" i="1" s="1"/>
  <c r="U17" i="39"/>
  <c r="S14" i="35"/>
  <c r="AC35" i="21"/>
  <c r="G8" i="1"/>
  <c r="G9" i="1"/>
  <c r="G10" i="1"/>
  <c r="F48" i="9"/>
  <c r="O52" i="9"/>
  <c r="AZ563" i="3"/>
  <c r="W37" i="37"/>
  <c r="W44" i="34"/>
  <c r="AC44" i="34"/>
  <c r="U13" i="37"/>
  <c r="AA12" i="40"/>
  <c r="J37" i="33"/>
  <c r="W37" i="33"/>
  <c r="AC17" i="34"/>
  <c r="F106" i="33"/>
  <c r="G106" i="33" s="1"/>
  <c r="H106" i="33"/>
  <c r="I106" i="33" s="1"/>
  <c r="J106" i="33" s="1"/>
  <c r="K106" i="33" s="1"/>
  <c r="L106" i="33" s="1"/>
  <c r="M106" i="33" s="1"/>
  <c r="J34" i="33"/>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J27" i="40"/>
  <c r="F27" i="40"/>
  <c r="J30" i="40"/>
  <c r="AC30" i="40" s="1"/>
  <c r="F30" i="40"/>
  <c r="AA30" i="40" s="1"/>
  <c r="AC21" i="40"/>
  <c r="S31" i="39"/>
  <c r="S11" i="40"/>
  <c r="E98" i="40"/>
  <c r="F98" i="40"/>
  <c r="G98" i="40" s="1"/>
  <c r="H98" i="40" s="1"/>
  <c r="I98" i="40" s="1"/>
  <c r="J98" i="40" s="1"/>
  <c r="K98" i="40" s="1"/>
  <c r="L98" i="40" s="1"/>
  <c r="M98" i="40" s="1"/>
  <c r="F10" i="33"/>
  <c r="F34" i="33"/>
  <c r="S34" i="33" s="1"/>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H27" i="36"/>
  <c r="F27" i="36"/>
  <c r="AA27" i="36" s="1"/>
  <c r="H33" i="34"/>
  <c r="U33" i="34" s="1"/>
  <c r="F32" i="37"/>
  <c r="AA32" i="37" s="1"/>
  <c r="G96" i="37"/>
  <c r="H96" i="37" s="1"/>
  <c r="I96" i="37" s="1"/>
  <c r="J96" i="37" s="1"/>
  <c r="K96" i="37" s="1"/>
  <c r="L96" i="37" s="1"/>
  <c r="M96" i="37" s="1"/>
  <c r="F20" i="36"/>
  <c r="AA20" i="36"/>
  <c r="J33" i="34"/>
  <c r="AC33" i="34"/>
  <c r="H23" i="39"/>
  <c r="U23" i="39"/>
  <c r="D48" i="9"/>
  <c r="M52" i="9"/>
  <c r="H86" i="43"/>
  <c r="H82" i="43"/>
  <c r="H87" i="43"/>
  <c r="K9" i="1"/>
  <c r="M9" i="1" s="1"/>
  <c r="AE9" i="1"/>
  <c r="D93" i="9"/>
  <c r="K6" i="1"/>
  <c r="G29" i="6"/>
  <c r="E29" i="6" s="1"/>
  <c r="K15" i="1" s="1"/>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A47" i="34"/>
  <c r="S19" i="39"/>
  <c r="F12" i="33"/>
  <c r="H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s="1"/>
  <c r="D1" i="66"/>
  <c r="E10" i="66" s="1"/>
  <c r="AZ80" i="3"/>
  <c r="AZ84" i="3"/>
  <c r="AZ88" i="3"/>
  <c r="AZ107" i="3"/>
  <c r="AZ111" i="3"/>
  <c r="K12" i="1"/>
  <c r="M12" i="1" s="1"/>
  <c r="O12" i="1" s="1"/>
  <c r="P12" i="1" s="1"/>
  <c r="S13" i="1"/>
  <c r="R13" i="1"/>
  <c r="S11" i="1"/>
  <c r="AQ11" i="1" s="1"/>
  <c r="R11" i="1"/>
  <c r="S9" i="1"/>
  <c r="R9" i="1"/>
  <c r="J51" i="67"/>
  <c r="C42" i="1"/>
  <c r="H100" i="43"/>
  <c r="C30" i="66"/>
  <c r="E26" i="66"/>
  <c r="AA34" i="33"/>
  <c r="B41" i="1"/>
  <c r="F53" i="9"/>
  <c r="J100" i="43"/>
  <c r="AB37" i="40"/>
  <c r="S35" i="40"/>
  <c r="U35" i="40"/>
  <c r="AC36" i="40"/>
  <c r="AA32" i="40"/>
  <c r="S17" i="40"/>
  <c r="S23" i="40"/>
  <c r="AC17" i="40"/>
  <c r="AC15" i="40"/>
  <c r="S30" i="40"/>
  <c r="S28" i="40"/>
  <c r="U21"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AA12" i="39"/>
  <c r="S9" i="39"/>
  <c r="U14" i="39"/>
  <c r="AC13" i="39"/>
  <c r="S23" i="36"/>
  <c r="U13" i="36"/>
  <c r="AC27" i="36"/>
  <c r="U26" i="36"/>
  <c r="S33" i="36"/>
  <c r="S27" i="36"/>
  <c r="AA34" i="36"/>
  <c r="S29" i="36"/>
  <c r="AC26"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AB40" i="37"/>
  <c r="S25" i="37"/>
  <c r="W27" i="37"/>
  <c r="S26" i="37"/>
  <c r="AC9" i="37"/>
  <c r="AC29" i="37"/>
  <c r="U29" i="37"/>
  <c r="S32" i="37"/>
  <c r="W30" i="37"/>
  <c r="AA38" i="37"/>
  <c r="U32" i="37"/>
  <c r="W38" i="37"/>
  <c r="AC35" i="37"/>
  <c r="S30" i="37"/>
  <c r="S37" i="37"/>
  <c r="J17" i="37"/>
  <c r="W17" i="37" s="1"/>
  <c r="G73" i="37"/>
  <c r="F17" i="37"/>
  <c r="AA17" i="37"/>
  <c r="F75" i="37"/>
  <c r="G75" i="37" s="1"/>
  <c r="F19" i="37"/>
  <c r="F79" i="37"/>
  <c r="F23" i="37"/>
  <c r="S23" i="37"/>
  <c r="U15" i="37"/>
  <c r="AC13" i="37"/>
  <c r="U9" i="37"/>
  <c r="AA13" i="37"/>
  <c r="AA12" i="37"/>
  <c r="AA9" i="37"/>
  <c r="H10" i="37"/>
  <c r="AB10" i="37" s="1"/>
  <c r="H60" i="37"/>
  <c r="F63" i="37"/>
  <c r="G63" i="37" s="1"/>
  <c r="H63" i="37" s="1"/>
  <c r="F11" i="37"/>
  <c r="S11" i="37"/>
  <c r="S27" i="34"/>
  <c r="W25" i="34"/>
  <c r="AB8" i="34"/>
  <c r="AA33" i="34"/>
  <c r="U43" i="34"/>
  <c r="W41" i="34"/>
  <c r="AC42" i="34"/>
  <c r="AB35" i="34"/>
  <c r="U39" i="34"/>
  <c r="S43" i="34"/>
  <c r="AA45" i="34"/>
  <c r="W34" i="34"/>
  <c r="AA25" i="34"/>
  <c r="S17" i="34"/>
  <c r="AA29" i="34"/>
  <c r="U27" i="34"/>
  <c r="S23" i="34"/>
  <c r="U15" i="34"/>
  <c r="S10"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S43" i="33"/>
  <c r="F91" i="33"/>
  <c r="H27" i="33"/>
  <c r="U27" i="33" s="1"/>
  <c r="F87" i="33"/>
  <c r="H25" i="33"/>
  <c r="U25" i="33" s="1"/>
  <c r="F25" i="33"/>
  <c r="J23" i="33"/>
  <c r="AC23" i="33" s="1"/>
  <c r="F85" i="33"/>
  <c r="H23" i="33"/>
  <c r="AB23" i="33" s="1"/>
  <c r="F81" i="33"/>
  <c r="F19" i="33"/>
  <c r="W19" i="33"/>
  <c r="J17" i="33"/>
  <c r="F79" i="33"/>
  <c r="S15" i="33"/>
  <c r="W15" i="33"/>
  <c r="U9" i="33"/>
  <c r="I66" i="33"/>
  <c r="J10" i="33"/>
  <c r="H10" i="33"/>
  <c r="U10" i="33" s="1"/>
  <c r="AC11" i="33"/>
  <c r="W43" i="21"/>
  <c r="W36" i="21"/>
  <c r="W41" i="21"/>
  <c r="AB39" i="21"/>
  <c r="AA43" i="21"/>
  <c r="S39" i="21"/>
  <c r="AA38" i="21"/>
  <c r="AA36" i="21"/>
  <c r="AC40" i="21"/>
  <c r="J15" i="21"/>
  <c r="W15" i="21" s="1"/>
  <c r="F77" i="21"/>
  <c r="G77" i="21"/>
  <c r="E85" i="21"/>
  <c r="AC11" i="21"/>
  <c r="AA14" i="21"/>
  <c r="AB8" i="21"/>
  <c r="S8" i="21"/>
  <c r="M3" i="43"/>
  <c r="M1" i="43"/>
  <c r="N8" i="43"/>
  <c r="D120" i="9"/>
  <c r="D6" i="52" s="1"/>
  <c r="C18" i="9"/>
  <c r="D18" i="9" s="1"/>
  <c r="F34" i="67"/>
  <c r="F62" i="67" s="1"/>
  <c r="M20" i="67"/>
  <c r="F34" i="15"/>
  <c r="F62" i="15"/>
  <c r="G13" i="3"/>
  <c r="BA13" i="3"/>
  <c r="BL17" i="3"/>
  <c r="AZ17" i="3" s="1"/>
  <c r="BL13" i="3"/>
  <c r="G30" i="6"/>
  <c r="G31" i="6" s="1"/>
  <c r="J56" i="9"/>
  <c r="J57" i="9" s="1"/>
  <c r="J59" i="9" s="1"/>
  <c r="J61" i="9" s="1"/>
  <c r="A24" i="51"/>
  <c r="B18" i="72" s="1"/>
  <c r="U29" i="34"/>
  <c r="E5" i="6"/>
  <c r="D9" i="11" s="1"/>
  <c r="C9" i="11" s="1"/>
  <c r="E32" i="6"/>
  <c r="G1" i="68"/>
  <c r="K1" i="12"/>
  <c r="F30" i="6"/>
  <c r="AR12"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1" i="43"/>
  <c r="C17" i="43"/>
  <c r="F33" i="43"/>
  <c r="K17" i="43"/>
  <c r="F34" i="43"/>
  <c r="N6" i="43"/>
  <c r="C6" i="43"/>
  <c r="N3" i="43"/>
  <c r="F38" i="43"/>
  <c r="F37" i="43"/>
  <c r="M9" i="43"/>
  <c r="N5" i="43"/>
  <c r="M12" i="43"/>
  <c r="B19" i="53"/>
  <c r="B37" i="72"/>
  <c r="C7" i="39"/>
  <c r="C68" i="39"/>
  <c r="C7" i="35"/>
  <c r="C7" i="33"/>
  <c r="C58" i="33" s="1"/>
  <c r="D58" i="33" s="1"/>
  <c r="E58" i="33" s="1"/>
  <c r="F58" i="33" s="1"/>
  <c r="G58" i="33" s="1"/>
  <c r="H58" i="33" s="1"/>
  <c r="I58" i="33" s="1"/>
  <c r="J58" i="33" s="1"/>
  <c r="K58" i="33" s="1"/>
  <c r="L58" i="33" s="1"/>
  <c r="M58" i="33" s="1"/>
  <c r="N58" i="33" s="1"/>
  <c r="O58" i="33" s="1"/>
  <c r="C7" i="21"/>
  <c r="C7" i="40"/>
  <c r="C63" i="40" s="1"/>
  <c r="C65" i="40" s="1"/>
  <c r="M47" i="9"/>
  <c r="G19" i="43"/>
  <c r="O19" i="43" s="1"/>
  <c r="T35" i="4"/>
  <c r="A19" i="51" s="1"/>
  <c r="B14" i="72" s="1"/>
  <c r="C46" i="36"/>
  <c r="C59" i="34"/>
  <c r="D59" i="34" s="1"/>
  <c r="E59" i="34" s="1"/>
  <c r="C52" i="37"/>
  <c r="A4" i="51"/>
  <c r="B6" i="72" s="1"/>
  <c r="C48" i="35"/>
  <c r="D48" i="35" s="1"/>
  <c r="C4" i="12"/>
  <c r="H65" i="43"/>
  <c r="H63" i="43"/>
  <c r="H56" i="43"/>
  <c r="L20" i="6"/>
  <c r="B6" i="1"/>
  <c r="E6" i="1" s="1"/>
  <c r="S8" i="1"/>
  <c r="K11" i="1"/>
  <c r="M11" i="1" s="1"/>
  <c r="AP6" i="1"/>
  <c r="B9" i="1"/>
  <c r="E9" i="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U28" i="21"/>
  <c r="S45" i="21"/>
  <c r="F33" i="21"/>
  <c r="S33" i="21" s="1"/>
  <c r="J33" i="21"/>
  <c r="W33" i="21" s="1"/>
  <c r="H33" i="21"/>
  <c r="AB33" i="21" s="1"/>
  <c r="AA26" i="21"/>
  <c r="AB14" i="21"/>
  <c r="AB46" i="21"/>
  <c r="U40" i="21"/>
  <c r="U13" i="21"/>
  <c r="AB13" i="21"/>
  <c r="W8" i="21"/>
  <c r="S35" i="21"/>
  <c r="H15" i="21"/>
  <c r="U15" i="21" s="1"/>
  <c r="J17" i="21"/>
  <c r="AC17" i="21" s="1"/>
  <c r="AC19" i="21"/>
  <c r="W39" i="21"/>
  <c r="AC14" i="21"/>
  <c r="W30" i="21"/>
  <c r="S46" i="21"/>
  <c r="H45" i="21"/>
  <c r="U45" i="21" s="1"/>
  <c r="F29" i="21"/>
  <c r="S29" i="21"/>
  <c r="F13" i="21"/>
  <c r="AA13" i="21" s="1"/>
  <c r="AC38" i="21"/>
  <c r="H32" i="21"/>
  <c r="AB32" i="21" s="1"/>
  <c r="H9" i="21"/>
  <c r="J9" i="21"/>
  <c r="W9" i="21" s="1"/>
  <c r="J32" i="21"/>
  <c r="W32" i="21" s="1"/>
  <c r="F32" i="21"/>
  <c r="AA32" i="21" s="1"/>
  <c r="U17" i="21"/>
  <c r="S19" i="21"/>
  <c r="S9" i="21"/>
  <c r="AA9" i="21"/>
  <c r="K141" i="21"/>
  <c r="K144" i="21"/>
  <c r="K143" i="21"/>
  <c r="U27" i="21"/>
  <c r="AB25" i="21"/>
  <c r="AA30" i="21"/>
  <c r="W13" i="21"/>
  <c r="AC45" i="21"/>
  <c r="F10" i="21"/>
  <c r="K145" i="21"/>
  <c r="W25" i="21"/>
  <c r="AA29" i="21"/>
  <c r="S27" i="21"/>
  <c r="S17" i="21"/>
  <c r="AA15" i="21"/>
  <c r="AC27" i="21"/>
  <c r="AC26" i="21"/>
  <c r="AB29" i="21"/>
  <c r="S28" i="21"/>
  <c r="AC34" i="21"/>
  <c r="W10" i="21"/>
  <c r="AB36" i="21"/>
  <c r="W30" i="40"/>
  <c r="C19" i="39"/>
  <c r="C15" i="40"/>
  <c r="C17" i="40"/>
  <c r="C23" i="40"/>
  <c r="C21" i="40"/>
  <c r="U30" i="40"/>
  <c r="B54" i="43"/>
  <c r="B65" i="43"/>
  <c r="B49" i="43"/>
  <c r="B52" i="43"/>
  <c r="B60" i="43"/>
  <c r="B63" i="43"/>
  <c r="D23" i="15"/>
  <c r="D22" i="15"/>
  <c r="F30" i="68"/>
  <c r="F30" i="11"/>
  <c r="C48" i="11"/>
  <c r="F28" i="67"/>
  <c r="F31" i="12"/>
  <c r="F52" i="9"/>
  <c r="M18" i="67"/>
  <c r="F32" i="67"/>
  <c r="F60" i="67"/>
  <c r="F30" i="69"/>
  <c r="C48" i="69"/>
  <c r="F32" i="15"/>
  <c r="F60" i="15"/>
  <c r="M18" i="15"/>
  <c r="F28" i="15"/>
  <c r="C28" i="15" s="1"/>
  <c r="T11" i="1"/>
  <c r="AR11" i="1"/>
  <c r="T9" i="1"/>
  <c r="D9" i="68"/>
  <c r="S7" i="1"/>
  <c r="AQ7" i="1" s="1"/>
  <c r="E7" i="70"/>
  <c r="S39" i="40"/>
  <c r="S12" i="33"/>
  <c r="AA12" i="33"/>
  <c r="D68" i="9"/>
  <c r="F54" i="9"/>
  <c r="J32" i="39"/>
  <c r="H107" i="39"/>
  <c r="I107" i="39" s="1"/>
  <c r="J107" i="39"/>
  <c r="K107" i="39" s="1"/>
  <c r="L107" i="39" s="1"/>
  <c r="M107" i="39" s="1"/>
  <c r="H32" i="39"/>
  <c r="U32" i="39" s="1"/>
  <c r="S32" i="39"/>
  <c r="U21" i="39"/>
  <c r="S21" i="39"/>
  <c r="AC21" i="39"/>
  <c r="W21" i="39"/>
  <c r="S26" i="35"/>
  <c r="U9" i="35"/>
  <c r="AA9" i="35"/>
  <c r="S9" i="35"/>
  <c r="AC26" i="35"/>
  <c r="W26" i="35"/>
  <c r="AB26" i="35"/>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c r="L111" i="33" s="1"/>
  <c r="M111" i="33" s="1"/>
  <c r="J36" i="33"/>
  <c r="H36" i="33"/>
  <c r="U36" i="33" s="1"/>
  <c r="AA36" i="33"/>
  <c r="AC32" i="33"/>
  <c r="W32" i="33"/>
  <c r="AB27" i="33"/>
  <c r="G91" i="33"/>
  <c r="H91" i="33"/>
  <c r="I91" i="33" s="1"/>
  <c r="J91" i="33"/>
  <c r="K91" i="33" s="1"/>
  <c r="L91" i="33" s="1"/>
  <c r="M91" i="33" s="1"/>
  <c r="J27" i="33"/>
  <c r="W27" i="33" s="1"/>
  <c r="AB25" i="33"/>
  <c r="S25" i="33"/>
  <c r="AA25" i="33"/>
  <c r="G87" i="33"/>
  <c r="H87" i="33"/>
  <c r="I87" i="33" s="1"/>
  <c r="J87" i="33"/>
  <c r="K87" i="33" s="1"/>
  <c r="L87" i="33" s="1"/>
  <c r="M87" i="33" s="1"/>
  <c r="J25" i="33"/>
  <c r="W25" i="33" s="1"/>
  <c r="F23" i="33"/>
  <c r="G85" i="33"/>
  <c r="W23" i="33"/>
  <c r="H19" i="33"/>
  <c r="AB19" i="33" s="1"/>
  <c r="G81" i="33"/>
  <c r="G79" i="33"/>
  <c r="H17" i="33"/>
  <c r="F17" i="33"/>
  <c r="AA17" i="33" s="1"/>
  <c r="W17" i="33"/>
  <c r="AC17" i="33"/>
  <c r="AB10" i="33"/>
  <c r="AC10" i="33"/>
  <c r="W10" i="33"/>
  <c r="J23" i="21"/>
  <c r="AC23" i="21" s="1"/>
  <c r="S13" i="21"/>
  <c r="K120" i="9"/>
  <c r="B21" i="31"/>
  <c r="AP7" i="1"/>
  <c r="M7" i="1"/>
  <c r="O7" i="1" s="1"/>
  <c r="P7" i="1" s="1"/>
  <c r="AC33" i="21"/>
  <c r="AA33" i="21"/>
  <c r="AC9" i="21"/>
  <c r="C30" i="11"/>
  <c r="E6" i="70"/>
  <c r="A18" i="62"/>
  <c r="B64" i="72" s="1"/>
  <c r="AB32" i="39"/>
  <c r="AC32" i="39"/>
  <c r="W32" i="39"/>
  <c r="AC19" i="37"/>
  <c r="W23" i="37"/>
  <c r="AC23" i="37"/>
  <c r="U11" i="37"/>
  <c r="I63" i="37"/>
  <c r="J63" i="37" s="1"/>
  <c r="K63" i="37"/>
  <c r="L63" i="37" s="1"/>
  <c r="M63" i="37" s="1"/>
  <c r="J11" i="37"/>
  <c r="W10" i="37"/>
  <c r="AC10" i="37"/>
  <c r="AC10" i="34"/>
  <c r="W10" i="34"/>
  <c r="H70" i="34"/>
  <c r="I70" i="34" s="1"/>
  <c r="J70" i="34" s="1"/>
  <c r="K70" i="34" s="1"/>
  <c r="L70" i="34" s="1"/>
  <c r="M70" i="34" s="1"/>
  <c r="J11" i="34"/>
  <c r="W11" i="34" s="1"/>
  <c r="AC36" i="33"/>
  <c r="W36" i="33"/>
  <c r="AB36" i="33"/>
  <c r="AC25" i="33"/>
  <c r="AA23" i="33"/>
  <c r="S23" i="33"/>
  <c r="U19" i="33"/>
  <c r="S17" i="33"/>
  <c r="U17" i="33"/>
  <c r="AB17" i="33"/>
  <c r="W23" i="21"/>
  <c r="L18" i="9"/>
  <c r="M18" i="9"/>
  <c r="B118" i="9" s="1"/>
  <c r="B14" i="74" s="1"/>
  <c r="B1" i="74" s="1"/>
  <c r="AC11" i="37"/>
  <c r="W11" i="37"/>
  <c r="AC11" i="34"/>
  <c r="M19" i="9"/>
  <c r="C118" i="9" s="1"/>
  <c r="C14" i="74" s="1"/>
  <c r="B2" i="74" s="1"/>
  <c r="R7" i="1"/>
  <c r="L19" i="9"/>
  <c r="F34" i="11"/>
  <c r="F11" i="12"/>
  <c r="F34" i="68"/>
  <c r="C36" i="68" s="1"/>
  <c r="R8" i="1"/>
  <c r="AE7" i="1"/>
  <c r="AE8" i="1"/>
  <c r="AE6" i="1"/>
  <c r="AG6" i="1"/>
  <c r="H109" i="9"/>
  <c r="H110" i="9"/>
  <c r="D18" i="53" s="1"/>
  <c r="B35" i="72" s="1"/>
  <c r="D16" i="53"/>
  <c r="J7" i="33"/>
  <c r="W7" i="33" s="1"/>
  <c r="F7" i="33"/>
  <c r="H7" i="33"/>
  <c r="H112" i="9"/>
  <c r="D21" i="53" s="1"/>
  <c r="B39" i="72" s="1"/>
  <c r="H111" i="9"/>
  <c r="D126" i="9"/>
  <c r="I14" i="74" s="1"/>
  <c r="B8" i="74" s="1"/>
  <c r="D19" i="53"/>
  <c r="D59" i="9"/>
  <c r="M55" i="9" s="1"/>
  <c r="B38" i="72"/>
  <c r="D20" i="53"/>
  <c r="B40" i="72"/>
  <c r="AD3" i="71"/>
  <c r="P24" i="43" s="1"/>
  <c r="B66" i="40" s="1"/>
  <c r="D63" i="40"/>
  <c r="E63" i="40" s="1"/>
  <c r="J1" i="73"/>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AC7" i="33"/>
  <c r="V48" i="33" s="1"/>
  <c r="I48" i="33" s="1"/>
  <c r="C24" i="12"/>
  <c r="C48" i="68"/>
  <c r="AB11" i="71"/>
  <c r="X9" i="71"/>
  <c r="X8" i="71"/>
  <c r="AA9" i="71"/>
  <c r="AA8" i="71"/>
  <c r="X12" i="71"/>
  <c r="Y8" i="71"/>
  <c r="Z8" i="71" s="1"/>
  <c r="AB9" i="71"/>
  <c r="AB8" i="71"/>
  <c r="C94" i="9"/>
  <c r="C92" i="9"/>
  <c r="F10" i="71"/>
  <c r="F9" i="71" s="1"/>
  <c r="F8" i="71" s="1"/>
  <c r="F7" i="71" s="1"/>
  <c r="F6" i="71" s="1"/>
  <c r="F5" i="71" s="1"/>
  <c r="Y9" i="71"/>
  <c r="Z9" i="71" s="1"/>
  <c r="AB3" i="71"/>
  <c r="X3" i="71"/>
  <c r="E10" i="71"/>
  <c r="E9" i="71" s="1"/>
  <c r="AF3" i="71"/>
  <c r="P21" i="43"/>
  <c r="G20" i="43"/>
  <c r="E41" i="43" s="1"/>
  <c r="C41" i="43" s="1"/>
  <c r="D65" i="40"/>
  <c r="D70" i="39"/>
  <c r="P25" i="43"/>
  <c r="E65" i="40"/>
  <c r="F63" i="40"/>
  <c r="G63" i="40" s="1"/>
  <c r="H63" i="40" s="1"/>
  <c r="F68" i="39"/>
  <c r="G68" i="39" s="1"/>
  <c r="E70" i="39"/>
  <c r="F65" i="40"/>
  <c r="F70" i="39"/>
  <c r="C19" i="43"/>
  <c r="G65" i="40"/>
  <c r="F31" i="15"/>
  <c r="F31" i="67"/>
  <c r="D35" i="9"/>
  <c r="E8" i="76"/>
  <c r="M8" i="67"/>
  <c r="F13" i="15"/>
  <c r="M29" i="15"/>
  <c r="F35" i="15"/>
  <c r="F26" i="15"/>
  <c r="F36" i="67"/>
  <c r="F6" i="15"/>
  <c r="F20" i="31"/>
  <c r="D2" i="36"/>
  <c r="M28" i="15"/>
  <c r="E11" i="76"/>
  <c r="M26" i="15"/>
  <c r="F7" i="73"/>
  <c r="AO9" i="1"/>
  <c r="L47" i="67"/>
  <c r="B12" i="76"/>
  <c r="B8" i="76"/>
  <c r="F38" i="15"/>
  <c r="M28" i="67"/>
  <c r="F43" i="67"/>
  <c r="M27" i="67"/>
  <c r="M9" i="15"/>
  <c r="B9" i="76"/>
  <c r="F38" i="67"/>
  <c r="E10" i="76"/>
  <c r="F40" i="15"/>
  <c r="F9" i="67"/>
  <c r="F35" i="67"/>
  <c r="M21" i="15"/>
  <c r="M9" i="67"/>
  <c r="D2" i="34"/>
  <c r="D2" i="35"/>
  <c r="F8" i="15"/>
  <c r="AO7" i="1"/>
  <c r="F37" i="67"/>
  <c r="B10" i="76"/>
  <c r="F5" i="73"/>
  <c r="D4" i="73"/>
  <c r="M26" i="67"/>
  <c r="C76" i="15"/>
  <c r="M8" i="15"/>
  <c r="E9" i="76"/>
  <c r="F8" i="67"/>
  <c r="AO10" i="1"/>
  <c r="B11" i="76"/>
  <c r="M24" i="67"/>
  <c r="D34" i="9"/>
  <c r="AO13" i="1"/>
  <c r="M23" i="15"/>
  <c r="F36" i="15"/>
  <c r="M21" i="67"/>
  <c r="D7" i="73"/>
  <c r="E7" i="76"/>
  <c r="D2" i="33"/>
  <c r="F37" i="15"/>
  <c r="C76" i="67"/>
  <c r="AO6" i="1"/>
  <c r="AO8" i="1"/>
  <c r="F13" i="67"/>
  <c r="F7" i="67"/>
  <c r="L48" i="15"/>
  <c r="F16" i="67"/>
  <c r="F40" i="67"/>
  <c r="F42" i="15"/>
  <c r="E2" i="68"/>
  <c r="B13" i="76"/>
  <c r="L48" i="67"/>
  <c r="F41" i="67"/>
  <c r="M24" i="15"/>
  <c r="J15" i="15"/>
  <c r="E2" i="69"/>
  <c r="F43" i="15"/>
  <c r="AO11" i="1"/>
  <c r="D6" i="73"/>
  <c r="D2" i="37"/>
  <c r="B7" i="76"/>
  <c r="M6" i="67"/>
  <c r="F16" i="15"/>
  <c r="M22" i="15"/>
  <c r="M27" i="15"/>
  <c r="F7" i="15"/>
  <c r="F3" i="73"/>
  <c r="M22" i="67"/>
  <c r="D3" i="73"/>
  <c r="M23" i="67"/>
  <c r="F9" i="15"/>
  <c r="E12" i="76"/>
  <c r="J15" i="67"/>
  <c r="AO12" i="1"/>
  <c r="F26" i="67"/>
  <c r="F41" i="15"/>
  <c r="E13" i="76"/>
  <c r="M29" i="67"/>
  <c r="M6" i="15"/>
  <c r="D2" i="21"/>
  <c r="F4" i="73"/>
  <c r="F6" i="73"/>
  <c r="F6" i="67"/>
  <c r="L47" i="15"/>
  <c r="F42" i="67"/>
  <c r="AB15" i="21" l="1"/>
  <c r="AC15" i="21"/>
  <c r="I63" i="40"/>
  <c r="H65" i="40"/>
  <c r="E8" i="71"/>
  <c r="E7" i="71" s="1"/>
  <c r="E6" i="71" s="1"/>
  <c r="E5" i="71" s="1"/>
  <c r="V9" i="71"/>
  <c r="G70" i="39"/>
  <c r="H68" i="39"/>
  <c r="S10" i="21"/>
  <c r="AA10" i="21"/>
  <c r="U9" i="21"/>
  <c r="AB9" i="21"/>
  <c r="AQ8" i="1"/>
  <c r="AR8" i="1"/>
  <c r="F23" i="21"/>
  <c r="S23" i="21" s="1"/>
  <c r="F85" i="21"/>
  <c r="G85" i="21" s="1"/>
  <c r="H23" i="21"/>
  <c r="S19" i="33"/>
  <c r="AA19" i="33"/>
  <c r="M6" i="1"/>
  <c r="O6" i="1" s="1"/>
  <c r="P6" i="1" s="1"/>
  <c r="H16" i="1"/>
  <c r="U27" i="36"/>
  <c r="AB27" i="36"/>
  <c r="AB44" i="34"/>
  <c r="U44" i="34"/>
  <c r="S10" i="33"/>
  <c r="AA10" i="33"/>
  <c r="AC27" i="40"/>
  <c r="W27" i="40"/>
  <c r="H73" i="43"/>
  <c r="H75" i="43"/>
  <c r="H78" i="43"/>
  <c r="H72" i="43"/>
  <c r="E502" i="3"/>
  <c r="E60" i="40"/>
  <c r="E65" i="39"/>
  <c r="E317" i="3"/>
  <c r="E310" i="3"/>
  <c r="AZ509" i="3"/>
  <c r="E521" i="3"/>
  <c r="AZ501" i="3"/>
  <c r="AA12" i="36"/>
  <c r="S12" i="36"/>
  <c r="C20" i="43"/>
  <c r="P23" i="43"/>
  <c r="B71" i="39" s="1"/>
  <c r="P22" i="43"/>
  <c r="D12" i="52"/>
  <c r="D127" i="9"/>
  <c r="D13" i="52" s="1"/>
  <c r="B34" i="72"/>
  <c r="D17" i="53"/>
  <c r="B36" i="72" s="1"/>
  <c r="M49" i="9"/>
  <c r="D124" i="9"/>
  <c r="AC27" i="33"/>
  <c r="U11" i="34"/>
  <c r="AC32" i="21"/>
  <c r="T8" i="1"/>
  <c r="D121" i="9"/>
  <c r="D7" i="52" s="1"/>
  <c r="U23" i="33"/>
  <c r="AC17" i="37"/>
  <c r="AZ13" i="3"/>
  <c r="T12" i="1"/>
  <c r="AR9" i="1"/>
  <c r="AQ9" i="1"/>
  <c r="AR13" i="1"/>
  <c r="AQ13" i="1"/>
  <c r="T13" i="1"/>
  <c r="AQ10" i="1"/>
  <c r="AR10" i="1"/>
  <c r="AB12" i="39"/>
  <c r="U12" i="39"/>
  <c r="AA23" i="39"/>
  <c r="S23" i="39"/>
  <c r="W39" i="34"/>
  <c r="AC39" i="34"/>
  <c r="S35" i="33"/>
  <c r="AA35" i="33"/>
  <c r="S27" i="40"/>
  <c r="AA27" i="40"/>
  <c r="U27" i="40"/>
  <c r="AB27" i="40"/>
  <c r="W34" i="33"/>
  <c r="AC34" i="33"/>
  <c r="H52" i="43"/>
  <c r="H55" i="43"/>
  <c r="E28" i="6"/>
  <c r="E30" i="6" s="1"/>
  <c r="E348" i="3"/>
  <c r="E341" i="3"/>
  <c r="E534" i="3"/>
  <c r="E546" i="3"/>
  <c r="AZ521" i="3"/>
  <c r="C23" i="12"/>
  <c r="E2" i="70"/>
  <c r="Q16" i="1"/>
  <c r="H64" i="43"/>
  <c r="H66" i="43"/>
  <c r="C58" i="21"/>
  <c r="D58" i="21" s="1"/>
  <c r="E58" i="21" s="1"/>
  <c r="F58" i="21" s="1"/>
  <c r="G58" i="21" s="1"/>
  <c r="I7" i="21"/>
  <c r="E7" i="21"/>
  <c r="G7" i="21"/>
  <c r="E14" i="6"/>
  <c r="E64" i="39" s="1"/>
  <c r="E10" i="6"/>
  <c r="G5" i="3"/>
  <c r="B3" i="3" s="1"/>
  <c r="W43" i="33"/>
  <c r="S42" i="33"/>
  <c r="U28" i="34"/>
  <c r="AB41" i="34"/>
  <c r="U23" i="37"/>
  <c r="AB17" i="37"/>
  <c r="AC15" i="37"/>
  <c r="S36" i="37"/>
  <c r="AB31" i="37"/>
  <c r="AA10" i="35"/>
  <c r="AA22" i="36"/>
  <c r="AA26" i="36"/>
  <c r="S15" i="39"/>
  <c r="AB19" i="40"/>
  <c r="AA19" i="40"/>
  <c r="C31" i="12"/>
  <c r="W28" i="37"/>
  <c r="E13" i="6"/>
  <c r="U12" i="40"/>
  <c r="S15" i="37"/>
  <c r="AC11" i="39"/>
  <c r="AC5" i="3"/>
  <c r="S11" i="39"/>
  <c r="W35" i="40"/>
  <c r="U35" i="35"/>
  <c r="AZ562" i="3"/>
  <c r="AZ570" i="3"/>
  <c r="AZ574" i="3"/>
  <c r="W35" i="39"/>
  <c r="U31" i="34"/>
  <c r="AC31" i="34"/>
  <c r="W31" i="34"/>
  <c r="U30" i="21"/>
  <c r="AB30" i="21"/>
  <c r="S15" i="34"/>
  <c r="AA28" i="34"/>
  <c r="S28" i="34"/>
  <c r="F12" i="21"/>
  <c r="J12" i="21"/>
  <c r="H12" i="21"/>
  <c r="H31" i="21"/>
  <c r="J31" i="21"/>
  <c r="F31" i="21"/>
  <c r="E123" i="21"/>
  <c r="J42" i="21"/>
  <c r="AB8" i="33"/>
  <c r="U8" i="33"/>
  <c r="AA9" i="33"/>
  <c r="S9" i="33"/>
  <c r="U12" i="33"/>
  <c r="AB12" i="33"/>
  <c r="AB35" i="33"/>
  <c r="U35" i="33"/>
  <c r="AC34" i="35"/>
  <c r="W34" i="35"/>
  <c r="H14" i="33"/>
  <c r="F14" i="33"/>
  <c r="J14" i="33"/>
  <c r="J44" i="33"/>
  <c r="F44" i="33"/>
  <c r="J46" i="33"/>
  <c r="F46" i="33"/>
  <c r="H46" i="33"/>
  <c r="H13" i="34"/>
  <c r="J13" i="34"/>
  <c r="F13" i="34"/>
  <c r="J39" i="37"/>
  <c r="F39" i="37"/>
  <c r="H39" i="37"/>
  <c r="J14" i="39"/>
  <c r="F14" i="39"/>
  <c r="AC31" i="40"/>
  <c r="W31" i="40"/>
  <c r="J39" i="40"/>
  <c r="H39" i="40"/>
  <c r="U41" i="21"/>
  <c r="AB41" i="21"/>
  <c r="W38" i="34"/>
  <c r="AC38" i="34"/>
  <c r="U42" i="34"/>
  <c r="AB42" i="34"/>
  <c r="BA577" i="3"/>
  <c r="AZ577" i="3" s="1"/>
  <c r="BL574" i="3"/>
  <c r="BA573" i="3"/>
  <c r="AZ573" i="3" s="1"/>
  <c r="BL572" i="3"/>
  <c r="BA561" i="3"/>
  <c r="AZ561" i="3" s="1"/>
  <c r="BA558" i="3"/>
  <c r="AZ558" i="3" s="1"/>
  <c r="BL556" i="3"/>
  <c r="BA556" i="3"/>
  <c r="BA551" i="3"/>
  <c r="AZ551" i="3" s="1"/>
  <c r="AZ581" i="3"/>
  <c r="AZ526" i="3"/>
  <c r="AZ572" i="3"/>
  <c r="S13" i="35"/>
  <c r="AA13" i="35"/>
  <c r="AA41" i="33"/>
  <c r="S41" i="33"/>
  <c r="U23" i="34"/>
  <c r="AB23" i="34"/>
  <c r="AB33" i="35"/>
  <c r="U33" i="35"/>
  <c r="W34" i="36"/>
  <c r="AC34" i="36"/>
  <c r="W11" i="40"/>
  <c r="AC11" i="40"/>
  <c r="AC36" i="39"/>
  <c r="W36" i="39"/>
  <c r="W45" i="39"/>
  <c r="AC45" i="39"/>
  <c r="AA34" i="34"/>
  <c r="S34" i="34"/>
  <c r="J12" i="36"/>
  <c r="H12" i="36"/>
  <c r="J24" i="36"/>
  <c r="H24" i="36"/>
  <c r="F24" i="36"/>
  <c r="BA548" i="3"/>
  <c r="AZ548" i="3" s="1"/>
  <c r="BA545" i="3"/>
  <c r="AZ545" i="3" s="1"/>
  <c r="BL544" i="3"/>
  <c r="BA544" i="3"/>
  <c r="AZ544" i="3" s="1"/>
  <c r="BL542" i="3"/>
  <c r="BA542" i="3"/>
  <c r="AZ542" i="3" s="1"/>
  <c r="BA541" i="3"/>
  <c r="AZ541" i="3" s="1"/>
  <c r="BA540" i="3"/>
  <c r="AZ540" i="3" s="1"/>
  <c r="BA538" i="3"/>
  <c r="AZ538" i="3" s="1"/>
  <c r="BA537" i="3"/>
  <c r="AZ537" i="3" s="1"/>
  <c r="BL536" i="3"/>
  <c r="BA536" i="3"/>
  <c r="AZ536" i="3" s="1"/>
  <c r="BL534" i="3"/>
  <c r="BA534" i="3"/>
  <c r="AZ534" i="3" s="1"/>
  <c r="BL532" i="3"/>
  <c r="BA532" i="3"/>
  <c r="AZ532" i="3" s="1"/>
  <c r="BA530" i="3"/>
  <c r="BL528" i="3"/>
  <c r="AZ528" i="3" s="1"/>
  <c r="BL526" i="3"/>
  <c r="BL5" i="3" s="1"/>
  <c r="BL585" i="3"/>
  <c r="AZ585" i="3" s="1"/>
  <c r="J26" i="33"/>
  <c r="F26" i="33"/>
  <c r="AB34" i="35"/>
  <c r="U34" i="35"/>
  <c r="H23" i="35"/>
  <c r="J23" i="35"/>
  <c r="S31" i="36"/>
  <c r="AA31" i="36"/>
  <c r="F38" i="40"/>
  <c r="J38" i="40"/>
  <c r="H38" i="40"/>
  <c r="BL550" i="3"/>
  <c r="AZ550" i="3" s="1"/>
  <c r="AZ400" i="3"/>
  <c r="AZ413" i="3"/>
  <c r="AZ424" i="3"/>
  <c r="AZ429" i="3"/>
  <c r="AZ439" i="3"/>
  <c r="AZ444" i="3"/>
  <c r="AZ456" i="3"/>
  <c r="AZ466" i="3"/>
  <c r="AZ472" i="3"/>
  <c r="AZ475" i="3"/>
  <c r="AZ483" i="3"/>
  <c r="AZ316" i="3"/>
  <c r="AZ332" i="3"/>
  <c r="AZ397" i="3"/>
  <c r="AZ212" i="3"/>
  <c r="AZ217" i="3"/>
  <c r="AZ220" i="3"/>
  <c r="AZ228" i="3"/>
  <c r="AZ231" i="3"/>
  <c r="AZ244" i="3"/>
  <c r="AZ247" i="3"/>
  <c r="AZ260" i="3"/>
  <c r="AZ264" i="3"/>
  <c r="AZ282" i="3"/>
  <c r="AZ285" i="3"/>
  <c r="AZ290" i="3"/>
  <c r="AZ293" i="3"/>
  <c r="AZ153" i="3"/>
  <c r="AZ169" i="3"/>
  <c r="AZ185" i="3"/>
  <c r="AZ201" i="3"/>
  <c r="AZ30" i="3"/>
  <c r="AZ40" i="3"/>
  <c r="AZ49" i="3"/>
  <c r="AZ54" i="3"/>
  <c r="AZ70" i="3"/>
  <c r="AZ92" i="3"/>
  <c r="AZ103" i="3"/>
  <c r="AZ108" i="3"/>
  <c r="F3" i="35"/>
  <c r="D24" i="67"/>
  <c r="D23" i="67"/>
  <c r="AB21" i="21"/>
  <c r="U21" i="21"/>
  <c r="C15" i="71"/>
  <c r="D15" i="71" s="1"/>
  <c r="D16" i="71"/>
  <c r="D22" i="67"/>
  <c r="W21" i="33"/>
  <c r="W21" i="37"/>
  <c r="D53" i="71"/>
  <c r="T53" i="71"/>
  <c r="P54" i="71"/>
  <c r="P55" i="71"/>
  <c r="C25" i="71"/>
  <c r="D24" i="71"/>
  <c r="B16" i="71"/>
  <c r="B15" i="71" s="1"/>
  <c r="S17" i="71"/>
  <c r="D27" i="71"/>
  <c r="C28" i="71"/>
  <c r="D31" i="71"/>
  <c r="C32" i="71"/>
  <c r="C36" i="71"/>
  <c r="D36" i="71" s="1"/>
  <c r="D35" i="71"/>
  <c r="S21" i="34"/>
  <c r="S25" i="40"/>
  <c r="V17" i="71"/>
  <c r="AA17" i="71"/>
  <c r="AA15" i="71"/>
  <c r="AB17" i="71"/>
  <c r="AB15" i="71"/>
  <c r="D69" i="71"/>
  <c r="D61" i="71"/>
  <c r="X17" i="71"/>
  <c r="X15" i="71"/>
  <c r="Y17" i="71"/>
  <c r="Z17" i="71" s="1"/>
  <c r="Y16" i="71"/>
  <c r="Z16" i="71" s="1"/>
  <c r="Y15" i="71"/>
  <c r="Z15" i="71" s="1"/>
  <c r="Y14" i="71"/>
  <c r="Z14" i="71" s="1"/>
  <c r="Y3" i="71"/>
  <c r="Z3" i="71" s="1"/>
  <c r="X24" i="71"/>
  <c r="X23" i="71"/>
  <c r="AA21" i="71"/>
  <c r="AA20" i="71"/>
  <c r="AB18" i="71"/>
  <c r="AA26" i="71"/>
  <c r="X13" i="71"/>
  <c r="Y13" i="71"/>
  <c r="Z13" i="71" s="1"/>
  <c r="Y11" i="71"/>
  <c r="Z11" i="71" s="1"/>
  <c r="AB12" i="71"/>
  <c r="AB10" i="71"/>
  <c r="AA7" i="71"/>
  <c r="AB7" i="71"/>
  <c r="X6" i="71"/>
  <c r="Y6" i="71"/>
  <c r="Z6" i="71" s="1"/>
  <c r="AA6" i="71"/>
  <c r="AB6" i="71"/>
  <c r="S57" i="71"/>
  <c r="B56" i="71"/>
  <c r="AA12" i="71"/>
  <c r="X11" i="71"/>
  <c r="AA10" i="71"/>
  <c r="X7" i="71"/>
  <c r="Y10" i="71"/>
  <c r="Z10" i="71" s="1"/>
  <c r="Y7" i="71"/>
  <c r="Z7" i="71" s="1"/>
  <c r="X5" i="71"/>
  <c r="Y5" i="71"/>
  <c r="Z5" i="71" s="1"/>
  <c r="AA5" i="71"/>
  <c r="AB5" i="71"/>
  <c r="AA11" i="71"/>
  <c r="X10" i="71"/>
  <c r="AA13" i="71"/>
  <c r="AB13" i="71"/>
  <c r="B13" i="71"/>
  <c r="C13" i="71"/>
  <c r="Y12" i="71"/>
  <c r="Z12" i="71" s="1"/>
  <c r="G17" i="43"/>
  <c r="C16" i="43" s="1"/>
  <c r="D5" i="43" s="1"/>
  <c r="AB44" i="21"/>
  <c r="U33" i="21"/>
  <c r="AB11" i="21"/>
  <c r="B9" i="49"/>
  <c r="B56" i="43"/>
  <c r="C25" i="39"/>
  <c r="C15" i="39"/>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F27" i="69"/>
  <c r="C47" i="69" s="1"/>
  <c r="D45" i="69" s="1"/>
  <c r="F27" i="68"/>
  <c r="C47" i="68" s="1"/>
  <c r="D45" i="68" s="1"/>
  <c r="F27" i="11"/>
  <c r="C47" i="11" s="1"/>
  <c r="D45" i="11" s="1"/>
  <c r="F28" i="12"/>
  <c r="C29" i="12" s="1"/>
  <c r="D28" i="12" s="1"/>
  <c r="T7" i="1"/>
  <c r="K14" i="1"/>
  <c r="K16" i="1" s="1"/>
  <c r="E59" i="40"/>
  <c r="AR7" i="1"/>
  <c r="L19" i="6"/>
  <c r="L27" i="6" s="1"/>
  <c r="C36" i="11"/>
  <c r="E180" i="3"/>
  <c r="E221" i="3"/>
  <c r="E91" i="3"/>
  <c r="E254" i="3"/>
  <c r="E134" i="3"/>
  <c r="E130" i="3"/>
  <c r="E189" i="3"/>
  <c r="E172" i="3"/>
  <c r="E260" i="3"/>
  <c r="E445" i="3"/>
  <c r="E550" i="3"/>
  <c r="E535" i="3"/>
  <c r="E329" i="3"/>
  <c r="E539" i="3"/>
  <c r="E545" i="3"/>
  <c r="E567" i="3"/>
  <c r="E510" i="3"/>
  <c r="E461" i="3"/>
  <c r="E352" i="3"/>
  <c r="E227" i="3"/>
  <c r="E205" i="3"/>
  <c r="E165" i="3"/>
  <c r="E128" i="3"/>
  <c r="E270" i="3"/>
  <c r="E390" i="3"/>
  <c r="E533" i="3"/>
  <c r="S6" i="3"/>
  <c r="AR6" i="3"/>
  <c r="E523" i="3"/>
  <c r="E561"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E213" i="3"/>
  <c r="E361" i="3"/>
  <c r="E17" i="3"/>
  <c r="E503" i="3"/>
  <c r="E302" i="3"/>
  <c r="E347" i="3"/>
  <c r="E583" i="3"/>
  <c r="AA6" i="3"/>
  <c r="X6" i="3"/>
  <c r="E399" i="3"/>
  <c r="E336" i="3"/>
  <c r="E280" i="3"/>
  <c r="E246" i="3"/>
  <c r="E124" i="3"/>
  <c r="E293" i="3"/>
  <c r="E311" i="3"/>
  <c r="E358" i="3"/>
  <c r="E514" i="3"/>
  <c r="E559" i="3"/>
  <c r="E570" i="3"/>
  <c r="E551" i="3"/>
  <c r="M6" i="3"/>
  <c r="E506" i="3"/>
  <c r="V6" i="3"/>
  <c r="E538" i="3"/>
  <c r="AB6" i="3"/>
  <c r="E418" i="3"/>
  <c r="E407" i="3"/>
  <c r="E439" i="3"/>
  <c r="E387" i="3"/>
  <c r="E338" i="3"/>
  <c r="E320" i="3"/>
  <c r="E380" i="3"/>
  <c r="E335" i="3"/>
  <c r="E321" i="3"/>
  <c r="E294" i="3"/>
  <c r="E231" i="3"/>
  <c r="E215" i="3"/>
  <c r="E298" i="3"/>
  <c r="F27" i="6"/>
  <c r="F31" i="6" s="1"/>
  <c r="E56" i="39"/>
  <c r="E51" i="40"/>
  <c r="E12" i="6"/>
  <c r="E16" i="6" s="1"/>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AA13" i="43" s="1"/>
  <c r="J22" i="43"/>
  <c r="D19" i="12"/>
  <c r="C19" i="12" s="1"/>
  <c r="D9" i="69"/>
  <c r="C9" i="69" s="1"/>
  <c r="O11" i="1"/>
  <c r="P11"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69" i="3"/>
  <c r="E237" i="3"/>
  <c r="E114" i="3"/>
  <c r="E261" i="3"/>
  <c r="E278" i="3"/>
  <c r="E304" i="3"/>
  <c r="E415" i="3"/>
  <c r="E528" i="3"/>
  <c r="E563" i="3"/>
  <c r="E565" i="3"/>
  <c r="E395" i="3"/>
  <c r="E183" i="3"/>
  <c r="E56" i="40"/>
  <c r="O9" i="1"/>
  <c r="P9" i="1" s="1"/>
  <c r="O8" i="1"/>
  <c r="P8" i="1"/>
  <c r="C29" i="11"/>
  <c r="D27" i="11" s="1"/>
  <c r="E22" i="43"/>
  <c r="N101" i="43"/>
  <c r="F101" i="43"/>
  <c r="K101" i="43"/>
  <c r="AC21" i="21"/>
  <c r="W44" i="21"/>
  <c r="F123" i="21"/>
  <c r="G123" i="21" s="1"/>
  <c r="H123" i="21" s="1"/>
  <c r="I123" i="21" s="1"/>
  <c r="J123" i="21" s="1"/>
  <c r="K123" i="21" s="1"/>
  <c r="L123" i="21" s="1"/>
  <c r="M123" i="21" s="1"/>
  <c r="H42" i="21"/>
  <c r="AB38" i="21"/>
  <c r="U32"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8" i="74"/>
  <c r="C8" i="74"/>
  <c r="S42" i="21"/>
  <c r="AA25" i="21"/>
  <c r="U26" i="21"/>
  <c r="AA23" i="21"/>
  <c r="W17" i="21"/>
  <c r="G16" i="1"/>
  <c r="F10" i="40" s="1"/>
  <c r="H58" i="21"/>
  <c r="I58" i="21" s="1"/>
  <c r="J58" i="21" s="1"/>
  <c r="K58" i="21" s="1"/>
  <c r="L58" i="21" s="1"/>
  <c r="M58" i="21" s="1"/>
  <c r="N58" i="21" s="1"/>
  <c r="O58" i="21" s="1"/>
  <c r="H7" i="21"/>
  <c r="I52" i="33"/>
  <c r="J52" i="33" s="1"/>
  <c r="F59" i="34"/>
  <c r="S7" i="33"/>
  <c r="AA7" i="33"/>
  <c r="R48" i="33" s="1"/>
  <c r="C9" i="68"/>
  <c r="D46" i="36"/>
  <c r="F7" i="21"/>
  <c r="J7" i="21"/>
  <c r="AB7" i="33"/>
  <c r="T48" i="33" s="1"/>
  <c r="G48" i="33" s="1"/>
  <c r="U7" i="33"/>
  <c r="E48" i="35"/>
  <c r="D52" i="37"/>
  <c r="K1" i="73"/>
  <c r="C6" i="15"/>
  <c r="F69" i="67"/>
  <c r="E20" i="43"/>
  <c r="F66" i="67"/>
  <c r="B10" i="70"/>
  <c r="B11" i="70"/>
  <c r="N59" i="15"/>
  <c r="L59" i="15"/>
  <c r="L58" i="15"/>
  <c r="M59" i="15"/>
  <c r="B8" i="70"/>
  <c r="F66" i="15"/>
  <c r="Q71" i="67"/>
  <c r="Q71" i="15"/>
  <c r="F64" i="15"/>
  <c r="F70" i="67"/>
  <c r="C6" i="67"/>
  <c r="F63" i="15"/>
  <c r="C62" i="15" s="1"/>
  <c r="C34" i="15"/>
  <c r="B6" i="70"/>
  <c r="B20" i="31"/>
  <c r="C27" i="67"/>
  <c r="J57" i="15"/>
  <c r="J55" i="15" s="1"/>
  <c r="J58" i="15" s="1"/>
  <c r="Q50" i="15" s="1"/>
  <c r="I54" i="15"/>
  <c r="J53" i="15"/>
  <c r="F71" i="67"/>
  <c r="C27" i="15"/>
  <c r="I1" i="73"/>
  <c r="B39" i="1" s="1"/>
  <c r="F51" i="67"/>
  <c r="F69" i="15"/>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6" i="67"/>
  <c r="C14" i="67"/>
  <c r="C17" i="67"/>
  <c r="C17" i="15"/>
  <c r="G1" i="73"/>
  <c r="C16" i="15"/>
  <c r="D5" i="73"/>
  <c r="C14" i="15"/>
  <c r="B12" i="71" l="1"/>
  <c r="B11" i="71" s="1"/>
  <c r="B10" i="71" s="1"/>
  <c r="B9" i="71" s="1"/>
  <c r="S13" i="71"/>
  <c r="C33" i="71"/>
  <c r="D32" i="71"/>
  <c r="C29" i="71"/>
  <c r="D28" i="71"/>
  <c r="AB38" i="40"/>
  <c r="U38" i="40"/>
  <c r="S38" i="40"/>
  <c r="AA38" i="40"/>
  <c r="U23" i="35"/>
  <c r="AB23" i="35"/>
  <c r="AC26" i="33"/>
  <c r="W26" i="33"/>
  <c r="AZ530" i="3"/>
  <c r="BA5" i="3"/>
  <c r="AB24" i="36"/>
  <c r="U24" i="36"/>
  <c r="U12" i="36"/>
  <c r="AB12" i="36"/>
  <c r="AZ556" i="3"/>
  <c r="U39" i="40"/>
  <c r="AB39" i="40"/>
  <c r="S14" i="39"/>
  <c r="AA14" i="39"/>
  <c r="AB39" i="37"/>
  <c r="U39" i="37"/>
  <c r="AC39" i="37"/>
  <c r="W39" i="37"/>
  <c r="W13" i="34"/>
  <c r="AC13" i="34"/>
  <c r="U46" i="33"/>
  <c r="AB46" i="33"/>
  <c r="AC46" i="33"/>
  <c r="W46" i="33"/>
  <c r="AC44" i="33"/>
  <c r="W44" i="33"/>
  <c r="AA14" i="33"/>
  <c r="S14" i="33"/>
  <c r="AC42" i="21"/>
  <c r="W42" i="21"/>
  <c r="S31" i="21"/>
  <c r="AA31" i="21"/>
  <c r="U31" i="21"/>
  <c r="AB31" i="21"/>
  <c r="AC12" i="21"/>
  <c r="W12" i="21"/>
  <c r="E58" i="40"/>
  <c r="E63" i="39"/>
  <c r="E230" i="3"/>
  <c r="E169" i="3"/>
  <c r="E61" i="3"/>
  <c r="E290" i="3"/>
  <c r="E117" i="3"/>
  <c r="E207" i="3"/>
  <c r="E252" i="3"/>
  <c r="E271" i="3"/>
  <c r="E204" i="3"/>
  <c r="E164" i="3"/>
  <c r="E107" i="3"/>
  <c r="E369" i="3"/>
  <c r="E393" i="3"/>
  <c r="E525" i="3"/>
  <c r="E493" i="3"/>
  <c r="E564" i="3"/>
  <c r="AG6" i="3"/>
  <c r="E552"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185" i="3"/>
  <c r="E161" i="3"/>
  <c r="E77" i="3"/>
  <c r="E253" i="3"/>
  <c r="E199" i="3"/>
  <c r="E313" i="3"/>
  <c r="E519" i="3"/>
  <c r="E532"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3" i="3"/>
  <c r="E216" i="3"/>
  <c r="E135" i="3"/>
  <c r="E149" i="3"/>
  <c r="E212" i="3"/>
  <c r="E167" i="3"/>
  <c r="E141" i="3"/>
  <c r="E330" i="3"/>
  <c r="K6" i="3"/>
  <c r="H6" i="3" s="1"/>
  <c r="Q6"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145" i="3"/>
  <c r="E309" i="3"/>
  <c r="E386" i="3"/>
  <c r="E375" i="3"/>
  <c r="AZ5" i="3"/>
  <c r="D10" i="52"/>
  <c r="H14" i="74"/>
  <c r="B7" i="74" s="1"/>
  <c r="D125" i="9"/>
  <c r="D11" i="52" s="1"/>
  <c r="E377" i="3"/>
  <c r="E363" i="3"/>
  <c r="U23" i="21"/>
  <c r="AB23" i="21"/>
  <c r="H70" i="39"/>
  <c r="I68" i="39"/>
  <c r="C12" i="71"/>
  <c r="D13" i="71"/>
  <c r="U13" i="71" s="1"/>
  <c r="T13" i="71"/>
  <c r="N56" i="71"/>
  <c r="B55" i="71"/>
  <c r="D25" i="71"/>
  <c r="T25" i="71"/>
  <c r="AC38" i="40"/>
  <c r="W38" i="40"/>
  <c r="AC23" i="35"/>
  <c r="W23" i="35"/>
  <c r="AA26" i="33"/>
  <c r="S26" i="33"/>
  <c r="AA24" i="36"/>
  <c r="S24" i="36"/>
  <c r="AC24" i="36"/>
  <c r="W24" i="36"/>
  <c r="AC12" i="36"/>
  <c r="W12" i="36"/>
  <c r="AC39" i="40"/>
  <c r="W39" i="40"/>
  <c r="AC14" i="39"/>
  <c r="W14" i="39"/>
  <c r="S39" i="37"/>
  <c r="AA39" i="37"/>
  <c r="AA13" i="34"/>
  <c r="S13" i="34"/>
  <c r="U13" i="34"/>
  <c r="AB13" i="34"/>
  <c r="AA46" i="33"/>
  <c r="S46" i="33"/>
  <c r="S44" i="33"/>
  <c r="AA44" i="33"/>
  <c r="AC14" i="33"/>
  <c r="W14" i="33"/>
  <c r="U14" i="33"/>
  <c r="AB14" i="33"/>
  <c r="AC31" i="21"/>
  <c r="W31" i="21"/>
  <c r="AB12" i="21"/>
  <c r="U12" i="21"/>
  <c r="S12" i="21"/>
  <c r="AA12" i="21"/>
  <c r="L65" i="9"/>
  <c r="M65" i="9" s="1"/>
  <c r="L64" i="9"/>
  <c r="M64" i="9" s="1"/>
  <c r="L67" i="9"/>
  <c r="M67" i="9" s="1"/>
  <c r="L68" i="9"/>
  <c r="M68" i="9" s="1"/>
  <c r="L66" i="9"/>
  <c r="M66" i="9" s="1"/>
  <c r="L63" i="9"/>
  <c r="M63" i="9" s="1"/>
  <c r="M69" i="9" s="1"/>
  <c r="N69" i="9" s="1"/>
  <c r="J63" i="40"/>
  <c r="I65" i="40"/>
  <c r="C5" i="43"/>
  <c r="C37" i="43"/>
  <c r="E37" i="43" s="1"/>
  <c r="C36" i="43"/>
  <c r="E36" i="43" s="1"/>
  <c r="C34" i="43"/>
  <c r="E34" i="43" s="1"/>
  <c r="C33" i="43"/>
  <c r="C39" i="43"/>
  <c r="E39" i="43" s="1"/>
  <c r="C35" i="43"/>
  <c r="E35" i="43" s="1"/>
  <c r="C38" i="43"/>
  <c r="G38" i="43" s="1"/>
  <c r="I38" i="43" s="1"/>
  <c r="G35" i="43"/>
  <c r="I35" i="43" s="1"/>
  <c r="C29" i="68"/>
  <c r="D27" i="68" s="1"/>
  <c r="K4" i="4"/>
  <c r="B46" i="48" s="1"/>
  <c r="B4" i="72" s="1"/>
  <c r="C29" i="69"/>
  <c r="D27" i="69" s="1"/>
  <c r="E27" i="6"/>
  <c r="M14" i="1"/>
  <c r="C34" i="69"/>
  <c r="H10" i="40"/>
  <c r="F10" i="39"/>
  <c r="AA10" i="39" s="1"/>
  <c r="E57" i="40"/>
  <c r="E62" i="39"/>
  <c r="E66" i="39" s="1"/>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C6" i="3"/>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S11" i="21"/>
  <c r="AA11" i="21"/>
  <c r="U37" i="21"/>
  <c r="AB37" i="21"/>
  <c r="S37" i="21"/>
  <c r="AA37" i="21"/>
  <c r="AC37" i="21"/>
  <c r="W37" i="21"/>
  <c r="G36" i="43"/>
  <c r="I36" i="43" s="1"/>
  <c r="J10" i="39"/>
  <c r="J10" i="40"/>
  <c r="H10" i="39"/>
  <c r="E38" i="43"/>
  <c r="G39" i="43"/>
  <c r="I39" i="43" s="1"/>
  <c r="E33" i="43"/>
  <c r="G33" i="43"/>
  <c r="I33" i="43" s="1"/>
  <c r="G34" i="43"/>
  <c r="I34" i="43" s="1"/>
  <c r="E52" i="37"/>
  <c r="C49" i="15"/>
  <c r="AB10" i="40"/>
  <c r="U10" i="40"/>
  <c r="S10" i="39"/>
  <c r="F48" i="35"/>
  <c r="G52" i="33"/>
  <c r="H52" i="33" s="1"/>
  <c r="G53" i="33"/>
  <c r="H53" i="33" s="1"/>
  <c r="S7" i="21"/>
  <c r="AA7" i="21"/>
  <c r="E46" i="36"/>
  <c r="S10" i="40"/>
  <c r="AA10" i="40"/>
  <c r="W7" i="21"/>
  <c r="AC7" i="21"/>
  <c r="V48" i="21" s="1"/>
  <c r="R49" i="33"/>
  <c r="E48" i="33"/>
  <c r="G59" i="34"/>
  <c r="H59" i="34" s="1"/>
  <c r="I59" i="34" s="1"/>
  <c r="J59" i="34" s="1"/>
  <c r="K59" i="34" s="1"/>
  <c r="L59" i="34" s="1"/>
  <c r="M59" i="34" s="1"/>
  <c r="N59" i="34" s="1"/>
  <c r="O59" i="34" s="1"/>
  <c r="H7" i="34"/>
  <c r="AB7" i="21"/>
  <c r="T48" i="21" s="1"/>
  <c r="U7" i="2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E6" i="3" l="1"/>
  <c r="N55" i="71"/>
  <c r="N54" i="71"/>
  <c r="D12" i="71"/>
  <c r="C11" i="71"/>
  <c r="D7" i="74"/>
  <c r="C7" i="74"/>
  <c r="E3" i="6"/>
  <c r="AY6" i="3"/>
  <c r="R48" i="21"/>
  <c r="Q53" i="21" s="1"/>
  <c r="G37" i="43"/>
  <c r="I37" i="43" s="1"/>
  <c r="J65" i="40"/>
  <c r="K63" i="40"/>
  <c r="J68" i="39"/>
  <c r="I70" i="39"/>
  <c r="D29" i="71"/>
  <c r="T29" i="71"/>
  <c r="D33" i="71"/>
  <c r="T33" i="71"/>
  <c r="B8" i="71"/>
  <c r="B7" i="71" s="1"/>
  <c r="B6" i="71" s="1"/>
  <c r="B5" i="71" s="1"/>
  <c r="S9" i="71"/>
  <c r="T10" i="43"/>
  <c r="V10" i="43" s="1"/>
  <c r="T13" i="43"/>
  <c r="V13" i="43" s="1"/>
  <c r="T11" i="43"/>
  <c r="V11" i="43" s="1"/>
  <c r="T9" i="43"/>
  <c r="V9" i="43" s="1"/>
  <c r="T14" i="43"/>
  <c r="V14" i="43" s="1"/>
  <c r="T16" i="43"/>
  <c r="V16" i="43" s="1"/>
  <c r="T8" i="43"/>
  <c r="V8" i="43" s="1"/>
  <c r="T12" i="43"/>
  <c r="V12" i="43" s="1"/>
  <c r="T15" i="43"/>
  <c r="V15" i="43" s="1"/>
  <c r="G48" i="21"/>
  <c r="G52" i="21" s="1"/>
  <c r="H52" i="21" s="1"/>
  <c r="Q54" i="21"/>
  <c r="I48" i="21"/>
  <c r="Q55" i="21"/>
  <c r="C19" i="15"/>
  <c r="C20" i="15" s="1"/>
  <c r="C26" i="15" s="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s="1"/>
  <c r="AB10" i="39"/>
  <c r="U10" i="39"/>
  <c r="AC10" i="39"/>
  <c r="W10" i="39"/>
  <c r="AC10" i="40"/>
  <c r="W10" i="40"/>
  <c r="C19" i="67"/>
  <c r="C20" i="67" s="1"/>
  <c r="C26" i="67" s="1"/>
  <c r="F7" i="34"/>
  <c r="E53" i="33"/>
  <c r="F53" i="33" s="1"/>
  <c r="E52" i="33"/>
  <c r="F52" i="33" s="1"/>
  <c r="I53" i="33"/>
  <c r="J53" i="33" s="1"/>
  <c r="I52" i="21"/>
  <c r="J52" i="21" s="1"/>
  <c r="F46" i="36"/>
  <c r="G48" i="35"/>
  <c r="F52" i="37"/>
  <c r="AB7" i="34"/>
  <c r="T49" i="34" s="1"/>
  <c r="G49" i="34" s="1"/>
  <c r="U7" i="34"/>
  <c r="C49" i="33"/>
  <c r="C48" i="33"/>
  <c r="R49" i="21"/>
  <c r="J7" i="34"/>
  <c r="C53" i="15"/>
  <c r="C48" i="15" s="1"/>
  <c r="C10" i="15"/>
  <c r="C5" i="15" s="1"/>
  <c r="J10" i="15"/>
  <c r="J5" i="15" s="1"/>
  <c r="J18" i="15"/>
  <c r="C10" i="67"/>
  <c r="C5" i="67" s="1"/>
  <c r="C53" i="67"/>
  <c r="C48" i="67" s="1"/>
  <c r="J5" i="67"/>
  <c r="J18" i="67"/>
  <c r="F24" i="67"/>
  <c r="C24" i="67" s="1"/>
  <c r="F25" i="12"/>
  <c r="F22" i="11"/>
  <c r="F24" i="15"/>
  <c r="C24" i="15" s="1"/>
  <c r="F22" i="68"/>
  <c r="F22" i="69"/>
  <c r="J70" i="39" l="1"/>
  <c r="K68" i="39"/>
  <c r="D3" i="21"/>
  <c r="D37" i="11"/>
  <c r="C37" i="11" s="1"/>
  <c r="D3" i="34"/>
  <c r="C17" i="4"/>
  <c r="B4" i="52" s="1"/>
  <c r="B43" i="72" s="1"/>
  <c r="D19" i="11"/>
  <c r="C19" i="11" s="1"/>
  <c r="C20" i="11" s="1"/>
  <c r="C28" i="11" s="1"/>
  <c r="C27" i="11" s="1"/>
  <c r="D14" i="12"/>
  <c r="D3" i="33"/>
  <c r="B2" i="33" s="1"/>
  <c r="B3" i="33" s="1"/>
  <c r="D3" i="37"/>
  <c r="E6" i="6"/>
  <c r="E48" i="21"/>
  <c r="E52" i="21" s="1"/>
  <c r="F52" i="21" s="1"/>
  <c r="K65" i="40"/>
  <c r="L63" i="40"/>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101" i="3"/>
  <c r="AY65" i="3"/>
  <c r="AY48" i="3"/>
  <c r="AY194" i="3"/>
  <c r="AY158" i="3"/>
  <c r="AY137" i="3"/>
  <c r="AY287" i="3"/>
  <c r="AY251" i="3"/>
  <c r="AY234" i="3"/>
  <c r="AY380" i="3"/>
  <c r="AY364" i="3"/>
  <c r="AY329" i="3"/>
  <c r="AY344" i="3"/>
  <c r="AY312" i="3"/>
  <c r="AY471" i="3"/>
  <c r="AY468" i="3"/>
  <c r="AY458" i="3"/>
  <c r="AY426"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77" i="3"/>
  <c r="AY112" i="3"/>
  <c r="AY49" i="3"/>
  <c r="AY32" i="3"/>
  <c r="AY205" i="3"/>
  <c r="AY142" i="3"/>
  <c r="AY122" i="3"/>
  <c r="AY298" i="3"/>
  <c r="AY235" i="3"/>
  <c r="AY218" i="3"/>
  <c r="AY385" i="3"/>
  <c r="AY352" i="3"/>
  <c r="AY321" i="3"/>
  <c r="AY336" i="3"/>
  <c r="AY304" i="3"/>
  <c r="AY492" i="3"/>
  <c r="AY461" i="3"/>
  <c r="AY450" i="3"/>
  <c r="AY418"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519" i="3"/>
  <c r="AY96" i="3"/>
  <c r="AY80" i="3"/>
  <c r="AY37" i="3"/>
  <c r="AY189" i="3"/>
  <c r="AY169" i="3"/>
  <c r="AY129" i="3"/>
  <c r="AY282" i="3"/>
  <c r="AY266" i="3"/>
  <c r="AY223" i="3"/>
  <c r="AY369" i="3"/>
  <c r="AY345" i="3"/>
  <c r="AY313" i="3"/>
  <c r="AY328" i="3"/>
  <c r="AY487" i="3"/>
  <c r="AY484" i="3"/>
  <c r="AY453" i="3"/>
  <c r="AY442" i="3"/>
  <c r="AY410"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523" i="3"/>
  <c r="AY81" i="3"/>
  <c r="AY64" i="3"/>
  <c r="AY21" i="3"/>
  <c r="AY174" i="3"/>
  <c r="AY153" i="3"/>
  <c r="AY113" i="3"/>
  <c r="AY267" i="3"/>
  <c r="AY250" i="3"/>
  <c r="AY396" i="3"/>
  <c r="AY361" i="3"/>
  <c r="AY337" i="3"/>
  <c r="AY305" i="3"/>
  <c r="AY320" i="3"/>
  <c r="AY479" i="3"/>
  <c r="AY476" i="3"/>
  <c r="AY445" i="3"/>
  <c r="AY434"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1" i="71"/>
  <c r="C10" i="71"/>
  <c r="G53" i="21"/>
  <c r="H53" i="21" s="1"/>
  <c r="C34" i="68"/>
  <c r="C34" i="11"/>
  <c r="L16" i="1"/>
  <c r="N16" i="1"/>
  <c r="S21" i="6"/>
  <c r="H21" i="6"/>
  <c r="S6" i="1"/>
  <c r="K27" i="6"/>
  <c r="M19" i="6"/>
  <c r="P14" i="1"/>
  <c r="P16" i="1" s="1"/>
  <c r="C11" i="12" s="1"/>
  <c r="O16" i="1"/>
  <c r="C30" i="43"/>
  <c r="E30" i="43" s="1"/>
  <c r="C27" i="43" s="1"/>
  <c r="E29" i="43"/>
  <c r="C26" i="43" s="1"/>
  <c r="C49" i="21"/>
  <c r="P5" i="77" s="1"/>
  <c r="C48" i="21"/>
  <c r="W7" i="34"/>
  <c r="AC7" i="34"/>
  <c r="V49" i="34" s="1"/>
  <c r="I49" i="34" s="1"/>
  <c r="E53" i="21"/>
  <c r="F53" i="21" s="1"/>
  <c r="H48" i="35"/>
  <c r="G46" i="36"/>
  <c r="G53" i="34"/>
  <c r="H53" i="34" s="1"/>
  <c r="G54" i="34"/>
  <c r="H54" i="34" s="1"/>
  <c r="G52" i="37"/>
  <c r="H52" i="37" s="1"/>
  <c r="I52" i="37" s="1"/>
  <c r="J52" i="37" s="1"/>
  <c r="K52" i="37" s="1"/>
  <c r="L52" i="37" s="1"/>
  <c r="M52" i="37" s="1"/>
  <c r="N52" i="37" s="1"/>
  <c r="O52" i="37" s="1"/>
  <c r="J7" i="37"/>
  <c r="F7" i="37"/>
  <c r="I53" i="21"/>
  <c r="J53" i="21" s="1"/>
  <c r="S7" i="34"/>
  <c r="AA7" i="34"/>
  <c r="R49" i="34" s="1"/>
  <c r="C60" i="67"/>
  <c r="C66" i="67"/>
  <c r="J26" i="15"/>
  <c r="J29" i="15" s="1"/>
  <c r="J24" i="15"/>
  <c r="C38" i="67"/>
  <c r="C23" i="15"/>
  <c r="C29" i="15" s="1"/>
  <c r="C38" i="15"/>
  <c r="C23" i="67"/>
  <c r="C29" i="67" s="1"/>
  <c r="C44" i="69"/>
  <c r="D41" i="69" s="1"/>
  <c r="C26" i="69"/>
  <c r="D22" i="69" s="1"/>
  <c r="C26" i="12"/>
  <c r="D25" i="12" s="1"/>
  <c r="J24" i="67"/>
  <c r="J26" i="67"/>
  <c r="J29" i="67" s="1"/>
  <c r="C44" i="68"/>
  <c r="D41" i="68" s="1"/>
  <c r="C26" i="68"/>
  <c r="D22" i="68" s="1"/>
  <c r="C23" i="68"/>
  <c r="C44" i="11"/>
  <c r="D41" i="11" s="1"/>
  <c r="C26" i="11"/>
  <c r="D22" i="11" s="1"/>
  <c r="C23" i="11"/>
  <c r="C25" i="11"/>
  <c r="C60" i="15"/>
  <c r="C66" i="15"/>
  <c r="E6" i="76"/>
  <c r="D10" i="11" l="1"/>
  <c r="C10" i="11" s="1"/>
  <c r="D10" i="68"/>
  <c r="D20" i="12"/>
  <c r="C20" i="12" s="1"/>
  <c r="C18" i="12" s="1"/>
  <c r="D10" i="69"/>
  <c r="C24" i="11"/>
  <c r="D10" i="71"/>
  <c r="C9" i="71"/>
  <c r="D12" i="6"/>
  <c r="D6" i="6"/>
  <c r="D19" i="6"/>
  <c r="D21" i="6"/>
  <c r="R21" i="6" s="1"/>
  <c r="D11" i="6"/>
  <c r="D25" i="6"/>
  <c r="D24" i="6"/>
  <c r="D9" i="6"/>
  <c r="C18" i="4"/>
  <c r="D10" i="6"/>
  <c r="E61" i="40"/>
  <c r="D14" i="6"/>
  <c r="D26" i="6"/>
  <c r="H25" i="6"/>
  <c r="R25" i="6" s="1"/>
  <c r="H24" i="6"/>
  <c r="R24" i="6" s="1"/>
  <c r="D15" i="6"/>
  <c r="D20" i="6"/>
  <c r="D29" i="6"/>
  <c r="D22" i="6"/>
  <c r="D28" i="6"/>
  <c r="D30" i="6" s="1"/>
  <c r="D23" i="6"/>
  <c r="D5" i="6"/>
  <c r="H22" i="6"/>
  <c r="R22" i="6" s="1"/>
  <c r="D13" i="6"/>
  <c r="D8" i="6"/>
  <c r="D16" i="6" s="1"/>
  <c r="H23" i="6"/>
  <c r="H26" i="6"/>
  <c r="H20" i="6"/>
  <c r="L65" i="40"/>
  <c r="M63" i="40"/>
  <c r="D17" i="12"/>
  <c r="C17" i="12" s="1"/>
  <c r="C14" i="12"/>
  <c r="K70" i="39"/>
  <c r="L68" i="39"/>
  <c r="B2" i="21"/>
  <c r="K25" i="9"/>
  <c r="K26" i="9" s="1"/>
  <c r="C12" i="12"/>
  <c r="C15" i="12"/>
  <c r="F50" i="11"/>
  <c r="F50" i="69"/>
  <c r="F50" i="68"/>
  <c r="C38" i="11"/>
  <c r="C35" i="11"/>
  <c r="C33" i="11" s="1"/>
  <c r="M27" i="6"/>
  <c r="I19" i="6"/>
  <c r="S16" i="1"/>
  <c r="AQ6" i="1"/>
  <c r="AR6" i="1"/>
  <c r="T6" i="1"/>
  <c r="T16" i="1" s="1"/>
  <c r="C35" i="68"/>
  <c r="C38" i="68"/>
  <c r="E2" i="76"/>
  <c r="B2" i="43"/>
  <c r="B3" i="21"/>
  <c r="W7" i="37"/>
  <c r="AC7" i="37"/>
  <c r="V42" i="37" s="1"/>
  <c r="I42" i="37" s="1"/>
  <c r="I53" i="34"/>
  <c r="J53" i="34" s="1"/>
  <c r="I54" i="34"/>
  <c r="J54" i="34" s="1"/>
  <c r="H7" i="37"/>
  <c r="E49" i="34"/>
  <c r="R50" i="34"/>
  <c r="S7" i="37"/>
  <c r="AA7" i="37"/>
  <c r="R42" i="37" s="1"/>
  <c r="H46" i="36"/>
  <c r="I48" i="35"/>
  <c r="C22" i="11"/>
  <c r="C31" i="11" s="1"/>
  <c r="C22" i="68"/>
  <c r="J14" i="15"/>
  <c r="C33" i="15"/>
  <c r="C31" i="15" s="1"/>
  <c r="C57" i="15"/>
  <c r="C36" i="15"/>
  <c r="J19" i="15"/>
  <c r="J17" i="15" s="1"/>
  <c r="Q49" i="15"/>
  <c r="C13" i="15"/>
  <c r="J59" i="15"/>
  <c r="J60" i="15" s="1"/>
  <c r="C57" i="67"/>
  <c r="C36" i="67"/>
  <c r="J19" i="67"/>
  <c r="J17" i="67" s="1"/>
  <c r="C13" i="67"/>
  <c r="J14" i="67"/>
  <c r="Q49" i="67"/>
  <c r="C33" i="67"/>
  <c r="C31" i="67" s="1"/>
  <c r="J59" i="67"/>
  <c r="J60" i="67" s="1"/>
  <c r="C20" i="9"/>
  <c r="D19" i="9"/>
  <c r="C19" i="9"/>
  <c r="B6" i="76"/>
  <c r="D20" i="9"/>
  <c r="R26" i="6" l="1"/>
  <c r="A10" i="51"/>
  <c r="B9" i="72" s="1"/>
  <c r="A7" i="51"/>
  <c r="B7" i="72" s="1"/>
  <c r="C4" i="52"/>
  <c r="B45" i="72" s="1"/>
  <c r="D27" i="6"/>
  <c r="D31" i="6" s="1"/>
  <c r="M68" i="39"/>
  <c r="L70" i="39"/>
  <c r="M65" i="40"/>
  <c r="N63" i="40"/>
  <c r="R20" i="6"/>
  <c r="R23" i="6"/>
  <c r="C8" i="71"/>
  <c r="T9" i="71"/>
  <c r="D9" i="71"/>
  <c r="U9" i="71" s="1"/>
  <c r="D19" i="69"/>
  <c r="C10" i="69"/>
  <c r="C8" i="69" s="1"/>
  <c r="C5" i="69" s="1"/>
  <c r="D19" i="68"/>
  <c r="C10" i="68"/>
  <c r="D102" i="9"/>
  <c r="D21" i="9"/>
  <c r="D22" i="9"/>
  <c r="G19" i="9"/>
  <c r="G21" i="9" s="1"/>
  <c r="C102" i="9"/>
  <c r="C21" i="9"/>
  <c r="D103" i="9"/>
  <c r="C16" i="12"/>
  <c r="C21" i="12" s="1"/>
  <c r="C22" i="12" s="1"/>
  <c r="C27" i="12" s="1"/>
  <c r="C25" i="12" s="1"/>
  <c r="I27" i="6"/>
  <c r="H19" i="6"/>
  <c r="S19" i="6"/>
  <c r="S27" i="6" s="1"/>
  <c r="C39" i="11"/>
  <c r="C42" i="11"/>
  <c r="C41" i="11" s="1"/>
  <c r="B2" i="76"/>
  <c r="B3" i="76" s="1"/>
  <c r="B3" i="43"/>
  <c r="C103" i="9"/>
  <c r="G20" i="9"/>
  <c r="C49" i="34"/>
  <c r="C50" i="34"/>
  <c r="B2" i="34" s="1"/>
  <c r="B3" i="34" s="1"/>
  <c r="I46" i="37"/>
  <c r="J46" i="37" s="1"/>
  <c r="J48" i="35"/>
  <c r="I46" i="36"/>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C19" i="68" l="1"/>
  <c r="D37" i="68"/>
  <c r="C37" i="68" s="1"/>
  <c r="C33" i="68" s="1"/>
  <c r="C39" i="68" s="1"/>
  <c r="C43" i="68" s="1"/>
  <c r="D37" i="69"/>
  <c r="C37" i="69" s="1"/>
  <c r="C33" i="69" s="1"/>
  <c r="C19" i="69"/>
  <c r="N65" i="40"/>
  <c r="O63" i="40"/>
  <c r="O65" i="40" s="1"/>
  <c r="H7" i="40" s="1"/>
  <c r="C23" i="69"/>
  <c r="C22" i="69" s="1"/>
  <c r="C7" i="71"/>
  <c r="D8" i="71"/>
  <c r="J7" i="40"/>
  <c r="M70" i="39"/>
  <c r="N68" i="39"/>
  <c r="I5" i="6"/>
  <c r="I6" i="6"/>
  <c r="C32" i="9"/>
  <c r="H118" i="9" s="1"/>
  <c r="C42" i="68"/>
  <c r="C41" i="68" s="1"/>
  <c r="C30" i="12"/>
  <c r="C28" i="12" s="1"/>
  <c r="C32" i="12" s="1"/>
  <c r="B2" i="12" s="1"/>
  <c r="B3" i="12" s="1"/>
  <c r="C46" i="11"/>
  <c r="C45" i="11" s="1"/>
  <c r="C49" i="11" s="1"/>
  <c r="C51" i="11" s="1"/>
  <c r="C43" i="11"/>
  <c r="R19" i="6"/>
  <c r="H27" i="6"/>
  <c r="C46" i="68"/>
  <c r="C45" i="68" s="1"/>
  <c r="J16" i="15"/>
  <c r="J25" i="15" s="1"/>
  <c r="C58" i="15"/>
  <c r="C67" i="15" s="1"/>
  <c r="C68" i="15" s="1"/>
  <c r="C71" i="15" s="1"/>
  <c r="C43" i="37"/>
  <c r="B2" i="37" s="1"/>
  <c r="B3" i="37" s="1"/>
  <c r="C42" i="37"/>
  <c r="J16" i="67"/>
  <c r="J25" i="67" s="1"/>
  <c r="G46" i="37"/>
  <c r="H46" i="37" s="1"/>
  <c r="G47" i="37"/>
  <c r="H47" i="37" s="1"/>
  <c r="E47" i="37"/>
  <c r="F47" i="37" s="1"/>
  <c r="E46" i="37"/>
  <c r="F46" i="37" s="1"/>
  <c r="J46" i="36"/>
  <c r="K48" i="35"/>
  <c r="I47" i="37"/>
  <c r="J47" i="37" s="1"/>
  <c r="Q69" i="15"/>
  <c r="Q68" i="15" s="1"/>
  <c r="C40" i="15"/>
  <c r="C80" i="67"/>
  <c r="C79" i="67" s="1"/>
  <c r="C80" i="15"/>
  <c r="C79" i="15" s="1"/>
  <c r="C58" i="67"/>
  <c r="C67" i="67" s="1"/>
  <c r="C68" i="67" s="1"/>
  <c r="Q69" i="67"/>
  <c r="Q68" i="67" s="1"/>
  <c r="C40" i="67"/>
  <c r="L51" i="15"/>
  <c r="L51" i="67"/>
  <c r="C42" i="69" l="1"/>
  <c r="C41" i="69" s="1"/>
  <c r="C39" i="69"/>
  <c r="C43" i="69" s="1"/>
  <c r="C20" i="68"/>
  <c r="C24" i="68"/>
  <c r="N70" i="39"/>
  <c r="H7" i="39" s="1"/>
  <c r="O68" i="39"/>
  <c r="O70" i="39" s="1"/>
  <c r="AC7" i="40"/>
  <c r="V42" i="40" s="1"/>
  <c r="I42" i="40" s="1"/>
  <c r="I46" i="40" s="1"/>
  <c r="J46" i="40" s="1"/>
  <c r="W7" i="40"/>
  <c r="C6" i="71"/>
  <c r="D7" i="71"/>
  <c r="U7" i="40"/>
  <c r="AB7" i="40"/>
  <c r="T42" i="40" s="1"/>
  <c r="G42" i="40" s="1"/>
  <c r="C20" i="69"/>
  <c r="C25" i="69" s="1"/>
  <c r="C24" i="69"/>
  <c r="F7" i="40"/>
  <c r="C35" i="9"/>
  <c r="F118" i="9" s="1"/>
  <c r="F4" i="52" s="1"/>
  <c r="B51" i="72" s="1"/>
  <c r="C46" i="15"/>
  <c r="C49" i="68"/>
  <c r="C51" i="68" s="1"/>
  <c r="C52" i="11"/>
  <c r="B2" i="11" s="1"/>
  <c r="B3" i="11" s="1"/>
  <c r="R6" i="1"/>
  <c r="R16" i="1" s="1"/>
  <c r="R27" i="6"/>
  <c r="C104" i="9"/>
  <c r="H119" i="9"/>
  <c r="H5" i="52" s="1"/>
  <c r="H101" i="9"/>
  <c r="I118" i="9"/>
  <c r="H4" i="52"/>
  <c r="D14" i="74"/>
  <c r="L48" i="35"/>
  <c r="K46" i="36"/>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C46" i="69" l="1"/>
  <c r="C45" i="69" s="1"/>
  <c r="C49" i="69" s="1"/>
  <c r="C51" i="69" s="1"/>
  <c r="C5" i="71"/>
  <c r="D6" i="71"/>
  <c r="AB7" i="39"/>
  <c r="T47" i="39" s="1"/>
  <c r="G47" i="39" s="1"/>
  <c r="U7" i="39"/>
  <c r="J7" i="39"/>
  <c r="AA7" i="40"/>
  <c r="R42" i="40" s="1"/>
  <c r="S7" i="40"/>
  <c r="G46" i="40"/>
  <c r="H46" i="40" s="1"/>
  <c r="G47" i="40"/>
  <c r="H47" i="40" s="1"/>
  <c r="C28" i="68"/>
  <c r="C27" i="68" s="1"/>
  <c r="C31" i="68" s="1"/>
  <c r="C52" i="68" s="1"/>
  <c r="C25" i="68"/>
  <c r="F7" i="39"/>
  <c r="C28" i="69"/>
  <c r="C27" i="69" s="1"/>
  <c r="C31" i="69" s="1"/>
  <c r="F119" i="9"/>
  <c r="F5" i="52" s="1"/>
  <c r="B53" i="72" s="1"/>
  <c r="G118" i="9"/>
  <c r="G4" i="52" s="1"/>
  <c r="B52" i="72" s="1"/>
  <c r="C34" i="9"/>
  <c r="D118" i="9" s="1"/>
  <c r="C56" i="11"/>
  <c r="C57" i="11" s="1"/>
  <c r="D45" i="9"/>
  <c r="M48" i="9"/>
  <c r="D5" i="53"/>
  <c r="H107" i="9"/>
  <c r="E14" i="74"/>
  <c r="F14" i="74"/>
  <c r="B5" i="74"/>
  <c r="H102" i="9"/>
  <c r="D7" i="53" s="1"/>
  <c r="B21" i="72" s="1"/>
  <c r="C105" i="9"/>
  <c r="I4" i="52"/>
  <c r="L46" i="36"/>
  <c r="M48" i="35"/>
  <c r="B2" i="67"/>
  <c r="B3" i="67"/>
  <c r="Q66" i="15"/>
  <c r="Q57" i="15"/>
  <c r="Q66" i="67"/>
  <c r="Q75" i="67" s="1"/>
  <c r="Q57" i="67"/>
  <c r="Q62" i="67" s="1"/>
  <c r="Q75" i="15"/>
  <c r="Q62" i="15"/>
  <c r="C52" i="69" l="1"/>
  <c r="C57" i="69" s="1"/>
  <c r="C56" i="69" s="1"/>
  <c r="B2" i="68"/>
  <c r="B3" i="68" s="1"/>
  <c r="C57" i="68"/>
  <c r="C56" i="68" s="1"/>
  <c r="AA7" i="39"/>
  <c r="R47" i="39" s="1"/>
  <c r="S7" i="39"/>
  <c r="E42" i="40"/>
  <c r="R43" i="40"/>
  <c r="AC7" i="39"/>
  <c r="V47" i="39" s="1"/>
  <c r="I47" i="39" s="1"/>
  <c r="W7" i="39"/>
  <c r="G52" i="39"/>
  <c r="H52" i="39" s="1"/>
  <c r="G51" i="39"/>
  <c r="H51" i="39" s="1"/>
  <c r="D5" i="71"/>
  <c r="M20" i="43"/>
  <c r="E118" i="9"/>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B2" i="69" l="1"/>
  <c r="B3" i="69" s="1"/>
  <c r="C42" i="40"/>
  <c r="C43" i="40"/>
  <c r="I51" i="39"/>
  <c r="J51" i="39" s="1"/>
  <c r="I47" i="40"/>
  <c r="J47" i="40" s="1"/>
  <c r="E47" i="40"/>
  <c r="F47" i="40" s="1"/>
  <c r="E46" i="40"/>
  <c r="F46" i="40" s="1"/>
  <c r="E47" i="39"/>
  <c r="R48" i="39"/>
  <c r="C95" i="9"/>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E52" i="39" l="1"/>
  <c r="F52" i="39" s="1"/>
  <c r="E51" i="39"/>
  <c r="F51" i="39" s="1"/>
  <c r="I52" i="39"/>
  <c r="J52" i="39" s="1"/>
  <c r="B52" i="40"/>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C48" i="39"/>
  <c r="C47" i="39"/>
  <c r="C80" i="9"/>
  <c r="E80" i="9" s="1"/>
  <c r="E81" i="9" s="1"/>
  <c r="C6" i="74"/>
  <c r="D6" i="74"/>
  <c r="C96" i="9"/>
  <c r="E96" i="9" s="1"/>
  <c r="E97" i="9" s="1"/>
  <c r="AC7" i="35"/>
  <c r="V38" i="35" s="1"/>
  <c r="I38" i="35" s="1"/>
  <c r="W7" i="35"/>
  <c r="G41" i="36"/>
  <c r="H41" i="36" s="1"/>
  <c r="G40" i="36"/>
  <c r="H40" i="36" s="1"/>
  <c r="I40" i="36"/>
  <c r="J40" i="36" s="1"/>
  <c r="AA7" i="35"/>
  <c r="R38" i="35" s="1"/>
  <c r="S7" i="35"/>
  <c r="G43" i="35"/>
  <c r="H43" i="35" s="1"/>
  <c r="G42" i="35"/>
  <c r="H42" i="35" s="1"/>
  <c r="R37" i="36"/>
  <c r="E36" i="36"/>
  <c r="B56" i="39" l="1"/>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97" i="9"/>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<sst xmlns="http://schemas.openxmlformats.org/spreadsheetml/2006/main" count="11093" uniqueCount="3805">
  <si>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</si>
  <si>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</si>
  <si>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</si>
  <si>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</si>
  <si>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</si>
  <si>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</si>
  <si>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</si>
  <si>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</si>
  <si>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</si>
  <si>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</si>
  <si>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</si>
  <si>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</si>
  <si>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</si>
  <si>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</si>
  <si>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</si>
  <si>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</si>
  <si>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</si>
  <si>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</si>
  <si>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</si>
  <si>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</si>
  <si>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</si>
  <si>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</si>
  <si>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</si>
  <si>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</si>
  <si>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</si>
  <si>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</si>
  <si>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</si>
  <si>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</si>
  <si>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</si>
  <si>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</si>
  <si>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</si>
  <si>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</si>
  <si>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</si>
  <si>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</si>
  <si>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</si>
  <si>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</si>
  <si>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</si>
  <si>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</si>
  <si>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</si>
  <si>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</si>
  <si>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</si>
  <si>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</si>
  <si>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</si>
  <si>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</si>
  <si>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</si>
  <si>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</si>
  <si>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</si>
  <si>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</si>
  <si>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</si>
  <si>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</si>
  <si>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</si>
  <si>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</si>
  <si>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</si>
  <si>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</si>
  <si>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</si>
  <si>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</si>
  <si>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</si>
  <si>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</si>
  <si>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</si>
  <si>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</si>
  <si>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</si>
  <si>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</si>
  <si>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</si>
  <si>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</si>
  <si>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</si>
  <si>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</si>
  <si>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</si>
  <si>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</si>
  <si>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</si>
  <si>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</si>
  <si>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</si>
  <si>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</si>
  <si>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</si>
  <si>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</si>
  <si>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</si>
  <si>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</si>
  <si>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</si>
  <si>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</si>
  <si>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</si>
  <si>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</si>
  <si>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</si>
  <si>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</si>
  <si>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</si>
  <si>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</si>
  <si>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</si>
  <si>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</si>
  <si>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</si>
  <si>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</si>
  <si>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</si>
  <si>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</si>
  <si>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</si>
  <si>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</si>
  <si>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</si>
  <si>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</si>
  <si>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</si>
  <si>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</si>
  <si>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</si>
  <si>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</si>
  <si>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</si>
  <si>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</si>
  <si>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</si>
  <si>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</si>
  <si>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</si>
  <si>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</si>
  <si>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</si>
  <si>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</si>
  <si>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</si>
  <si>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</si>
  <si>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</si>
  <si>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</si>
  <si>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</si>
  <si>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</si>
  <si>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</si>
  <si>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</si>
  <si>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</si>
  <si>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</si>
  <si>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</si>
  <si>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</si>
  <si>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</si>
  <si>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</si>
  <si>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</si>
  <si>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</si>
  <si>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</si>
  <si>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</si>
  <si>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</si>
  <si>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</si>
  <si>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</si>
  <si>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</si>
  <si>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</si>
  <si>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</si>
  <si>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</si>
  <si>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</si>
  <si>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</si>
  <si>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</si>
  <si>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</si>
  <si>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</si>
  <si>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</si>
  <si>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</si>
  <si>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</si>
  <si>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</si>
  <si>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</si>
  <si>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</si>
  <si>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</si>
  <si>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</si>
  <si>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</si>
  <si>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</si>
  <si>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</si>
  <si>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</si>
  <si>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</si>
  <si>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</si>
  <si>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</si>
  <si>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</si>
  <si>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</si>
  <si>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</si>
  <si>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</si>
  <si>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</si>
  <si>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</si>
  <si>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</si>
  <si>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</si>
  <si>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</si>
  <si>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</si>
  <si>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</si>
  <si>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</si>
  <si>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</si>
  <si>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</si>
  <si>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</si>
  <si>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</si>
  <si>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</si>
  <si>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</si>
  <si>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</si>
  <si>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</si>
  <si>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</si>
  <si>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</si>
  <si>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</si>
  <si>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</si>
  <si>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</si>
  <si>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</si>
  <si>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</si>
  <si>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</si>
  <si>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</si>
  <si>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</si>
  <si>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</si>
  <si>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</si>
  <si>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</si>
  <si>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</si>
  <si>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</si>
  <si>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</si>
  <si>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</si>
  <si>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</si>
  <si>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</si>
  <si>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</si>
  <si>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</si>
  <si>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</si>
  <si>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</si>
  <si>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</si>
  <si>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</si>
  <si>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</si>
  <si>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</si>
  <si>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</si>
  <si>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</si>
  <si>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</si>
  <si>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</si>
  <si>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</si>
  <si>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</si>
  <si>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</si>
  <si>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</si>
  <si>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</si>
  <si>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</si>
  <si>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</si>
  <si>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</si>
  <si>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</si>
  <si>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</si>
  <si>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</si>
  <si>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</si>
  <si>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</si>
  <si>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</si>
  <si>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</si>
  <si>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</si>
  <si>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</si>
  <si>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</si>
  <si>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</si>
  <si>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</si>
  <si>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</si>
  <si>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</si>
  <si>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</si>
  <si>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</si>
  <si>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</si>
  <si>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</si>
  <si>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</si>
  <si>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</si>
  <si>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</si>
  <si>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</si>
  <si>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</si>
  <si>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</si>
  <si>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</si>
  <si>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</si>
  <si>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</si>
  <si>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</si>
  <si>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</si>
  <si>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</si>
  <si>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</si>
  <si>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</si>
  <si>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</si>
  <si>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</si>
  <si>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</si>
  <si>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</si>
  <si>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</si>
  <si>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</si>
  <si>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</si>
  <si>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</si>
  <si>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</si>
  <si>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</si>
  <si>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</si>
  <si>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</si>
  <si>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</si>
  <si>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</si>
  <si>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</si>
  <si>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</si>
  <si>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</si>
  <si>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</si>
  <si>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</si>
  <si>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</si>
  <si>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</si>
  <si>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</si>
  <si>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</si>
  <si>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</si>
  <si>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</si>
  <si>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</si>
  <si>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</si>
  <si>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</si>
  <si>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</si>
  <si>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</si>
  <si>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</si>
  <si>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</si>
  <si>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</si>
  <si>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</si>
  <si>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</si>
  <si>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</si>
  <si>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</si>
  <si>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</si>
  <si>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</si>
  <si>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</si>
  <si>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</si>
  <si>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</si>
  <si>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</si>
  <si>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</si>
  <si>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</si>
  <si>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</si>
  <si>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</si>
  <si>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</si>
  <si>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</si>
  <si>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</si>
  <si>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</si>
  <si>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</si>
  <si>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</si>
  <si>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</si>
  <si>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</si>
  <si>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</si>
  <si>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</si>
  <si>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</si>
  <si>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</si>
  <si>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</si>
  <si>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</si>
  <si>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</si>
  <si>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</si>
  <si>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</si>
  <si>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</si>
  <si>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</si>
  <si>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</si>
  <si>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</si>
  <si>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</si>
  <si>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</si>
  <si>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</si>
  <si>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</si>
  <si>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</si>
  <si>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</si>
  <si>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</si>
  <si>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</si>
  <si>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</si>
  <si>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</si>
  <si>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</si>
  <si>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</si>
  <si>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</si>
  <si>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</si>
  <si>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</si>
  <si>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</si>
  <si>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</si>
  <si>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</si>
  <si>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</si>
  <si>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</si>
  <si>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</si>
  <si>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</si>
  <si>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</si>
  <si>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</si>
  <si>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</si>
  <si>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</si>
  <si>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</si>
  <si>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</si>
  <si>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</si>
  <si>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</si>
  <si>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</si>
  <si>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</si>
  <si>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</si>
  <si>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</si>
  <si>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</si>
  <si>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</si>
  <si>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</si>
  <si>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</si>
  <si>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</si>
  <si>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</si>
  <si>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</si>
  <si>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</si>
  <si>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</si>
  <si>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</si>
  <si>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</si>
  <si>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</si>
  <si>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</si>
  <si>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</si>
  <si>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</si>
  <si>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</si>
  <si>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</si>
  <si>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</si>
  <si>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</si>
  <si>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</si>
  <si>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</si>
  <si>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</si>
  <si>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</si>
  <si>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</si>
  <si>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</si>
  <si>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</si>
  <si>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</si>
  <si>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</si>
  <si>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</si>
  <si>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</si>
  <si>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</si>
  <si>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</si>
  <si>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</si>
  <si>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</si>
  <si>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</si>
  <si>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</si>
  <si>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</si>
  <si>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</si>
  <si>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</si>
  <si>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</si>
  <si>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</si>
  <si>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</si>
  <si>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</si>
  <si>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</si>
  <si>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</si>
  <si>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</si>
  <si>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</si>
  <si>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</si>
  <si>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</si>
  <si>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</si>
  <si>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</si>
  <si>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</si>
  <si>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</si>
  <si>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</si>
  <si>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</si>
  <si>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</si>
  <si>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</si>
  <si>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</si>
  <si>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</si>
  <si>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</si>
  <si>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</si>
  <si>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</si>
  <si>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</si>
  <si>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</si>
  <si>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</si>
  <si>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</si>
  <si>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</si>
  <si>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</si>
  <si>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</si>
  <si>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</si>
  <si>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</si>
  <si>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</si>
  <si>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</si>
  <si>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</si>
  <si>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</si>
  <si>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</si>
  <si>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</si>
  <si>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</si>
  <si>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</si>
  <si>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</si>
  <si>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</si>
  <si>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</si>
  <si>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</si>
  <si>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</si>
  <si>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</si>
  <si>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</si>
  <si>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</si>
  <si>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</si>
  <si>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</si>
  <si>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</si>
  <si>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</si>
  <si>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</si>
  <si>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</si>
  <si>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</si>
  <si>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</si>
  <si>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</si>
  <si>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</si>
  <si>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</si>
  <si>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</si>
  <si>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</si>
  <si>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</si>
  <si>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</si>
  <si>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</si>
  <si>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</si>
  <si>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</si>
  <si>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</si>
  <si>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</si>
  <si>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</si>
  <si>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</si>
  <si>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</si>
  <si>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</si>
  <si>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</si>
  <si>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</si>
  <si>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</si>
  <si>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</si>
  <si>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</si>
  <si>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</si>
  <si>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</si>
  <si>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</si>
  <si>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</si>
  <si>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</si>
  <si>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</si>
  <si>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</si>
  <si>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</si>
  <si>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</si>
  <si>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</si>
  <si>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</si>
  <si>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</si>
  <si>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</si>
  <si>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</si>
  <si>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</si>
  <si>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</si>
  <si>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</si>
  <si>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</si>
  <si>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</si>
  <si>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</si>
  <si>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</si>
  <si>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</si>
  <si>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</si>
  <si>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</si>
  <si>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</si>
  <si>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</si>
  <si>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</si>
  <si>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</si>
  <si>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</si>
  <si>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</si>
  <si>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</si>
  <si>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</si>
  <si>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</si>
  <si>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</si>
  <si>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</si>
  <si>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</si>
  <si>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</si>
  <si>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</si>
  <si>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</si>
  <si>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</si>
  <si>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</si>
  <si>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</si>
  <si>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</si>
  <si>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</si>
  <si>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</si>
  <si>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</si>
  <si>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</si>
  <si>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</si>
  <si>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</si>
  <si>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</si>
  <si>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</si>
  <si>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</si>
  <si>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</si>
  <si>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</si>
  <si>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</si>
  <si>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</si>
  <si>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</si>
  <si>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</si>
  <si>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</si>
  <si>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</si>
  <si>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</si>
  <si>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</si>
  <si>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</si>
  <si>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</si>
  <si>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</si>
  <si>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</si>
  <si>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</si>
  <si>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</si>
  <si>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</si>
  <si>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</si>
  <si>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</si>
  <si>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</si>
  <si>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</si>
  <si>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</si>
  <si>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</si>
  <si>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</si>
  <si>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</si>
  <si>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</si>
  <si>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</si>
  <si>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</si>
  <si>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</si>
  <si>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</si>
  <si>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</si>
  <si>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</si>
  <si>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</si>
  <si>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</si>
  <si>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</si>
  <si>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</si>
  <si>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</si>
  <si>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</si>
  <si>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</si>
  <si>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</si>
  <si>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</si>
  <si>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</si>
  <si>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</si>
  <si>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</si>
  <si>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</si>
  <si>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</si>
  <si>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</si>
  <si>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</si>
  <si>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</si>
  <si>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</si>
  <si>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</si>
  <si>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</si>
  <si>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</si>
  <si>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</si>
  <si>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</si>
  <si>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</si>
  <si>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</si>
  <si>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</si>
  <si>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</si>
  <si>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</si>
  <si>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</si>
  <si>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</si>
  <si>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</si>
  <si>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</si>
  <si>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</si>
  <si>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</si>
  <si>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</si>
  <si>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</si>
  <si>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</si>
  <si>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</si>
  <si>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</si>
  <si>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</si>
  <si>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</si>
  <si>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</si>
  <si>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</si>
  <si>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</si>
  <si>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</si>
  <si>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</si>
  <si>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</si>
  <si>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</si>
  <si>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</si>
  <si>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</si>
  <si>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</si>
  <si>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</si>
  <si>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</si>
  <si>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</si>
  <si>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</si>
  <si>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</si>
  <si>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</si>
  <si>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</si>
  <si>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</si>
  <si>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</si>
  <si>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</si>
  <si>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</si>
  <si>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</si>
  <si>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</si>
  <si>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</si>
  <si>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</si>
  <si>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</si>
  <si>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</si>
  <si>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</si>
  <si>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</si>
  <si>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</si>
  <si>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</si>
  <si>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</si>
  <si>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</si>
  <si>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</si>
  <si>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</si>
  <si>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</si>
  <si>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</si>
  <si>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</si>
  <si>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</si>
  <si>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</si>
  <si>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</si>
  <si>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</si>
  <si>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</si>
  <si>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</si>
  <si>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</si>
  <si>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</si>
  <si>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</si>
  <si>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</si>
  <si>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</si>
  <si>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</si>
  <si>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</si>
  <si>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</si>
  <si>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</si>
  <si>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</si>
  <si>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</si>
  <si>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</si>
  <si>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</si>
  <si>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</si>
  <si>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</si>
  <si>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</si>
  <si>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</si>
  <si>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</si>
  <si>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</si>
  <si>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</si>
  <si>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</si>
  <si>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</si>
  <si>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</si>
  <si>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</si>
  <si>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</si>
  <si>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</si>
  <si>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</si>
  <si>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</si>
  <si>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</si>
  <si>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</si>
  <si>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</si>
  <si>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</si>
  <si>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</si>
  <si>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</si>
  <si>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</si>
  <si>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</si>
  <si>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</si>
  <si>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</si>
  <si>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</si>
  <si>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</si>
  <si>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</si>
  <si>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</si>
  <si>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</si>
  <si>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</si>
  <si>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</si>
  <si>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</si>
  <si>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</si>
  <si>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</si>
  <si>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</si>
  <si>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</si>
  <si>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</si>
  <si>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</si>
  <si>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</si>
  <si>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</si>
  <si>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</si>
  <si>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</si>
  <si>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</si>
  <si>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</si>
  <si>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</si>
  <si>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</si>
  <si>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</si>
  <si>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</si>
  <si>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</si>
  <si>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</si>
  <si>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</si>
  <si>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</si>
  <si>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</si>
  <si>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</si>
  <si>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</si>
  <si>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</si>
  <si>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</si>
  <si>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</si>
  <si>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</si>
  <si>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</si>
  <si>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</si>
  <si>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</si>
  <si>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</si>
  <si>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</si>
  <si>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</si>
  <si>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</si>
  <si>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</si>
  <si>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</si>
  <si>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</si>
  <si>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</si>
  <si>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</si>
  <si>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</si>
  <si>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</si>
  <si>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</si>
  <si>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</si>
  <si>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</si>
  <si>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</si>
  <si>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</si>
  <si>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</si>
  <si>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</si>
  <si>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</si>
  <si>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</si>
  <si>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</si>
  <si>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</si>
  <si>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</si>
  <si>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</si>
  <si>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</si>
  <si>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</si>
  <si>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</si>
  <si>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</si>
  <si>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</si>
  <si>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</si>
  <si>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</si>
  <si>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</si>
  <si>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</si>
  <si>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</si>
  <si>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</si>
  <si>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</si>
  <si>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</si>
  <si>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</si>
  <si>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</si>
  <si>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</si>
  <si>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</si>
  <si>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</si>
  <si>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</si>
  <si>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</si>
  <si>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</si>
  <si>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</si>
  <si>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</si>
  <si>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</si>
  <si>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</si>
  <si>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</si>
  <si>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</si>
  <si>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</si>
  <si>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</si>
  <si>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</si>
  <si>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</si>
  <si>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</si>
  <si>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</si>
  <si>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</si>
  <si>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</si>
  <si>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</si>
  <si>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</si>
  <si>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</si>
  <si>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</si>
  <si>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</si>
  <si>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</si>
  <si>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</si>
  <si>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</si>
  <si>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</si>
  <si>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</si>
  <si>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</si>
  <si>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</si>
  <si>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</si>
  <si>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</si>
  <si>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</si>
  <si>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</si>
  <si>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</si>
  <si>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</si>
  <si>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</si>
  <si>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</si>
  <si>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</si>
  <si>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</si>
  <si>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</si>
  <si>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</si>
  <si>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</si>
  <si>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</si>
  <si>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</si>
  <si>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</si>
  <si>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</si>
  <si>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</si>
  <si>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</si>
  <si>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</si>
  <si>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</si>
  <si>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</si>
  <si>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</si>
  <si>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</si>
  <si>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</si>
  <si>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</si>
  <si>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</si>
  <si>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</si>
  <si>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</si>
  <si>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</si>
  <si>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</si>
  <si>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</si>
  <si>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</si>
  <si>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</si>
  <si>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</si>
  <si>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</si>
  <si>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</si>
  <si>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</si>
  <si>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</si>
  <si>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</si>
  <si>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</si>
  <si>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</si>
  <si>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</si>
  <si>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</si>
  <si>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</si>
  <si>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</si>
  <si>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</si>
  <si>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</si>
  <si>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</si>
  <si>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</si>
  <si>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</si>
  <si>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</si>
  <si>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</si>
  <si>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</si>
  <si>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</si>
  <si>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</si>
  <si>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</si>
  <si>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</si>
  <si>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</si>
  <si>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</si>
  <si>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</si>
  <si>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</si>
  <si>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</si>
  <si>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</si>
  <si>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</si>
  <si>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</si>
  <si>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</si>
  <si>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</si>
  <si>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</si>
  <si>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</si>
  <si>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</si>
  <si>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</si>
  <si>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</si>
  <si>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</si>
  <si>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</si>
  <si>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</si>
  <si>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</si>
  <si>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</si>
  <si>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</si>
  <si>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</si>
  <si>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</si>
  <si>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</si>
  <si>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</si>
  <si>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</si>
  <si>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</si>
  <si>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</si>
  <si>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</si>
  <si>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</si>
  <si>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</si>
  <si>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</si>
  <si>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</si>
  <si>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</si>
  <si>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</si>
  <si>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</si>
  <si>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</si>
  <si>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</si>
  <si>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</si>
  <si>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</si>
  <si>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</si>
  <si>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</si>
  <si>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</si>
  <si>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</si>
  <si>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</si>
  <si>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</si>
  <si>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</si>
  <si>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</si>
  <si>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</si>
  <si>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</si>
  <si>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</si>
  <si>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</si>
  <si>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</si>
  <si>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</si>
  <si>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</si>
  <si>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</si>
  <si>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</si>
  <si>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</si>
  <si>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</si>
  <si>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</si>
  <si>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</si>
  <si>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</si>
  <si>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</si>
  <si>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</si>
  <si>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</si>
  <si>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</si>
  <si>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</si>
  <si>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</si>
  <si>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</si>
  <si>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</si>
  <si>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</si>
  <si>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</si>
  <si>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</si>
  <si>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</si>
  <si>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</si>
  <si>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</si>
  <si>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</si>
  <si>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</si>
  <si>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</si>
  <si>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</si>
  <si>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</si>
  <si>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</si>
  <si>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</si>
  <si>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</si>
  <si>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</si>
  <si>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</si>
  <si>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</si>
  <si>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</si>
  <si>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</si>
  <si>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</si>
  <si>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</si>
  <si>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</si>
  <si>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</si>
  <si>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</si>
  <si>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</si>
  <si>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</si>
  <si>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</si>
  <si>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</si>
  <si>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</si>
  <si>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</si>
  <si>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</si>
  <si>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</si>
  <si>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</si>
  <si>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</si>
  <si>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</si>
  <si>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</si>
  <si>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</si>
  <si>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</si>
  <si>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</si>
  <si>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</si>
  <si>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</si>
  <si>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</si>
  <si>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</si>
  <si>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</si>
  <si>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</si>
  <si>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</si>
  <si>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</si>
  <si>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</si>
  <si>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</si>
  <si>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</si>
  <si>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</si>
  <si>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</si>
  <si>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</si>
  <si>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</si>
  <si>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</si>
  <si>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</si>
  <si>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</si>
  <si>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</si>
  <si>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</si>
  <si>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</si>
  <si>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</si>
  <si>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</si>
  <si>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</si>
  <si>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</si>
  <si>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</si>
  <si>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</si>
  <si>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</si>
  <si>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</si>
  <si>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</si>
  <si>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</si>
  <si>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</si>
  <si>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</si>
  <si>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</si>
  <si>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</si>
  <si>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</si>
  <si>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</si>
  <si>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</si>
  <si>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</si>
  <si>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</si>
  <si>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</si>
  <si>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</si>
  <si>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</si>
  <si>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</si>
  <si>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</si>
  <si>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</si>
  <si>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</si>
  <si>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</si>
  <si>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</si>
  <si>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</si>
  <si>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</si>
  <si>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</si>
  <si>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</si>
  <si>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</si>
  <si>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</si>
  <si>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</si>
  <si>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</si>
  <si>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</si>
  <si>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</si>
  <si>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</si>
  <si>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</si>
  <si>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</si>
  <si>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</si>
  <si>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</si>
  <si>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</si>
  <si>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</si>
  <si>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</si>
  <si>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</si>
  <si>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</si>
  <si>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</si>
  <si>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</si>
  <si>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</si>
  <si>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</si>
  <si>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</si>
  <si>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</si>
  <si>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</si>
  <si>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</si>
  <si>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</si>
  <si>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</si>
  <si>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</si>
  <si>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</si>
  <si>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</si>
  <si>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</si>
  <si>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</si>
  <si>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</si>
  <si>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</si>
  <si>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</si>
  <si>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</si>
  <si>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</si>
  <si>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</si>
  <si>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</si>
  <si>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</si>
  <si>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</si>
  <si>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</si>
  <si>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</si>
  <si>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</si>
  <si>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</si>
  <si>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</si>
  <si>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</si>
  <si>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</si>
  <si>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</si>
  <si>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</si>
  <si>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</si>
  <si>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</si>
  <si>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</si>
  <si>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</si>
  <si>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</si>
  <si>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</si>
  <si>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</si>
  <si>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</si>
  <si>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</si>
  <si>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</si>
  <si>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</si>
  <si>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</si>
  <si>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</si>
  <si>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</si>
  <si>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</si>
  <si>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</si>
  <si>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</si>
  <si>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</si>
  <si>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</si>
  <si>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</si>
  <si>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</si>
  <si>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</si>
  <si>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</si>
  <si>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</si>
  <si>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</si>
  <si>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</si>
  <si>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</si>
  <si>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</si>
  <si>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</si>
  <si>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</si>
  <si>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</si>
  <si>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</si>
  <si>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</si>
  <si>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</si>
  <si>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</si>
  <si>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</si>
  <si>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</si>
  <si>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</si>
  <si>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</si>
  <si>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</si>
  <si>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</si>
  <si>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</si>
  <si>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</si>
  <si>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</si>
  <si>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</si>
  <si>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</si>
  <si>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</si>
  <si>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</si>
  <si>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</si>
  <si>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</si>
  <si>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</si>
  <si>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</si>
  <si>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</si>
  <si>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</si>
  <si>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</si>
  <si>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</si>
  <si>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</si>
  <si>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</si>
  <si>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</si>
  <si>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</si>
  <si>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</si>
  <si>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</si>
  <si>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</si>
  <si>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</si>
  <si>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</si>
  <si>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</si>
  <si>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</si>
  <si>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</si>
  <si>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</si>
  <si>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</si>
  <si>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</si>
  <si>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</si>
  <si>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</si>
  <si>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</si>
  <si>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</si>
  <si>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</si>
  <si>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</si>
  <si>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</si>
  <si>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</si>
  <si>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</si>
  <si>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</si>
  <si>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</si>
  <si>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</si>
  <si>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</si>
  <si>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</si>
  <si>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</si>
  <si>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</si>
  <si>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</si>
  <si>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</si>
  <si>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</si>
  <si>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</si>
  <si>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</si>
  <si>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</si>
  <si>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</si>
  <si>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</si>
  <si>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</si>
  <si>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</si>
  <si>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</si>
  <si>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</si>
  <si>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</si>
  <si>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</si>
  <si>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</si>
  <si>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</si>
  <si>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</si>
  <si>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</si>
  <si>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</si>
  <si>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</si>
  <si>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</si>
  <si>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</si>
  <si>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</si>
  <si>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</si>
  <si>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</si>
  <si>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</si>
  <si>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</si>
  <si>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</si>
  <si>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</si>
  <si>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</si>
  <si>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</si>
  <si>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</si>
  <si>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</si>
  <si>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</si>
  <si>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</si>
  <si>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</si>
  <si>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</si>
  <si>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</si>
  <si>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</si>
  <si>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</si>
  <si>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</si>
  <si>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</si>
  <si>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</si>
  <si>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</si>
  <si>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</si>
  <si>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</si>
  <si>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</si>
  <si>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</si>
  <si>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</si>
  <si>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</si>
  <si>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</si>
  <si>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</si>
  <si>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</si>
  <si>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</si>
  <si>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</si>
  <si>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</si>
  <si>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</si>
  <si>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</si>
  <si>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</si>
  <si>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</si>
  <si>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</si>
  <si>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</si>
  <si>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</si>
  <si>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</si>
  <si>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</si>
  <si>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</si>
  <si>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</si>
  <si>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</si>
  <si>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</si>
  <si>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</si>
  <si>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</si>
  <si>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</si>
  <si>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</si>
  <si>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</si>
  <si>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</si>
  <si>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</si>
  <si>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</si>
  <si>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</si>
  <si>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</si>
  <si>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</si>
  <si>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</si>
  <si>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</si>
  <si>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</si>
  <si>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</si>
  <si>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</si>
  <si>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</si>
  <si>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</si>
  <si>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</si>
  <si>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</si>
  <si>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</si>
  <si>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</si>
  <si>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</si>
  <si>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</si>
  <si>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</si>
  <si>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</si>
  <si>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</si>
  <si>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</si>
  <si>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</si>
  <si>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</si>
  <si>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</si>
  <si>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</si>
  <si>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</si>
  <si>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</si>
  <si>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</si>
  <si>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</si>
  <si>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</si>
  <si>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</si>
  <si>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</si>
  <si>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</si>
  <si>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</si>
  <si>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</si>
  <si>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</si>
  <si>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</si>
  <si>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</si>
  <si>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</si>
  <si>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</si>
  <si>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</si>
  <si>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</si>
  <si>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</si>
  <si>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</si>
  <si>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</si>
  <si>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</si>
  <si>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</si>
  <si>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</si>
  <si>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</si>
  <si>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</si>
  <si>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</si>
  <si>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</si>
  <si>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</si>
  <si>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</si>
  <si>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</si>
  <si>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</si>
  <si>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</si>
  <si>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</si>
  <si>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</si>
  <si>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</si>
  <si>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</si>
  <si>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</si>
  <si>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</si>
  <si>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</si>
  <si>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</si>
  <si>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</si>
  <si>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</si>
  <si>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</si>
  <si>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</si>
  <si>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</si>
  <si>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</si>
  <si>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</si>
  <si>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</si>
  <si>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</si>
  <si>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</si>
  <si>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</si>
  <si>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</si>
  <si>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</si>
  <si>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</si>
  <si>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</si>
  <si>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</si>
  <si>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</si>
  <si>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</si>
  <si>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</si>
  <si>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</si>
  <si>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</si>
  <si>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</si>
  <si>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</si>
  <si>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</si>
  <si>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</si>
  <si>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</si>
  <si>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</si>
  <si>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</si>
  <si>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</si>
  <si>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</si>
  <si>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</si>
  <si>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</si>
  <si>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</si>
  <si>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</si>
  <si>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</si>
  <si>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</si>
  <si>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</si>
  <si>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</si>
  <si>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</si>
  <si>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</si>
  <si>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</si>
  <si>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</si>
  <si>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</si>
  <si>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</si>
  <si>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</si>
  <si>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</si>
  <si>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</si>
  <si>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</si>
  <si>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</si>
  <si>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</si>
  <si>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</si>
  <si>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</si>
  <si>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</si>
  <si>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</si>
  <si>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</si>
  <si>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</si>
  <si>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</si>
  <si>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</si>
  <si>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</si>
  <si>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</si>
  <si>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</si>
  <si>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</si>
  <si>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</si>
  <si>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</si>
  <si>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</si>
  <si>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</si>
  <si>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</si>
  <si>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</si>
  <si>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</si>
  <si>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</si>
  <si>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</si>
  <si>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</si>
  <si>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</si>
  <si>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</si>
  <si>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</si>
  <si>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</si>
  <si>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</si>
  <si>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</si>
  <si>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</si>
  <si>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</si>
  <si>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</si>
  <si>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</si>
  <si>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</si>
  <si>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</si>
  <si>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</si>
  <si>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</si>
  <si>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</si>
  <si>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</si>
  <si>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</si>
  <si>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</si>
  <si>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</si>
  <si>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</si>
  <si>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</si>
  <si>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</si>
  <si>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</si>
  <si>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</si>
  <si>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</si>
  <si>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</si>
  <si>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</si>
  <si>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</si>
  <si>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</si>
  <si>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</si>
  <si>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</si>
  <si>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</si>
  <si>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</si>
  <si>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</si>
  <si>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</si>
  <si>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</si>
  <si>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</si>
  <si>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</si>
  <si>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</si>
  <si>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</si>
  <si>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</si>
  <si>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</si>
  <si>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</si>
  <si>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</si>
  <si>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</si>
  <si>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</si>
  <si>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</si>
  <si>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</si>
  <si>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</si>
  <si>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</si>
  <si>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</si>
  <si>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</si>
  <si>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</si>
  <si>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</si>
  <si>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</si>
  <si>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</si>
  <si>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</si>
  <si>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</si>
  <si>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</si>
  <si>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</si>
  <si>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</si>
  <si>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</si>
  <si>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</si>
  <si>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</si>
  <si>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</si>
  <si>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</si>
  <si>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</si>
  <si>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</si>
  <si>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</si>
  <si>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</si>
  <si>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</si>
  <si>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</si>
  <si>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</si>
  <si>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</si>
  <si>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</si>
  <si>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</si>
  <si>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</si>
  <si>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</si>
  <si>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</si>
  <si>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</si>
  <si>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</si>
  <si>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</si>
  <si>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</si>
  <si>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</si>
  <si>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</si>
  <si>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</si>
  <si>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</si>
  <si>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</si>
  <si>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</si>
  <si>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</si>
  <si>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</si>
  <si>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</si>
  <si>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</si>
  <si>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</si>
  <si>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</si>
  <si>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</si>
  <si>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</si>
  <si>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</si>
  <si>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</si>
  <si>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</si>
  <si>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</si>
  <si>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</si>
  <si>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</si>
  <si>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</si>
  <si>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</si>
  <si>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</si>
  <si>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</si>
  <si>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</si>
  <si>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</si>
  <si>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</si>
  <si>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</si>
  <si>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</si>
  <si>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</si>
  <si>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</si>
  <si>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</si>
  <si>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</si>
  <si>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</si>
  <si>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</si>
  <si>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</si>
  <si>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</si>
  <si>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</si>
  <si>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</si>
  <si>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</si>
  <si>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</si>
  <si>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</si>
  <si>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</si>
  <si>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</si>
  <si>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</si>
  <si>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</si>
  <si>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</si>
  <si>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</si>
  <si>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</si>
  <si>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</si>
  <si>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</si>
  <si>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</si>
  <si>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</si>
  <si>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</si>
  <si>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</si>
  <si>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</si>
  <si>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</si>
  <si>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</si>
  <si>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</si>
  <si>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</si>
  <si>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</si>
  <si>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</si>
  <si>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</si>
  <si>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</si>
  <si>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</si>
  <si>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</si>
  <si>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</si>
  <si>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</si>
  <si>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</si>
  <si>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</si>
  <si>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</si>
  <si>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</si>
  <si>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</si>
  <si>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</si>
  <si>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</si>
  <si>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</si>
  <si>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</si>
  <si>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</si>
  <si>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</si>
  <si>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</si>
  <si>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</si>
  <si>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</si>
  <si>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</si>
  <si>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</si>
  <si>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</si>
  <si>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</si>
  <si>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</si>
  <si>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</si>
  <si>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</si>
  <si>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</si>
  <si>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</si>
  <si>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</si>
  <si>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</si>
  <si>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</si>
  <si>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</si>
  <si>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</si>
  <si>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</si>
  <si>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</si>
  <si>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</si>
  <si>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</si>
  <si>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</si>
  <si>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</si>
  <si>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</si>
  <si>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</si>
  <si>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</si>
  <si>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</si>
  <si>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</si>
  <si>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</si>
  <si>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</si>
  <si>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</si>
  <si>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</si>
  <si>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</si>
  <si>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</si>
  <si>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</si>
  <si>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</si>
  <si>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</si>
  <si>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</si>
  <si>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</si>
  <si>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</si>
  <si>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</si>
  <si>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</si>
  <si>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</si>
  <si>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</si>
  <si>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</si>
  <si>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</si>
  <si>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</si>
  <si>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</si>
  <si>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</si>
  <si>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</si>
  <si>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</si>
  <si>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</si>
  <si>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</si>
  <si>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</si>
  <si>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</si>
  <si>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</si>
  <si>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</si>
  <si>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</si>
  <si>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</si>
  <si>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</si>
  <si>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</si>
  <si>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</si>
  <si>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</si>
  <si>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</si>
  <si>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</si>
  <si>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</si>
  <si>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</si>
  <si>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</si>
  <si>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</si>
  <si>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</si>
  <si>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</si>
  <si>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</si>
  <si>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</si>
  <si>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</si>
  <si>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</si>
  <si>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</si>
  <si>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</si>
  <si>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</si>
  <si>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</si>
  <si>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</si>
  <si>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</si>
  <si>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</si>
  <si>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</si>
  <si>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</si>
  <si>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</si>
  <si>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</si>
  <si>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</si>
  <si>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</si>
  <si>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</si>
  <si>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</si>
  <si>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</si>
  <si>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</si>
  <si>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</si>
  <si>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</si>
  <si>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</si>
  <si>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</si>
  <si>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</si>
  <si>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</si>
  <si>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</si>
  <si>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</si>
  <si>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</si>
  <si>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</si>
  <si>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</si>
  <si>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</si>
  <si>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</si>
  <si>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</si>
  <si>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</si>
  <si>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</si>
  <si>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</si>
  <si>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</si>
  <si>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</si>
  <si>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</si>
  <si>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</si>
  <si>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</si>
  <si>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</si>
  <si>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</si>
  <si>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</si>
  <si>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</si>
  <si>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</si>
  <si>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</si>
  <si>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</si>
  <si>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</si>
  <si>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</si>
  <si>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</si>
  <si>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</si>
  <si>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</si>
  <si>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</si>
  <si>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</si>
  <si>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</si>
  <si>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</si>
  <si>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</si>
  <si>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</si>
  <si>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</si>
  <si>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</si>
  <si>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</si>
  <si>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</si>
  <si>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</si>
  <si>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</si>
  <si>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</si>
  <si>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</si>
  <si>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</si>
  <si>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</si>
  <si>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</si>
  <si>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</si>
  <si>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</si>
  <si>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</si>
  <si>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</si>
  <si>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</si>
  <si>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</si>
  <si>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</si>
  <si>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</si>
  <si>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</si>
  <si>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</si>
  <si>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</si>
  <si>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</si>
  <si>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</si>
  <si>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</si>
  <si>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</si>
  <si>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</si>
  <si>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</si>
  <si>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</si>
  <si>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</si>
  <si>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</si>
  <si>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</si>
  <si>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</si>
  <si>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</si>
  <si>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</si>
  <si>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</si>
  <si>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</si>
  <si>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</si>
  <si>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</si>
  <si>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</si>
  <si>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</si>
  <si>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</si>
  <si>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</si>
  <si>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</si>
  <si>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</si>
  <si>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</si>
  <si>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</si>
  <si>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</si>
  <si>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</si>
  <si>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</si>
  <si>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</si>
  <si>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</si>
  <si>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</si>
  <si>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</si>
  <si>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</si>
  <si>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</si>
  <si>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</si>
  <si>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</si>
  <si>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</si>
  <si>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</si>
  <si>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</si>
  <si>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</si>
  <si>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</si>
  <si>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</si>
  <si>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</si>
  <si>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</si>
  <si>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</si>
  <si>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</si>
  <si>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</si>
  <si>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</si>
  <si>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</si>
  <si>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</si>
  <si>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</si>
  <si>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</si>
  <si>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</si>
  <si>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</si>
  <si>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</si>
  <si>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</si>
  <si>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</si>
  <si>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</si>
  <si>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</si>
  <si>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</si>
  <si>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</si>
  <si>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</si>
  <si>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</si>
  <si>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</si>
  <si>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</si>
  <si>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</si>
  <si>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</si>
  <si>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</si>
  <si>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</si>
  <si>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</si>
  <si>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</si>
  <si>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</si>
  <si>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</si>
  <si>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</si>
  <si>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</si>
  <si>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</si>
  <si>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</si>
  <si>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</si>
  <si>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</si>
  <si>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</si>
  <si>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</si>
  <si>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</si>
  <si>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</si>
  <si>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</si>
  <si>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</si>
  <si>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</si>
  <si>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</si>
  <si>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</si>
  <si>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</si>
  <si>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</si>
  <si>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</si>
  <si>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</si>
  <si>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</si>
  <si>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</si>
  <si>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</si>
  <si>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</si>
  <si>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</si>
  <si>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</si>
  <si>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</si>
  <si>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</si>
  <si>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</si>
  <si>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</si>
  <si>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</si>
  <si>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</si>
  <si>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</si>
  <si>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</si>
  <si>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</si>
  <si>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</si>
  <si>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</si>
  <si>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</si>
  <si>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</si>
  <si>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</si>
  <si>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</si>
  <si>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</si>
  <si>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</si>
  <si>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</si>
  <si>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</si>
  <si>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</si>
  <si>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</si>
  <si>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</si>
  <si>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</si>
  <si>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</si>
  <si>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</si>
  <si>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</si>
  <si>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</si>
  <si>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</si>
  <si>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</si>
  <si>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</si>
  <si>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</si>
  <si>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</si>
  <si>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</si>
  <si>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</si>
  <si>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</si>
  <si>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</si>
  <si>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</si>
  <si>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</si>
  <si>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</si>
  <si>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</si>
  <si>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</si>
  <si>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</si>
  <si>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</si>
  <si>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</si>
  <si>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</si>
  <si>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</si>
  <si>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</si>
  <si>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</si>
  <si>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</si>
  <si>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</si>
  <si>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</si>
  <si>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</si>
  <si>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</si>
  <si>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</si>
  <si>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</si>
  <si>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</si>
  <si>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</si>
  <si>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</si>
  <si>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</si>
  <si>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</si>
  <si>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</si>
  <si>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</si>
  <si>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</si>
  <si>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</si>
  <si>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</si>
  <si>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</si>
  <si>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</si>
  <si>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</si>
  <si>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</si>
  <si>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</si>
  <si>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</si>
  <si>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</si>
  <si>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</si>
  <si>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</si>
  <si>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</si>
  <si>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</si>
  <si>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</si>
  <si>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</si>
  <si>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</si>
  <si>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</si>
  <si>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</si>
  <si>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</si>
  <si>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</si>
  <si>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</si>
  <si>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</si>
  <si>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</si>
  <si>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</si>
  <si>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</si>
  <si>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</si>
  <si>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</si>
  <si>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</si>
  <si>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</si>
  <si>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</si>
  <si>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</si>
  <si>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</si>
  <si>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</si>
  <si>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</si>
  <si>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</si>
  <si>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</si>
  <si>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</si>
  <si>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</si>
  <si>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</si>
  <si>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</si>
  <si>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</si>
  <si>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</si>
  <si>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</si>
  <si>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</si>
  <si>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</si>
  <si>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</si>
  <si>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</si>
  <si>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</si>
  <si>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</si>
  <si>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</si>
  <si>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</si>
  <si>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</si>
  <si>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</si>
  <si>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</si>
  <si>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</si>
  <si>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</si>
  <si>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</si>
  <si>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</si>
  <si>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</si>
  <si>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</si>
  <si>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</si>
  <si>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</si>
  <si>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</si>
  <si>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</si>
  <si>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</si>
  <si>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</si>
  <si>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</si>
  <si>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</si>
  <si>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</si>
  <si>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</si>
  <si>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</si>
  <si>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</si>
  <si>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</si>
  <si>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</si>
  <si>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</si>
  <si>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</si>
  <si>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</si>
  <si>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</si>
  <si>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</si>
  <si>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</si>
  <si>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</si>
  <si>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</si>
  <si>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</si>
  <si>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</si>
  <si>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</si>
  <si>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</si>
  <si>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</si>
  <si>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</si>
  <si>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</si>
  <si>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</si>
  <si>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</si>
  <si>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</si>
  <si>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</si>
  <si>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</si>
  <si>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</si>
  <si>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</si>
  <si>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</si>
  <si>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</si>
  <si>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</si>
  <si>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</si>
  <si>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</si>
  <si>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</si>
  <si>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</si>
  <si>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</si>
  <si>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</si>
  <si>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</si>
  <si>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</si>
  <si>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</si>
  <si>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</si>
  <si>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</si>
  <si>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</si>
  <si>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</si>
  <si>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</si>
  <si>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</si>
  <si>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</si>
  <si>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</si>
  <si>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</si>
  <si>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</si>
  <si>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</si>
  <si>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</si>
  <si>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</si>
  <si>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</si>
  <si>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</si>
  <si>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</si>
  <si>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</si>
  <si>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</si>
  <si>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</si>
  <si>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</si>
  <si>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</si>
  <si>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</si>
  <si>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</si>
  <si>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</si>
  <si>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</si>
  <si>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</si>
  <si>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</si>
  <si>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</si>
  <si>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</si>
  <si>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</si>
  <si>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</si>
  <si>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</si>
  <si>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</si>
  <si>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</si>
  <si>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</si>
  <si>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</si>
  <si>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</si>
  <si>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</si>
  <si>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</si>
  <si>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</si>
  <si>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</si>
  <si>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</si>
  <si>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</si>
  <si>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</si>
  <si>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</si>
  <si>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</si>
  <si>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</si>
  <si>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</si>
  <si>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</si>
  <si>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</si>
  <si>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</si>
  <si>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</si>
  <si>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</si>
  <si>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</si>
  <si>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</si>
  <si>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</si>
  <si>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</si>
  <si>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</si>
  <si>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</si>
  <si>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</si>
  <si>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</si>
  <si>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</si>
  <si>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</si>
  <si>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</si>
  <si>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</si>
  <si>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</si>
  <si>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</si>
  <si>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</si>
  <si>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</si>
  <si>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</si>
  <si>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</si>
  <si>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</si>
  <si>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</si>
  <si>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</si>
  <si>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</si>
  <si>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</si>
  <si>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</si>
  <si>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</si>
  <si>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</si>
  <si>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</si>
  <si>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</si>
  <si>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</si>
  <si>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</si>
  <si>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</si>
  <si>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</si>
  <si>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</si>
  <si>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</si>
  <si>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</si>
  <si>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</si>
  <si>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</si>
  <si>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</si>
  <si>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</si>
  <si>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</si>
  <si>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</si>
  <si>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</si>
  <si>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</si>
  <si>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</si>
  <si>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</si>
  <si>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</si>
  <si>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</si>
  <si>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</si>
  <si>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</si>
  <si>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</si>
  <si>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</si>
  <si>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</si>
  <si>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</si>
  <si>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</si>
  <si>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</si>
  <si>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</si>
  <si>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</si>
  <si>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</si>
  <si>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</si>
  <si>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</si>
  <si>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</si>
  <si>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</si>
  <si>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</si>
  <si>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</si>
  <si>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</si>
  <si>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</si>
  <si>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</si>
  <si>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</si>
  <si>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</si>
  <si>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</si>
  <si>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</si>
  <si>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</si>
  <si>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</si>
  <si>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</si>
  <si>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</si>
  <si>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</si>
  <si>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</si>
  <si>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</si>
  <si>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</si>
  <si>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</si>
  <si>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</si>
  <si>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</si>
  <si>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</si>
  <si>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</si>
  <si>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</si>
  <si>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</si>
  <si>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</si>
  <si>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</si>
  <si>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</si>
  <si>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</si>
  <si>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</si>
  <si>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</si>
  <si>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</si>
  <si>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</si>
  <si>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</si>
  <si>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</si>
  <si>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</si>
  <si>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</si>
  <si>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</si>
  <si>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</si>
  <si>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</si>
  <si>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</si>
  <si>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</si>
  <si>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</si>
  <si>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</si>
  <si>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</si>
  <si>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</si>
  <si>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</si>
  <si>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</si>
  <si>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</si>
  <si>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</si>
  <si>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</si>
  <si>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</si>
  <si>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</si>
  <si>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</si>
  <si>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</si>
  <si>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</si>
  <si>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</si>
  <si>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</si>
  <si>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</si>
  <si>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</si>
  <si>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</si>
  <si>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</si>
  <si>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</si>
  <si>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</si>
  <si>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</si>
  <si>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</si>
  <si>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</si>
  <si>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</si>
  <si>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</si>
  <si>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</si>
  <si>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</si>
  <si>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</si>
  <si>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</si>
  <si>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</si>
  <si>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</si>
  <si>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</si>
  <si>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</si>
  <si>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</si>
  <si>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</si>
  <si>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</si>
  <si>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</si>
  <si>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</si>
  <si>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</si>
  <si>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</si>
  <si>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</si>
  <si>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</si>
  <si>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</si>
  <si>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</si>
  <si>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</si>
  <si>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</si>
  <si>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</si>
  <si>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</si>
  <si>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</si>
  <si>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</si>
  <si>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</si>
  <si>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</si>
  <si>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</si>
  <si>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</si>
  <si>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</si>
  <si>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</si>
  <si>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</si>
  <si>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</si>
  <si>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</si>
  <si>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</si>
  <si>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</si>
  <si>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</si>
  <si>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</si>
  <si>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</si>
  <si>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</si>
  <si>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</si>
  <si>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</si>
  <si>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</si>
  <si>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</si>
  <si>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</si>
  <si>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</si>
  <si>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</si>
  <si>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</si>
  <si>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</si>
  <si>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</si>
  <si>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</si>
  <si>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</si>
  <si>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</si>
  <si>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</si>
  <si>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</si>
  <si>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</si>
  <si>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</si>
  <si>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</si>
  <si>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</si>
  <si>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</si>
  <si>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</si>
  <si>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</si>
  <si>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</si>
  <si>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</si>
  <si>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</si>
  <si>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</si>
  <si>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</si>
  <si>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</si>
  <si>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</si>
  <si>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</si>
  <si>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</si>
  <si>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</si>
  <si>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</si>
  <si>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</si>
  <si>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</si>
  <si>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</si>
  <si>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</si>
  <si>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</si>
  <si>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</si>
  <si>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</si>
  <si>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</si>
  <si>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</si>
  <si>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</si>
  <si>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</si>
  <si>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</si>
  <si>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</si>
  <si>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</si>
  <si>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</si>
  <si>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</si>
  <si>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</si>
  <si>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</si>
  <si>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</si>
  <si>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</si>
  <si>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</si>
  <si>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</si>
  <si>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</si>
  <si>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</si>
  <si>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</si>
  <si>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</si>
  <si>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</si>
  <si>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</si>
  <si>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</si>
  <si>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</si>
  <si>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</si>
  <si>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</si>
  <si>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</si>
  <si>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</si>
  <si>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</si>
  <si>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</si>
  <si>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</si>
  <si>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</si>
  <si>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</si>
  <si>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</si>
  <si>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</si>
  <si>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</si>
  <si>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</si>
  <si>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</si>
  <si>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</si>
  <si>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</si>
  <si>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</si>
  <si>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</si>
  <si>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</si>
  <si>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</si>
  <si>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</si>
  <si>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</si>
  <si>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</si>
  <si>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</si>
  <si>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</si>
  <si>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</si>
  <si>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</si>
  <si>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</si>
  <si>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</si>
  <si>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</si>
  <si>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</si>
  <si>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</si>
  <si>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</si>
  <si>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</si>
  <si>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</si>
  <si>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</si>
  <si>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</si>
  <si>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</si>
  <si>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</si>
  <si>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</si>
  <si>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</si>
  <si>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</si>
  <si>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</si>
  <si>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</si>
  <si>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</si>
  <si>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</si>
  <si>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</si>
  <si>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</si>
  <si>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</si>
  <si>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</si>
  <si>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</si>
  <si>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</si>
  <si>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</si>
  <si>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</si>
  <si>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</si>
  <si>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</si>
  <si>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</si>
  <si>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</si>
  <si>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</si>
  <si>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</si>
  <si>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</si>
  <si>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</si>
  <si>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</si>
  <si>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</si>
  <si>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</si>
  <si>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</si>
  <si>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</si>
  <si>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</si>
  <si>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</si>
  <si>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</si>
  <si>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</si>
  <si>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</si>
  <si>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</si>
  <si>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</si>
  <si>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</si>
  <si>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</si>
  <si>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</si>
  <si>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</si>
  <si>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</si>
  <si>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</si>
  <si>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</si>
  <si>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</si>
  <si>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</si>
  <si>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</si>
  <si>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</si>
  <si>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</si>
  <si>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</si>
  <si>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</si>
  <si>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</si>
  <si>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</si>
  <si>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</si>
  <si>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</si>
  <si>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</si>
  <si>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</si>
  <si>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</si>
  <si>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</si>
  <si>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</si>
  <si>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</si>
  <si>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</si>
  <si>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</si>
  <si>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</si>
  <si>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</si>
  <si>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</si>
  <si>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</si>
  <si>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</si>
  <si>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</si>
  <si>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</si>
  <si>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</si>
  <si>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</si>
  <si>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</si>
  <si>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</si>
  <si>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</si>
  <si>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</si>
  <si>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</si>
  <si>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</si>
  <si>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</si>
  <si>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</si>
  <si>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</si>
  <si>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</si>
  <si>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</si>
  <si>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</si>
  <si>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</si>
  <si>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</si>
  <si>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</si>
  <si>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</si>
  <si>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</si>
  <si>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</si>
  <si>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</si>
  <si>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</si>
  <si>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</si>
  <si>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</si>
  <si>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</si>
  <si>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</si>
  <si>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</si>
  <si>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</si>
  <si>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</si>
  <si>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</si>
  <si>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</si>
  <si>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</si>
  <si>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</si>
  <si>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</si>
  <si>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</si>
  <si>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</si>
  <si>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</si>
  <si>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</si>
  <si>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</si>
  <si>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</si>
  <si>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</si>
  <si>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</si>
  <si>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</si>
  <si>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</si>
  <si>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</si>
  <si>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</si>
  <si>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</si>
  <si>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</si>
  <si>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</si>
  <si>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</si>
  <si>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</si>
  <si>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</si>
  <si>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</si>
  <si>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</si>
  <si>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</si>
  <si>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</si>
  <si>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</si>
  <si>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</si>
  <si>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</si>
  <si>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</si>
  <si>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</si>
  <si>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</si>
  <si>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</si>
  <si>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</si>
  <si>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</si>
  <si>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</si>
  <si>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</si>
  <si>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</si>
  <si>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</si>
  <si>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</si>
  <si>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</si>
  <si>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</si>
  <si>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</si>
  <si>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</si>
  <si>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</si>
  <si>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</si>
  <si>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</si>
  <si>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</si>
  <si>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</si>
  <si>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</si>
  <si>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</si>
  <si>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</si>
  <si>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</si>
  <si>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</si>
  <si>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</si>
  <si>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</si>
  <si>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</si>
  <si>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</si>
  <si>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</si>
  <si>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</si>
  <si>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</si>
  <si>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</si>
  <si>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</si>
  <si>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</si>
  <si>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</si>
  <si>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</si>
  <si>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</si>
  <si>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</si>
  <si>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</si>
  <si>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</si>
  <si>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</si>
  <si>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</si>
  <si>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</si>
  <si>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</si>
  <si>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</si>
  <si>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</si>
  <si>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</si>
  <si>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</si>
  <si>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</si>
  <si>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</si>
  <si>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</si>
  <si>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</si>
  <si>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</si>
  <si>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</si>
  <si>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</si>
  <si>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</si>
  <si>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</si>
  <si>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</si>
  <si>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</si>
  <si>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</si>
  <si>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</si>
  <si>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</si>
  <si>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</si>
  <si>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</si>
  <si>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</si>
  <si>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</si>
  <si>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</si>
  <si>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</si>
  <si>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</si>
  <si>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</si>
  <si>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</si>
  <si>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</si>
  <si>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</si>
  <si>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</si>
  <si>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</si>
  <si>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</si>
  <si>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</si>
  <si>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</si>
  <si>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</si>
  <si>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</si>
  <si>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</si>
  <si>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</si>
  <si>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</si>
  <si>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</si>
  <si>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</si>
  <si>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</si>
  <si>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</si>
  <si>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</si>
  <si>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</si>
  <si>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</si>
  <si>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</si>
  <si>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</si>
  <si>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</si>
  <si>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</si>
  <si>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</si>
  <si>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</si>
  <si>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</si>
  <si>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</si>
  <si>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</si>
  <si>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</si>
  <si>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</si>
  <si>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</si>
  <si>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</si>
  <si>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</si>
  <si>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</si>
  <si>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</si>
  <si>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</si>
  <si>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</si>
  <si>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</si>
  <si>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</si>
  <si>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</si>
  <si>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</si>
  <si>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</si>
  <si>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</si>
  <si>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</si>
  <si>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</si>
  <si>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</si>
  <si>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</si>
  <si>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</si>
  <si>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</si>
  <si>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</si>
  <si>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</si>
  <si>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</si>
  <si>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</si>
  <si>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</si>
  <si>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</si>
  <si>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</si>
  <si>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</si>
  <si>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</si>
  <si>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</si>
  <si>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</si>
  <si>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</si>
  <si>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</si>
  <si>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</si>
  <si>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</si>
  <si>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</si>
  <si>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</si>
  <si>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</si>
  <si>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</si>
  <si>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</si>
  <si>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</si>
  <si>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</si>
  <si>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</si>
  <si>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</si>
  <si>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</si>
  <si>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</si>
  <si>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</si>
  <si>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</si>
  <si>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</si>
  <si>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</si>
  <si>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</si>
  <si>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</si>
  <si>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</si>
  <si>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</si>
  <si>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</si>
  <si>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</si>
  <si>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</si>
  <si>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</si>
  <si>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</si>
  <si>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</si>
  <si>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</si>
  <si>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</si>
  <si>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</si>
  <si>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</si>
  <si>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</si>
  <si>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</si>
  <si>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</si>
  <si>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</si>
  <si>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</si>
  <si>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</si>
  <si>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</si>
  <si>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</si>
  <si>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</si>
  <si>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</si>
  <si>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</si>
  <si>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</si>
  <si>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</si>
  <si>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</si>
  <si>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</si>
  <si>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</si>
  <si>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</si>
  <si>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</si>
  <si>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</si>
  <si>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</si>
  <si>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</si>
  <si>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</si>
  <si>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</si>
  <si>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</si>
  <si>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</si>
  <si>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</si>
  <si>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</si>
  <si>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</si>
  <si>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</si>
  <si>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</si>
  <si>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</si>
  <si>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</si>
  <si>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</si>
  <si>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</si>
  <si>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</si>
  <si>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</si>
  <si>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</si>
  <si>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</si>
  <si>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</si>
  <si>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</si>
  <si>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</si>
  <si>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</si>
  <si>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</si>
  <si>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</si>
  <si>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</si>
  <si>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</si>
  <si>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</si>
  <si>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</si>
  <si>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</si>
  <si>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</si>
  <si>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</si>
  <si>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</si>
  <si>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</si>
  <si>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</si>
  <si>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</si>
  <si>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</si>
  <si>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</si>
  <si>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</si>
  <si>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</si>
  <si>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</si>
  <si>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</si>
  <si>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</si>
  <si>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</si>
  <si>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</si>
  <si>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</si>
  <si>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</si>
  <si>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</si>
  <si>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</si>
  <si>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</si>
  <si>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</si>
  <si>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</si>
  <si>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</si>
  <si>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</si>
  <si>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</si>
  <si>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</si>
  <si>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</si>
  <si>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</si>
  <si>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</si>
  <si>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</si>
  <si>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</si>
  <si>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</si>
  <si>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</si>
  <si>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</si>
  <si>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</si>
  <si>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</si>
  <si>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</si>
  <si>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</si>
  <si>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</si>
  <si>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</si>
  <si>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</si>
  <si>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</si>
  <si>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</si>
  <si>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</si>
  <si>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</si>
  <si>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</si>
  <si>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</si>
  <si>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</si>
  <si>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</si>
  <si>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</si>
  <si>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</si>
  <si>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</si>
  <si>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</si>
  <si>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</si>
  <si>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</si>
  <si>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</si>
  <si>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</si>
  <si>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</si>
  <si>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</si>
  <si>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</si>
  <si>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</si>
  <si>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</si>
  <si>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</si>
  <si>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</si>
  <si>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</si>
  <si>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</si>
  <si>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</si>
  <si>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</si>
  <si>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</si>
  <si>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</si>
  <si>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</si>
  <si>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</si>
  <si>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</si>
  <si>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</si>
  <si>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</si>
  <si>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</si>
  <si>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</si>
  <si>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</si>
  <si>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</si>
  <si>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</si>
  <si>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</si>
  <si>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</si>
  <si>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</si>
  <si>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</si>
  <si>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</si>
  <si>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</si>
  <si>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</si>
  <si>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</si>
  <si>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</si>
  <si>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</si>
  <si>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</si>
  <si>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</si>
  <si>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</si>
  <si>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</si>
  <si>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</si>
  <si>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</si>
  <si>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</si>
  <si>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</si>
  <si>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</si>
  <si>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</si>
  <si>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</si>
  <si>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</si>
  <si>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</si>
  <si>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</si>
  <si>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</si>
  <si>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</si>
  <si>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</si>
  <si>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</si>
  <si>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</si>
  <si>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</si>
  <si>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</si>
  <si>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</si>
  <si>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</si>
  <si>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</si>
  <si>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</si>
  <si>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</si>
  <si>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</si>
  <si>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</si>
  <si>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</si>
  <si>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</si>
  <si>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</si>
  <si>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</si>
  <si>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</si>
  <si>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</si>
  <si>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</si>
  <si>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</si>
  <si>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</si>
  <si>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</si>
  <si>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</si>
  <si>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</si>
  <si>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</si>
  <si>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</si>
  <si>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</si>
  <si>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</si>
  <si>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</si>
  <si>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</si>
  <si>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</si>
  <si>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</si>
  <si>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</si>
  <si>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</si>
  <si>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</si>
  <si>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</si>
  <si>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</si>
  <si>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</si>
  <si>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</si>
  <si>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</si>
  <si>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</si>
  <si>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</si>
  <si>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</si>
  <si>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</si>
  <si>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</si>
  <si>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</si>
  <si>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</si>
  <si>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</si>
  <si>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</si>
  <si>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</si>
  <si>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</si>
  <si>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</si>
  <si>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</si>
  <si>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</si>
  <si>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</si>
  <si>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</si>
  <si>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</si>
  <si>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</si>
  <si>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</si>
  <si>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</si>
  <si>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</si>
  <si>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</si>
  <si>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</si>
  <si>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</si>
  <si>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</si>
  <si>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</si>
  <si>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</si>
  <si>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</si>
  <si>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</si>
  <si>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</si>
  <si>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</si>
  <si>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</si>
  <si>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</si>
  <si>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</si>
  <si>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</si>
  <si>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</si>
  <si>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</si>
  <si>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</si>
  <si>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</si>
  <si>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</si>
  <si>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</si>
  <si>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</si>
  <si>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</si>
  <si>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</si>
  <si>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</si>
  <si>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</si>
  <si>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</si>
  <si>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</si>
  <si>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</si>
  <si>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</si>
  <si>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</si>
  <si>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</si>
  <si>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</si>
  <si>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</si>
  <si>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</si>
  <si>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</si>
  <si>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</si>
  <si>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</si>
  <si>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</si>
  <si>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</si>
  <si>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</si>
  <si>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</si>
  <si>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</si>
  <si>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</si>
  <si>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</si>
  <si>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</si>
  <si>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</si>
  <si>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</si>
  <si>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</si>
  <si>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</si>
  <si>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</si>
  <si>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</si>
  <si>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</si>
  <si>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</si>
  <si>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</si>
  <si>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</si>
  <si>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</si>
  <si>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</si>
  <si>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</si>
  <si>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</si>
  <si>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</si>
  <si>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</si>
  <si>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</si>
  <si>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</si>
  <si>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</si>
  <si>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</si>
  <si>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</si>
  <si>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</si>
  <si>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</si>
  <si>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</si>
  <si>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</si>
  <si>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</si>
  <si>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</si>
  <si>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</si>
  <si>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</si>
  <si>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</si>
  <si>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</si>
  <si>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</si>
  <si>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</si>
  <si>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</si>
  <si>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</si>
  <si>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</si>
  <si>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</si>
  <si>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</si>
  <si>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</si>
  <si>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</si>
  <si>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</si>
  <si>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</si>
  <si>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</si>
  <si>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</si>
  <si>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</si>
  <si>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</si>
  <si>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</si>
  <si>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</si>
  <si>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</si>
  <si>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</si>
  <si>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</si>
  <si>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</si>
  <si>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</si>
  <si>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</si>
  <si>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</si>
  <si>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</si>
  <si>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</si>
  <si>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</si>
  <si>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</si>
  <si>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</si>
  <si>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</si>
  <si>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</si>
  <si>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</si>
  <si>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</si>
  <si>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</si>
  <si>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</si>
  <si>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</si>
  <si>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</si>
  <si>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</si>
  <si>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</si>
  <si>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</si>
  <si>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</si>
  <si>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</si>
  <si>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</si>
  <si>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</si>
  <si>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</si>
  <si>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</si>
  <si>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</si>
  <si>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</si>
  <si>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</si>
  <si>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</si>
  <si>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</si>
  <si>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</si>
  <si>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</si>
  <si>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</si>
  <si>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</si>
  <si>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</si>
  <si>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</si>
  <si>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</si>
  <si>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</si>
  <si>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</si>
  <si>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</si>
  <si>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</si>
  <si>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</si>
  <si>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</si>
  <si>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</si>
  <si>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</si>
  <si>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</si>
  <si>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</si>
  <si>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</si>
  <si>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</si>
  <si>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</si>
  <si>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</si>
  <si>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</si>
  <si>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</si>
  <si>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</si>
  <si>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</si>
  <si>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</si>
  <si>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</si>
  <si>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</si>
  <si>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</si>
  <si>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</si>
  <si>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</si>
  <si>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</si>
  <si>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</si>
  <si>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</si>
  <si>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</si>
  <si>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</si>
  <si>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</si>
  <si>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</si>
  <si>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</si>
  <si>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</si>
  <si>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</si>
  <si>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</si>
  <si>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</si>
  <si>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</si>
  <si>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</si>
  <si>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</si>
  <si>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</si>
  <si>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</si>
  <si>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</si>
  <si>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</si>
  <si>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</si>
  <si>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</si>
  <si>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</si>
  <si>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</si>
  <si>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</si>
  <si>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</si>
  <si>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</si>
  <si>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</si>
  <si>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</si>
  <si>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</si>
  <si>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</si>
  <si>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</si>
  <si>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</si>
  <si>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</si>
  <si>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</si>
  <si>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</si>
  <si>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</si>
  <si>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</si>
  <si>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</si>
  <si>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</si>
  <si>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</si>
  <si>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</si>
  <si>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</si>
  <si>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</si>
  <si>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</si>
  <si>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</si>
  <si>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</si>
  <si>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</si>
  <si>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</si>
  <si>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</si>
  <si>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</si>
  <si>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</si>
  <si>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</si>
  <si>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</si>
  <si>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</si>
  <si>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</si>
  <si>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</si>
  <si>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</si>
  <si>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</si>
  <si>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</si>
  <si>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</si>
  <si>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</si>
  <si>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</si>
  <si>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</si>
  <si>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</si>
  <si>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</si>
  <si>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</si>
  <si>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</si>
  <si>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</si>
  <si>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</si>
  <si>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</si>
  <si>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</si>
  <si>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</si>
  <si>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</si>
  <si>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</si>
  <si>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</si>
  <si>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</si>
  <si>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</si>
  <si>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</si>
  <si>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</si>
  <si>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</si>
  <si>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</si>
  <si>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</si>
  <si>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</si>
  <si>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</si>
  <si>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</si>
  <si>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</si>
  <si>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</si>
  <si>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</si>
  <si>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</si>
  <si>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</si>
  <si>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</si>
  <si>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</si>
  <si>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</si>
  <si>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</si>
  <si>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</si>
  <si>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</si>
  <si>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</si>
  <si>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</si>
  <si>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</si>
  <si>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</si>
  <si>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</si>
  <si>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</si>
  <si>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</si>
  <si>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</si>
  <si>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</si>
  <si>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</si>
  <si>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</si>
  <si>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</si>
  <si>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</si>
  <si>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</si>
  <si>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</si>
  <si>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</si>
  <si>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</si>
  <si>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</si>
  <si>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</si>
  <si>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</si>
  <si>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</si>
  <si>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</si>
  <si>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</si>
  <si>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</si>
  <si>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</si>
  <si>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</si>
  <si>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</si>
  <si>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</si>
  <si>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</si>
  <si>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</si>
  <si>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</si>
  <si>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</si>
  <si>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</si>
  <si>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</si>
  <si>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</si>
  <si>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</si>
  <si>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</si>
  <si>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</si>
  <si>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</si>
  <si>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</si>
  <si>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</si>
  <si>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</si>
  <si>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</si>
  <si>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</si>
  <si>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</si>
  <si>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</si>
  <si>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</si>
  <si>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</si>
  <si>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</si>
  <si>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</si>
  <si>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</si>
  <si>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</si>
  <si>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</si>
  <si>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</si>
  <si>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</si>
  <si>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</si>
  <si>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</si>
  <si>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</si>
  <si>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</si>
  <si>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</si>
  <si>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</si>
  <si>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</si>
  <si>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</si>
  <si>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</si>
  <si>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估价对象所在区域公共配套设施齐备情况一般</t>
    <phoneticPr fontId="41" type="noConversion"/>
  </si>
  <si>
    <t>七通</t>
    <phoneticPr fontId="25"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</si>
  <si>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</si>
  <si>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</si>
  <si>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</si>
  <si>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</si>
  <si>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</si>
  <si>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</si>
  <si>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</si>
  <si>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</si>
  <si>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</si>
  <si>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</si>
  <si>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</si>
  <si>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</si>
  <si>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</si>
  <si>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</si>
  <si>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</si>
  <si>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</si>
  <si>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</si>
  <si>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</si>
  <si>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</si>
  <si>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 xml:space="preserve"> </t>
    <phoneticPr fontId="14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</si>
  <si>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</si>
  <si>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</si>
  <si>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</si>
  <si>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</si>
  <si>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</si>
  <si>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</si>
  <si>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</si>
  <si>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</si>
  <si>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</si>
  <si>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</si>
  <si>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</si>
  <si>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</si>
  <si>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</si>
  <si>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</si>
  <si>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</si>
  <si>
    <t>亦城亦禧</t>
    <phoneticPr fontId="3" type="noConversion"/>
  </si>
  <si>
    <t>和悦华锦</t>
    <phoneticPr fontId="3" type="noConversion"/>
  </si>
  <si>
    <t>预售</t>
    <phoneticPr fontId="25" type="noConversion"/>
  </si>
  <si>
    <t>估价对象周边有开发区3路、快速直达专线181路、578路多条公交线路，距地铁8号线（瀛海站）约4公里，综合评价交通便捷度一般。</t>
    <phoneticPr fontId="41" type="noConversion"/>
  </si>
  <si>
    <t>区域自然环境：体育公园、南海子公园、凉水河；人文环境：北京电子科技职业学院(亦庄校区)；综合评价环境状况一般</t>
    <phoneticPr fontId="41" type="noConversion"/>
  </si>
  <si>
    <t>城市支路</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</si>
  <si>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</si>
  <si>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时间</t>
  </si>
  <si>
    <t>成交套数(套)</t>
  </si>
  <si>
    <t>成交面积(㎡)</t>
  </si>
  <si>
    <t>成交价格(元)</t>
  </si>
  <si>
    <t>成交金额(万元)</t>
  </si>
  <si>
    <t>批准上市套数(套)</t>
  </si>
  <si>
    <t>批准上市面积(㎡)</t>
  </si>
  <si>
    <t>2020-08</t>
  </si>
  <si>
    <t>2020-07</t>
  </si>
  <si>
    <t>2020-06</t>
  </si>
  <si>
    <t>2020-05</t>
  </si>
  <si>
    <t>2020-04</t>
  </si>
  <si>
    <t>2020-03</t>
  </si>
  <si>
    <t>2020-01</t>
  </si>
  <si>
    <t>2019-12</t>
  </si>
  <si>
    <t>2019-11</t>
  </si>
  <si>
    <t>2019-10</t>
  </si>
  <si>
    <t>2019-09</t>
  </si>
  <si>
    <t>2019-08</t>
  </si>
  <si>
    <t>2019-07</t>
  </si>
  <si>
    <t>2019-06</t>
  </si>
  <si>
    <t>2019-05</t>
  </si>
  <si>
    <t>2019-04</t>
  </si>
  <si>
    <t>2019-03</t>
  </si>
  <si>
    <t>2019-01</t>
  </si>
  <si>
    <t>当页汇总</t>
  </si>
  <si>
    <r>
      <rPr>
        <sz val="10"/>
        <rFont val="宋体"/>
        <family val="3"/>
        <charset val="134"/>
      </rPr>
      <t>截至</t>
    </r>
    <r>
      <rPr>
        <sz val="10"/>
        <rFont val="Arial"/>
        <family val="2"/>
      </rPr>
      <t>2019.12</t>
    </r>
    <phoneticPr fontId="3" type="noConversion"/>
  </si>
  <si>
    <t>金麟府</t>
    <phoneticPr fontId="3" type="noConversion"/>
  </si>
  <si>
    <t>毛坯</t>
  </si>
  <si>
    <t>中国铁建·国际公馆</t>
    <phoneticPr fontId="3" type="noConversion"/>
  </si>
  <si>
    <t>楼栋号</t>
  </si>
  <si>
    <t>单元号</t>
  </si>
  <si>
    <t>房间号</t>
  </si>
  <si>
    <t>许可证号</t>
  </si>
  <si>
    <t>物业类型</t>
  </si>
  <si>
    <t>户型</t>
  </si>
  <si>
    <t>成交单价(元 /㎡)</t>
  </si>
  <si>
    <t>2019-12-19</t>
  </si>
  <si>
    <t>6#住宅楼</t>
  </si>
  <si>
    <t>3单元-1702</t>
  </si>
  <si>
    <t>京房售证字( 2019 ) 开6号</t>
  </si>
  <si>
    <t>普通住宅</t>
  </si>
  <si>
    <t>二房</t>
  </si>
  <si>
    <t>80</t>
  </si>
  <si>
    <t>344.11</t>
  </si>
  <si>
    <t>43213</t>
  </si>
  <si>
    <t>5#住宅楼</t>
  </si>
  <si>
    <t>9单元-502</t>
  </si>
  <si>
    <t>81</t>
  </si>
  <si>
    <t>370.43</t>
  </si>
  <si>
    <t>45987</t>
  </si>
  <si>
    <t>2019-12-16</t>
  </si>
  <si>
    <t>9单元-802</t>
  </si>
  <si>
    <t>370.74</t>
  </si>
  <si>
    <t>46026</t>
  </si>
  <si>
    <t>2019-12-12</t>
  </si>
  <si>
    <t>3单元-301</t>
  </si>
  <si>
    <t>三房</t>
  </si>
  <si>
    <t>89</t>
  </si>
  <si>
    <t>381.72</t>
  </si>
  <si>
    <t>42890</t>
  </si>
  <si>
    <t>9单元-602</t>
  </si>
  <si>
    <t>2019-12-11</t>
  </si>
  <si>
    <t>3单元-401</t>
  </si>
  <si>
    <t>381.86</t>
  </si>
  <si>
    <t>42906</t>
  </si>
  <si>
    <t>2019-12-10</t>
  </si>
  <si>
    <t>9单元-601</t>
  </si>
  <si>
    <t>368.5</t>
  </si>
  <si>
    <t>46028</t>
  </si>
  <si>
    <t>6单元-701</t>
  </si>
  <si>
    <t>339.25</t>
  </si>
  <si>
    <t>42106</t>
  </si>
  <si>
    <t>2019-12-09</t>
  </si>
  <si>
    <t>6单元-201</t>
  </si>
  <si>
    <t>337.82</t>
  </si>
  <si>
    <t>41928</t>
  </si>
  <si>
    <t>3单元-1601</t>
  </si>
  <si>
    <t>383.62</t>
  </si>
  <si>
    <t>43104</t>
  </si>
  <si>
    <t>2019-12-03</t>
  </si>
  <si>
    <t>2单元-1701</t>
  </si>
  <si>
    <t>417.25</t>
  </si>
  <si>
    <t>46867</t>
  </si>
  <si>
    <t>2019-12-01</t>
  </si>
  <si>
    <t>1单元-1301</t>
  </si>
  <si>
    <t>90</t>
  </si>
  <si>
    <t>418.84</t>
  </si>
  <si>
    <t>46792</t>
  </si>
  <si>
    <t>2019-11-28</t>
  </si>
  <si>
    <t>8单元-502</t>
  </si>
  <si>
    <t>368.1</t>
  </si>
  <si>
    <t>45990</t>
  </si>
  <si>
    <t>1单元-1101</t>
  </si>
  <si>
    <t>418.5</t>
  </si>
  <si>
    <t>46755</t>
  </si>
  <si>
    <t>2019-12-30</t>
  </si>
  <si>
    <t>3#住宅楼</t>
  </si>
  <si>
    <t>4单元-401</t>
  </si>
  <si>
    <t>京房售证字( 2018 )开10号</t>
  </si>
  <si>
    <t>436.09</t>
  </si>
  <si>
    <t>49137</t>
  </si>
  <si>
    <t>4单元-501</t>
  </si>
  <si>
    <t>436.26</t>
  </si>
  <si>
    <t>49156</t>
  </si>
  <si>
    <t>2#住宅楼</t>
  </si>
  <si>
    <t>1单元-601</t>
  </si>
  <si>
    <t>438.5</t>
  </si>
  <si>
    <t>49176</t>
  </si>
  <si>
    <t>2019-12-29</t>
  </si>
  <si>
    <t>3单元-402</t>
  </si>
  <si>
    <t>1单元-401</t>
  </si>
  <si>
    <t>438.16</t>
  </si>
  <si>
    <t>8#住宅楼</t>
  </si>
  <si>
    <t>2单元-302</t>
  </si>
  <si>
    <t>458.55</t>
  </si>
  <si>
    <t>51540</t>
  </si>
  <si>
    <t>2019-12-26</t>
  </si>
  <si>
    <t>1#住宅楼</t>
  </si>
  <si>
    <t>3单元-702</t>
  </si>
  <si>
    <t>437.96</t>
  </si>
  <si>
    <t>49099</t>
  </si>
  <si>
    <t>2019-12-25</t>
  </si>
  <si>
    <t>115</t>
  </si>
  <si>
    <t>613.44</t>
  </si>
  <si>
    <t>53543</t>
  </si>
  <si>
    <t>2019-12-23</t>
  </si>
  <si>
    <t>4#住宅楼</t>
  </si>
  <si>
    <t>1单元-901</t>
  </si>
  <si>
    <t>83</t>
  </si>
  <si>
    <t>374</t>
  </si>
  <si>
    <t>45207</t>
  </si>
  <si>
    <t>2019-12-22</t>
  </si>
  <si>
    <t>459.99</t>
  </si>
  <si>
    <t>51562</t>
  </si>
  <si>
    <t>7#住宅楼</t>
  </si>
  <si>
    <t>460.35</t>
  </si>
  <si>
    <t>51563</t>
  </si>
  <si>
    <t>1单元-201</t>
  </si>
  <si>
    <t>45115</t>
  </si>
  <si>
    <t>2019-12-18</t>
  </si>
  <si>
    <t>1单元-801</t>
  </si>
  <si>
    <t>86</t>
  </si>
  <si>
    <t>420</t>
  </si>
  <si>
    <t>49123</t>
  </si>
  <si>
    <t>2019-12-17</t>
  </si>
  <si>
    <t>1单元-501</t>
  </si>
  <si>
    <t>438.33</t>
  </si>
  <si>
    <t>2单元-701</t>
  </si>
  <si>
    <t>465.03</t>
  </si>
  <si>
    <t>52357</t>
  </si>
  <si>
    <t>2019-12-05</t>
  </si>
  <si>
    <t>1单元-602</t>
  </si>
  <si>
    <t>一房</t>
  </si>
  <si>
    <t>57</t>
  </si>
  <si>
    <t>303.89</t>
  </si>
  <si>
    <t>53748</t>
  </si>
  <si>
    <t>3单元-701</t>
  </si>
  <si>
    <t>437.74</t>
  </si>
  <si>
    <t>49195</t>
  </si>
  <si>
    <t>3单元-302</t>
  </si>
  <si>
    <t>459.81</t>
  </si>
  <si>
    <t>51542</t>
  </si>
  <si>
    <t>2019-12-04</t>
  </si>
  <si>
    <t>1单元-302</t>
  </si>
  <si>
    <t>613.21</t>
  </si>
  <si>
    <t>53523</t>
  </si>
  <si>
    <t>4单元-902</t>
  </si>
  <si>
    <t>435.92</t>
  </si>
  <si>
    <t>49118</t>
  </si>
  <si>
    <t>四房</t>
  </si>
  <si>
    <t>142</t>
  </si>
  <si>
    <t>771.29</t>
  </si>
  <si>
    <t>54286</t>
  </si>
  <si>
    <t>438.3</t>
  </si>
  <si>
    <t>4单元-601</t>
  </si>
  <si>
    <t>438.65</t>
  </si>
  <si>
    <t>2019-11-27</t>
  </si>
  <si>
    <t>2单元-403</t>
  </si>
  <si>
    <t>74</t>
  </si>
  <si>
    <t>360</t>
  </si>
  <si>
    <t>48886</t>
  </si>
  <si>
    <t>465.39</t>
  </si>
  <si>
    <t>52397</t>
  </si>
  <si>
    <t>4单元-702</t>
  </si>
  <si>
    <t>436.6</t>
  </si>
  <si>
    <t>2019-11-21</t>
  </si>
  <si>
    <t>3单元-802</t>
  </si>
  <si>
    <t>614.36</t>
  </si>
  <si>
    <t>53623</t>
  </si>
  <si>
    <t>2单元-503</t>
  </si>
  <si>
    <t>2019-11-17</t>
  </si>
  <si>
    <t>764.8</t>
  </si>
  <si>
    <t>53791</t>
  </si>
  <si>
    <t>1单元-301</t>
  </si>
  <si>
    <t>445.57</t>
  </si>
  <si>
    <t>49790</t>
  </si>
  <si>
    <t>2019-11-13</t>
  </si>
  <si>
    <t>2单元-802</t>
  </si>
  <si>
    <t>444.03</t>
  </si>
  <si>
    <t>49579</t>
  </si>
  <si>
    <t>2019-11-11</t>
  </si>
  <si>
    <t>2单元-501</t>
  </si>
  <si>
    <t>464.68</t>
  </si>
  <si>
    <t>52317</t>
  </si>
  <si>
    <t>2019-11-10</t>
  </si>
  <si>
    <t>5单元-502</t>
  </si>
  <si>
    <t>770.98</t>
  </si>
  <si>
    <t>54264</t>
  </si>
  <si>
    <t>2019-11-07</t>
  </si>
  <si>
    <t>436.27</t>
  </si>
  <si>
    <t>2019-11-06</t>
  </si>
  <si>
    <t>2单元-204</t>
  </si>
  <si>
    <t>440.86</t>
  </si>
  <si>
    <t>1单元-1001</t>
  </si>
  <si>
    <t>2单元-401</t>
  </si>
  <si>
    <t>2019-11-05</t>
  </si>
  <si>
    <t>437.22</t>
  </si>
  <si>
    <t>5单元-501</t>
  </si>
  <si>
    <t>435.41</t>
  </si>
  <si>
    <t>49060</t>
  </si>
  <si>
    <t>2019-11-04</t>
  </si>
  <si>
    <t>5单元-302</t>
  </si>
  <si>
    <t>441.34</t>
  </si>
  <si>
    <t>49406</t>
  </si>
  <si>
    <t>2019-11-03</t>
  </si>
  <si>
    <t>1单元-502</t>
  </si>
  <si>
    <t>436.61</t>
  </si>
  <si>
    <t>615.7</t>
  </si>
  <si>
    <t>2单元-702</t>
  </si>
  <si>
    <t>2019-10-30</t>
  </si>
  <si>
    <t>614.13</t>
  </si>
  <si>
    <t>53603</t>
  </si>
  <si>
    <t>2019-10-28</t>
  </si>
  <si>
    <t>437.99</t>
  </si>
  <si>
    <t>2019-10-22</t>
  </si>
  <si>
    <t>2019-10-21</t>
  </si>
  <si>
    <t>611.38</t>
  </si>
  <si>
    <t>53363</t>
  </si>
  <si>
    <t>2019-10-16</t>
  </si>
  <si>
    <t>84</t>
  </si>
  <si>
    <t>441.44</t>
  </si>
  <si>
    <t>52359</t>
  </si>
  <si>
    <t>2019-10-15</t>
  </si>
  <si>
    <t>619.85</t>
  </si>
  <si>
    <t>53713</t>
  </si>
  <si>
    <t>2019-10-14</t>
  </si>
  <si>
    <t>437.79</t>
  </si>
  <si>
    <t>49080</t>
  </si>
  <si>
    <t>2019-10-13</t>
  </si>
  <si>
    <t>615.93</t>
  </si>
  <si>
    <t>53643</t>
  </si>
  <si>
    <t>464.5</t>
  </si>
  <si>
    <t>52297</t>
  </si>
  <si>
    <t>437.57</t>
  </si>
  <si>
    <t>441.86</t>
  </si>
  <si>
    <t>49464</t>
  </si>
  <si>
    <t>2019-10-11</t>
  </si>
  <si>
    <t>442.21</t>
  </si>
  <si>
    <t>49771</t>
  </si>
  <si>
    <t>437.39</t>
  </si>
  <si>
    <t>445.92</t>
  </si>
  <si>
    <t>49828</t>
  </si>
  <si>
    <t>2019-10-10</t>
  </si>
  <si>
    <t>2019-10-08</t>
  </si>
  <si>
    <t>437.91</t>
  </si>
  <si>
    <t>49214</t>
  </si>
  <si>
    <t>2019-10-07</t>
  </si>
  <si>
    <t>458.91</t>
  </si>
  <si>
    <t>51580</t>
  </si>
  <si>
    <t>2019-10-02</t>
  </si>
  <si>
    <t>2019-09-26</t>
  </si>
  <si>
    <t>615.47</t>
  </si>
  <si>
    <t>441.77</t>
  </si>
  <si>
    <t>52399</t>
  </si>
  <si>
    <t>437.05</t>
  </si>
  <si>
    <t>2019-09-25</t>
  </si>
  <si>
    <t>464.91</t>
  </si>
  <si>
    <t>51668</t>
  </si>
  <si>
    <t>772.5</t>
  </si>
  <si>
    <t>54333</t>
  </si>
  <si>
    <t>2019-09-24</t>
  </si>
  <si>
    <t>465.84</t>
  </si>
  <si>
    <t>52318</t>
  </si>
  <si>
    <t>85</t>
  </si>
  <si>
    <t>434.11</t>
  </si>
  <si>
    <t>51270</t>
  </si>
  <si>
    <t>2019-09-22</t>
  </si>
  <si>
    <t>447.12</t>
  </si>
  <si>
    <t>49963</t>
  </si>
  <si>
    <t>2019-09-18</t>
  </si>
  <si>
    <t>611.61</t>
  </si>
  <si>
    <t>53383</t>
  </si>
  <si>
    <t>435.75</t>
  </si>
  <si>
    <t>2019-09-15</t>
  </si>
  <si>
    <t>621.37</t>
  </si>
  <si>
    <t>53845</t>
  </si>
  <si>
    <t>2019-09-11</t>
  </si>
  <si>
    <t>619.5</t>
  </si>
  <si>
    <t>53673</t>
  </si>
  <si>
    <t>44974</t>
  </si>
  <si>
    <t>2019-09-10</t>
  </si>
  <si>
    <t>2019-09-09</t>
  </si>
  <si>
    <t>2019-09-05</t>
  </si>
  <si>
    <t>2019-09-04</t>
  </si>
  <si>
    <t>436.77</t>
  </si>
  <si>
    <t>2019-09-03</t>
  </si>
  <si>
    <t>59</t>
  </si>
  <si>
    <t>319.89</t>
  </si>
  <si>
    <t>53899</t>
  </si>
  <si>
    <t>464.32</t>
  </si>
  <si>
    <t>52277</t>
  </si>
  <si>
    <t>2019-09-02</t>
  </si>
  <si>
    <t>440.47</t>
  </si>
  <si>
    <t>620.68</t>
  </si>
  <si>
    <t>53785</t>
  </si>
  <si>
    <t>2019-09-01</t>
  </si>
  <si>
    <t>620.91</t>
  </si>
  <si>
    <t>53805</t>
  </si>
  <si>
    <t>2019-08-29</t>
  </si>
  <si>
    <t>2019-08-28</t>
  </si>
  <si>
    <t>58</t>
  </si>
  <si>
    <t>311.66</t>
  </si>
  <si>
    <t>53995</t>
  </si>
  <si>
    <t>2019-08-27</t>
  </si>
  <si>
    <t>2019-08-25</t>
  </si>
  <si>
    <t>441.69</t>
  </si>
  <si>
    <t>49444</t>
  </si>
  <si>
    <t>2019-08-21</t>
  </si>
  <si>
    <t>2019-08-19</t>
  </si>
  <si>
    <t>464.86</t>
  </si>
  <si>
    <t>52337</t>
  </si>
  <si>
    <t>2019-08-18</t>
  </si>
  <si>
    <t>2019-08-14</t>
  </si>
  <si>
    <t>2019-08-13</t>
  </si>
  <si>
    <t>614.59</t>
  </si>
  <si>
    <t>436.43</t>
  </si>
  <si>
    <t>2019-08-12</t>
  </si>
  <si>
    <t>2019-08-11</t>
  </si>
  <si>
    <t>437.46</t>
  </si>
  <si>
    <t>49291</t>
  </si>
  <si>
    <t>447.29</t>
  </si>
  <si>
    <t>49982</t>
  </si>
  <si>
    <t>2019-08-08</t>
  </si>
  <si>
    <t>624.41</t>
  </si>
  <si>
    <t>54109</t>
  </si>
  <si>
    <t>2019-08-07</t>
  </si>
  <si>
    <t>2019-08-05</t>
  </si>
  <si>
    <t>767.61</t>
  </si>
  <si>
    <t>53989</t>
  </si>
  <si>
    <t>469.34</t>
  </si>
  <si>
    <t>52300</t>
  </si>
  <si>
    <t>2019-07-30</t>
  </si>
  <si>
    <t>5单元-402</t>
  </si>
  <si>
    <t>441.52</t>
  </si>
  <si>
    <t>49425</t>
  </si>
  <si>
    <t>5单元-1001</t>
  </si>
  <si>
    <t>446.09</t>
  </si>
  <si>
    <t>49848</t>
  </si>
  <si>
    <t>2单元-803</t>
  </si>
  <si>
    <t>2019-07-29</t>
  </si>
  <si>
    <t>437.8</t>
  </si>
  <si>
    <t>2单元-1003</t>
  </si>
  <si>
    <t>1单元-304</t>
  </si>
  <si>
    <t>2019-07-28</t>
  </si>
  <si>
    <t>1单元-204</t>
  </si>
  <si>
    <t>82</t>
  </si>
  <si>
    <t>45366</t>
  </si>
  <si>
    <t>2019-07-25</t>
  </si>
  <si>
    <t>2019-07-23</t>
  </si>
  <si>
    <t>2单元-801</t>
  </si>
  <si>
    <t>62</t>
  </si>
  <si>
    <t>332.77</t>
  </si>
  <si>
    <t>53916</t>
  </si>
  <si>
    <t>2019-07-22</t>
  </si>
  <si>
    <t>608.98</t>
  </si>
  <si>
    <t>53153</t>
  </si>
  <si>
    <t>465.09</t>
  </si>
  <si>
    <t>51688</t>
  </si>
  <si>
    <t>2019-07-21</t>
  </si>
  <si>
    <t>2单元-901</t>
  </si>
  <si>
    <t>332.89</t>
  </si>
  <si>
    <t>53936</t>
  </si>
  <si>
    <t>3单元-601</t>
  </si>
  <si>
    <t>1单元-101</t>
  </si>
  <si>
    <t>2019-07-18</t>
  </si>
  <si>
    <t>2019-07-17</t>
  </si>
  <si>
    <t>5单元-802</t>
  </si>
  <si>
    <t>442.2</t>
  </si>
  <si>
    <t>49502</t>
  </si>
  <si>
    <t>2019-07-15</t>
  </si>
  <si>
    <t>5单元-902</t>
  </si>
  <si>
    <t>620.18</t>
  </si>
  <si>
    <t>53733</t>
  </si>
  <si>
    <t>2019-07-11</t>
  </si>
  <si>
    <t>2单元-601</t>
  </si>
  <si>
    <t>613.9</t>
  </si>
  <si>
    <t>53583</t>
  </si>
  <si>
    <t>5单元-701</t>
  </si>
  <si>
    <t>466.17</t>
  </si>
  <si>
    <t>51947</t>
  </si>
  <si>
    <t>2019-07-10</t>
  </si>
  <si>
    <t>4单元-701</t>
  </si>
  <si>
    <t>5单元-1002</t>
  </si>
  <si>
    <t>624.29</t>
  </si>
  <si>
    <t>54089</t>
  </si>
  <si>
    <t>2019-07-09</t>
  </si>
  <si>
    <t>4单元-901</t>
  </si>
  <si>
    <t>612.29</t>
  </si>
  <si>
    <t>53443</t>
  </si>
  <si>
    <t>2019-07-08</t>
  </si>
  <si>
    <t>3单元-1001</t>
  </si>
  <si>
    <t>4单元-802</t>
  </si>
  <si>
    <t>465.21</t>
  </si>
  <si>
    <t>52377</t>
  </si>
  <si>
    <t>2019-07-07</t>
  </si>
  <si>
    <t>466.37</t>
  </si>
  <si>
    <t>52378</t>
  </si>
  <si>
    <t>2019-07-04</t>
  </si>
  <si>
    <t>611.84</t>
  </si>
  <si>
    <t>53403</t>
  </si>
  <si>
    <t>461.37</t>
  </si>
  <si>
    <t>51945</t>
  </si>
  <si>
    <t>2019-07-03</t>
  </si>
  <si>
    <t>445.74</t>
  </si>
  <si>
    <t>49809</t>
  </si>
  <si>
    <t>1单元-802</t>
  </si>
  <si>
    <t>437.63</t>
  </si>
  <si>
    <t>49310</t>
  </si>
  <si>
    <t>2019-06-27</t>
  </si>
  <si>
    <t>433.6</t>
  </si>
  <si>
    <t>51210</t>
  </si>
  <si>
    <t>4单元-801</t>
  </si>
  <si>
    <t>2019-06-24</t>
  </si>
  <si>
    <t>2019-06-23</t>
  </si>
  <si>
    <t>3单元-801</t>
  </si>
  <si>
    <t>3单元-501</t>
  </si>
  <si>
    <t>2019-06-20</t>
  </si>
  <si>
    <t>613.67</t>
  </si>
  <si>
    <t>53563</t>
  </si>
  <si>
    <t>2019-06-19</t>
  </si>
  <si>
    <t>465.48</t>
  </si>
  <si>
    <t>52278</t>
  </si>
  <si>
    <t>2019-06-18</t>
  </si>
  <si>
    <t>462.52</t>
  </si>
  <si>
    <t>2019-06-17</t>
  </si>
  <si>
    <t>2单元-502</t>
  </si>
  <si>
    <t>458.28</t>
  </si>
  <si>
    <t>51510</t>
  </si>
  <si>
    <t>2019-06-16</t>
  </si>
  <si>
    <t>2单元-101</t>
  </si>
  <si>
    <t>61</t>
  </si>
  <si>
    <t>331.27</t>
  </si>
  <si>
    <t>54165</t>
  </si>
  <si>
    <t>2019-06-13</t>
  </si>
  <si>
    <t>1单元-1003</t>
  </si>
  <si>
    <t>2019-06-12</t>
  </si>
  <si>
    <t>304.12</t>
  </si>
  <si>
    <t>53788</t>
  </si>
  <si>
    <t>2019-06-11</t>
  </si>
  <si>
    <t>2019-06-10</t>
  </si>
  <si>
    <t>624.65</t>
  </si>
  <si>
    <t>54129</t>
  </si>
  <si>
    <t>2019-06-05</t>
  </si>
  <si>
    <t>615.01</t>
  </si>
  <si>
    <t>2019-06-04</t>
  </si>
  <si>
    <t>1单元-1002</t>
  </si>
  <si>
    <t>305.73</t>
  </si>
  <si>
    <t>54074</t>
  </si>
  <si>
    <t>2019-06-02</t>
  </si>
  <si>
    <t>5单元-901</t>
  </si>
  <si>
    <t>466.53</t>
  </si>
  <si>
    <t>51987</t>
  </si>
  <si>
    <t>2019-05-29</t>
  </si>
  <si>
    <t>461.55</t>
  </si>
  <si>
    <t>51965</t>
  </si>
  <si>
    <t>2019-05-28</t>
  </si>
  <si>
    <t>462.17</t>
  </si>
  <si>
    <t>51906</t>
  </si>
  <si>
    <t>1单元-202</t>
  </si>
  <si>
    <t>312.97</t>
  </si>
  <si>
    <t>54515</t>
  </si>
  <si>
    <t>2019-05-27</t>
  </si>
  <si>
    <t>770.69</t>
  </si>
  <si>
    <t>54244</t>
  </si>
  <si>
    <t>2019-05-26</t>
  </si>
  <si>
    <t>465.28</t>
  </si>
  <si>
    <t>52255</t>
  </si>
  <si>
    <t>1单元-102</t>
  </si>
  <si>
    <t>56</t>
  </si>
  <si>
    <t>304.17</t>
  </si>
  <si>
    <t>54065</t>
  </si>
  <si>
    <t>5单元-801</t>
  </si>
  <si>
    <t>470.06</t>
  </si>
  <si>
    <t>52380</t>
  </si>
  <si>
    <t>334.64</t>
  </si>
  <si>
    <t>54219</t>
  </si>
  <si>
    <t>2019-05-23</t>
  </si>
  <si>
    <t>453.15</t>
  </si>
  <si>
    <t>50928</t>
  </si>
  <si>
    <t>2019-05-22</t>
  </si>
  <si>
    <t>2单元-902</t>
  </si>
  <si>
    <t>323.49</t>
  </si>
  <si>
    <t>54505</t>
  </si>
  <si>
    <t>2019-05-21</t>
  </si>
  <si>
    <t>2单元-102</t>
  </si>
  <si>
    <t>317.16</t>
  </si>
  <si>
    <t>53865</t>
  </si>
  <si>
    <t>2019-05-20</t>
  </si>
  <si>
    <t>1单元-403</t>
  </si>
  <si>
    <t>309.76</t>
  </si>
  <si>
    <t>53666</t>
  </si>
  <si>
    <t>3单元-602</t>
  </si>
  <si>
    <t>462.35</t>
  </si>
  <si>
    <t>51926</t>
  </si>
  <si>
    <t>2019-05-19</t>
  </si>
  <si>
    <t>2单元-201</t>
  </si>
  <si>
    <t>334.55</t>
  </si>
  <si>
    <t>54665</t>
  </si>
  <si>
    <t>1单元-402</t>
  </si>
  <si>
    <t>2019-05-16</t>
  </si>
  <si>
    <t>3单元-502</t>
  </si>
  <si>
    <t>463.53</t>
  </si>
  <si>
    <t>51919</t>
  </si>
  <si>
    <t>2019-05-15</t>
  </si>
  <si>
    <t>466.02</t>
  </si>
  <si>
    <t>52338</t>
  </si>
  <si>
    <t>615.24</t>
  </si>
  <si>
    <t>2019-05-14</t>
  </si>
  <si>
    <t>334.76</t>
  </si>
  <si>
    <t>54239</t>
  </si>
  <si>
    <t>2019-05-13</t>
  </si>
  <si>
    <t>2019-05-12</t>
  </si>
  <si>
    <t>448.09</t>
  </si>
  <si>
    <t>50489</t>
  </si>
  <si>
    <t>2019-05-09</t>
  </si>
  <si>
    <t>5单元-702</t>
  </si>
  <si>
    <t>624.98</t>
  </si>
  <si>
    <t>54149</t>
  </si>
  <si>
    <t>2019-04-29</t>
  </si>
  <si>
    <t>308.62</t>
  </si>
  <si>
    <t>54585</t>
  </si>
  <si>
    <t>465.82</t>
  </si>
  <si>
    <t>51907</t>
  </si>
  <si>
    <t>393.22</t>
  </si>
  <si>
    <t>53397</t>
  </si>
  <si>
    <t>2019-04-28</t>
  </si>
  <si>
    <t>465.66</t>
  </si>
  <si>
    <t>52298</t>
  </si>
  <si>
    <t>309.88</t>
  </si>
  <si>
    <t>53686</t>
  </si>
  <si>
    <t>2019-04-27</t>
  </si>
  <si>
    <t>322.89</t>
  </si>
  <si>
    <t>54405</t>
  </si>
  <si>
    <t>2019-04-25</t>
  </si>
  <si>
    <t>441.61</t>
  </si>
  <si>
    <t>52379</t>
  </si>
  <si>
    <t>337.88</t>
  </si>
  <si>
    <t>54745</t>
  </si>
  <si>
    <t>2019-04-24</t>
  </si>
  <si>
    <t>776.66</t>
  </si>
  <si>
    <t>54664</t>
  </si>
  <si>
    <t>2019-04-22</t>
  </si>
  <si>
    <t>461.2</t>
  </si>
  <si>
    <t>51925</t>
  </si>
  <si>
    <t>2019-04-18</t>
  </si>
  <si>
    <t>337.51</t>
  </si>
  <si>
    <t>54685</t>
  </si>
  <si>
    <t>2019-04-11</t>
  </si>
  <si>
    <t>338.25</t>
  </si>
  <si>
    <t>54805</t>
  </si>
  <si>
    <t>2019-04-10</t>
  </si>
  <si>
    <t>620.07</t>
  </si>
  <si>
    <t>2019-04-09</t>
  </si>
  <si>
    <t>304</t>
  </si>
  <si>
    <t>53768</t>
  </si>
  <si>
    <t>2019-04-08</t>
  </si>
  <si>
    <t>452.98</t>
  </si>
  <si>
    <t>50908</t>
  </si>
  <si>
    <t>2019-04-07</t>
  </si>
  <si>
    <t>317.8</t>
  </si>
  <si>
    <t>53547</t>
  </si>
  <si>
    <t>2019-04-03</t>
  </si>
  <si>
    <t>335.13</t>
  </si>
  <si>
    <t>54299</t>
  </si>
  <si>
    <t>456.73</t>
  </si>
  <si>
    <t>51129</t>
  </si>
  <si>
    <t>2019-04-02</t>
  </si>
  <si>
    <t>335.38</t>
  </si>
  <si>
    <t>54339</t>
  </si>
  <si>
    <t>462.87</t>
  </si>
  <si>
    <t>51985</t>
  </si>
  <si>
    <t>317.92</t>
  </si>
  <si>
    <t>53567</t>
  </si>
  <si>
    <t>2019-04-01</t>
  </si>
  <si>
    <t>453.86</t>
  </si>
  <si>
    <t>50808</t>
  </si>
  <si>
    <t>335.16</t>
  </si>
  <si>
    <t>54765</t>
  </si>
  <si>
    <t>307.1</t>
  </si>
  <si>
    <t>53492</t>
  </si>
  <si>
    <t>333.38</t>
  </si>
  <si>
    <t>54015</t>
  </si>
  <si>
    <t>2019-03-27</t>
  </si>
  <si>
    <t>438.85</t>
  </si>
  <si>
    <t>52052</t>
  </si>
  <si>
    <t>2019-03-21</t>
  </si>
  <si>
    <t>1单元-902</t>
  </si>
  <si>
    <t>306.3</t>
  </si>
  <si>
    <t>54174</t>
  </si>
  <si>
    <t>2019-03-20</t>
  </si>
  <si>
    <t>1单元-203</t>
  </si>
  <si>
    <t>309.97</t>
  </si>
  <si>
    <t>53992</t>
  </si>
  <si>
    <t>2019-03-19</t>
  </si>
  <si>
    <t>4单元-502</t>
  </si>
  <si>
    <t>2019-03-18</t>
  </si>
  <si>
    <t>319.77</t>
  </si>
  <si>
    <t>53879</t>
  </si>
  <si>
    <t>2019-03-17</t>
  </si>
  <si>
    <t>2单元-202</t>
  </si>
  <si>
    <t>317.1</t>
  </si>
  <si>
    <t>53855</t>
  </si>
  <si>
    <t>1单元-703</t>
  </si>
  <si>
    <t>333.26</t>
  </si>
  <si>
    <t>2019-03-14</t>
  </si>
  <si>
    <t>309.65</t>
  </si>
  <si>
    <t>53646</t>
  </si>
  <si>
    <t>2019-03-13</t>
  </si>
  <si>
    <t>439.01</t>
  </si>
  <si>
    <t>52071</t>
  </si>
  <si>
    <t>1单元-303</t>
  </si>
  <si>
    <t>311.77</t>
  </si>
  <si>
    <t>441.94</t>
  </si>
  <si>
    <t>52419</t>
  </si>
  <si>
    <t>2单元-1001</t>
  </si>
  <si>
    <t>2019-03-12</t>
  </si>
  <si>
    <t>1单元-603</t>
  </si>
  <si>
    <t>333.14</t>
  </si>
  <si>
    <t>53975</t>
  </si>
  <si>
    <t>2019-03-11</t>
  </si>
  <si>
    <t>335.01</t>
  </si>
  <si>
    <t>54279</t>
  </si>
  <si>
    <t>309.99</t>
  </si>
  <si>
    <t>53706</t>
  </si>
  <si>
    <t>303.98</t>
  </si>
  <si>
    <t>54031</t>
  </si>
  <si>
    <t>452.51</t>
  </si>
  <si>
    <t>50987</t>
  </si>
  <si>
    <t>318.04</t>
  </si>
  <si>
    <t>53586</t>
  </si>
  <si>
    <t>2019-03-10</t>
  </si>
  <si>
    <t>447.57</t>
  </si>
  <si>
    <t>50430</t>
  </si>
  <si>
    <t>1单元-803</t>
  </si>
  <si>
    <t>1单元-903</t>
  </si>
  <si>
    <t>333.5</t>
  </si>
  <si>
    <t>54035</t>
  </si>
  <si>
    <t>3单元-901</t>
  </si>
  <si>
    <t>461.73</t>
  </si>
  <si>
    <t>51984</t>
  </si>
  <si>
    <t>2019-01-30</t>
  </si>
  <si>
    <t>1单元-701</t>
  </si>
  <si>
    <t>619.62</t>
  </si>
  <si>
    <t>53693</t>
  </si>
  <si>
    <t>2019-01-29</t>
  </si>
  <si>
    <t>1单元-702</t>
  </si>
  <si>
    <t>310.1</t>
  </si>
  <si>
    <t>53725</t>
  </si>
  <si>
    <t>2019-01-28</t>
  </si>
  <si>
    <t>318.15</t>
  </si>
  <si>
    <t>53606</t>
  </si>
  <si>
    <t>2019-01-27</t>
  </si>
  <si>
    <t>303.78</t>
  </si>
  <si>
    <t>53728</t>
  </si>
  <si>
    <t>2单元-703</t>
  </si>
  <si>
    <t>389.98</t>
  </si>
  <si>
    <t>52958</t>
  </si>
  <si>
    <t>平均值</t>
    <phoneticPr fontId="143" type="noConversion"/>
  </si>
  <si>
    <t>合计</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</si>
</sst>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2" fontId="47"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6" fillId="0" borderId="0" xfId="17"/>
    <xf numFmtId="0" fontId="56" fillId="0" borderId="0" xfId="17" applyFont="1"/>
    <xf numFmtId="1" fontId="56" fillId="0" borderId="0" xfId="17" applyNumberFormat="1"/>
    <xf numFmtId="1" fontId="73" fillId="3" borderId="51" xfId="0" applyNumberFormat="1" applyFont="1" applyFill="1" applyBorder="1" applyAlignment="1" applyProtection="1">
      <alignment vertical="center" wrapText="1"/>
      <protection locked="0"/>
    </xf>
    <xf numFmtId="0" fontId="56" fillId="0" borderId="0" xfId="17" applyNumberFormat="1"/>
    <xf numFmtId="0" fontId="19" fillId="5" borderId="0" xfId="17" applyFon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18" borderId="23" xfId="0" applyFont="1" applyFill="1" applyBorder="1" applyAlignment="1" applyProtection="1">
      <alignment horizontal="center" vertical="center" wrapText="1"/>
      <protection locked="0"/>
    </xf>
    <xf numFmtId="0" fontId="178" fillId="18"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twoCellAnchor editAs="oneCell">
    <xdr:from>
      <xdr:col>0</xdr:col>
      <xdr:colOff>0</xdr:colOff>
      <xdr:row>84</xdr:row>
      <xdr:rowOff>95250</xdr:rowOff>
    </xdr:from>
    <xdr:to>
      <xdr:col>16</xdr:col>
      <xdr:colOff>379582</xdr:colOff>
      <xdr:row>97</xdr:row>
      <xdr:rowOff>75924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497050"/>
          <a:ext cx="11352382"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5" sqref="C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北京市北京经济技术开发区河西区X90R1、X90S1地块出让国有建设用地使用权及在建建筑物房地产市场价值预评估</v>
      </c>
    </row>
    <row r="3" spans="1:2" s="1593" customFormat="1">
      <c r="A3" s="1591" t="s">
        <v>1216</v>
      </c>
      <c r="B3" s="1592" t="str">
        <f>'预评函-封皮'!B40</f>
        <v>北京博大新元房地产开发有限公司</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2020年1月17日（评估专业人员实地查勘之日）</v>
      </c>
    </row>
    <row r="13" spans="1:2" s="1593" customFormat="1">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本次评估采用的主估价方法为比较法和比较法。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453051</v>
      </c>
    </row>
    <row r="21" spans="1:2" s="1593" customFormat="1">
      <c r="A21" s="1591" t="s">
        <v>1230</v>
      </c>
      <c r="B21" s="1592" t="e">
        <f ca="1">'预评函-2'!D7</f>
        <v>#DIV/0!</v>
      </c>
    </row>
    <row r="22" spans="1:2" s="1593" customFormat="1">
      <c r="A22" s="1591" t="s">
        <v>1231</v>
      </c>
      <c r="B22" s="1592" t="str">
        <f ca="1">'预评函-2'!D6</f>
        <v>肆拾伍亿叁仟零伍拾壹万元整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453051</v>
      </c>
    </row>
    <row r="31" spans="1:2" s="1593" customFormat="1">
      <c r="A31" s="1591" t="s">
        <v>1269</v>
      </c>
      <c r="B31" s="1592">
        <f ca="1">'预评函-2'!D15</f>
        <v>52092</v>
      </c>
    </row>
    <row r="32" spans="1:2" s="1593" customFormat="1">
      <c r="A32" s="1591" t="s">
        <v>1236</v>
      </c>
      <c r="B32" s="1592" t="str">
        <f ca="1">'预评函-2'!D14</f>
        <v>肆拾伍亿叁仟零伍拾壹万元整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北京市北京经济技术开发区河西区X90R1、X90S1地块出让国有建设用地使用权及在建建筑物房地产</v>
      </c>
    </row>
    <row r="42" spans="1:2" s="1593" customFormat="1">
      <c r="A42" s="1591" t="s">
        <v>1283</v>
      </c>
      <c r="B42" s="1592" t="str">
        <f>'预评函-3'!B2</f>
        <v>建筑面积</v>
      </c>
    </row>
    <row r="43" spans="1:2" s="1593" customFormat="1">
      <c r="A43" s="1591" t="s">
        <v>1284</v>
      </c>
      <c r="B43" s="1592">
        <f>'预评函-3'!B4</f>
        <v>86971.4</v>
      </c>
    </row>
    <row r="44" spans="1:2" s="1593" customFormat="1">
      <c r="A44" s="1591" t="s">
        <v>1268</v>
      </c>
      <c r="B44" s="1592" t="str">
        <f>'预评函-3'!C2</f>
        <v>(分摊)土地面积</v>
      </c>
    </row>
    <row r="45" spans="1:2" s="1593" customFormat="1">
      <c r="A45" s="1591" t="s">
        <v>1240</v>
      </c>
      <c r="B45" s="1592">
        <f>'预评函-3'!C4</f>
        <v>43648.1</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#DIV/0!</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29"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021" t="s">
        <v>860</v>
      </c>
      <c r="C54" s="2018" t="s">
        <v>1276</v>
      </c>
    </row>
    <row r="55" spans="1:4">
      <c r="A55" s="3029"/>
      <c r="B55" s="2021" t="s">
        <v>861</v>
      </c>
      <c r="C55" s="2018" t="s">
        <v>1277</v>
      </c>
    </row>
    <row r="56" spans="1:4">
      <c r="A56" s="3029"/>
      <c r="B56" s="2021" t="s">
        <v>862</v>
      </c>
      <c r="C56" s="2018" t="s">
        <v>1281</v>
      </c>
    </row>
    <row r="57" spans="1:4">
      <c r="A57" s="3029"/>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38"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39"/>
      <c r="D1" s="3039"/>
      <c r="E1" s="3039"/>
      <c r="F1" s="3039"/>
      <c r="G1" s="3039"/>
      <c r="H1" s="3039"/>
      <c r="I1" s="3040"/>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3057</v>
      </c>
      <c r="C4" s="1037">
        <f ca="1">SUMIF(注册房地产估价师,B4,估价师及机构信息!B3:B24)</f>
        <v>1119970111</v>
      </c>
      <c r="D4" s="2038" t="s">
        <v>3058</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3059</v>
      </c>
      <c r="C8" s="2054"/>
      <c r="D8" s="3041" t="s">
        <v>1779</v>
      </c>
      <c r="E8" s="2055"/>
      <c r="F8" s="2056"/>
      <c r="G8" s="2025"/>
      <c r="H8" s="2025"/>
      <c r="I8" s="2025"/>
      <c r="J8" s="2041"/>
      <c r="K8" s="2042"/>
      <c r="L8" s="2027"/>
      <c r="M8" s="2027"/>
      <c r="N8" s="2028"/>
      <c r="O8" s="2029"/>
      <c r="P8" s="2028"/>
      <c r="Q8" s="2028"/>
      <c r="R8" s="2028"/>
    </row>
    <row r="9" spans="1:19" ht="18" customHeight="1" thickBot="1">
      <c r="A9" s="2039" t="s">
        <v>1780</v>
      </c>
      <c r="B9" s="2057" t="s">
        <v>3060</v>
      </c>
      <c r="C9" s="2058"/>
      <c r="D9" s="3042"/>
      <c r="E9" s="2057"/>
      <c r="F9" s="2059"/>
      <c r="G9" s="2060"/>
      <c r="H9" s="2060"/>
      <c r="I9" s="2060"/>
      <c r="J9" s="2041"/>
      <c r="K9" s="2052"/>
      <c r="L9" s="2027"/>
      <c r="M9" s="2027"/>
      <c r="N9" s="2028"/>
      <c r="O9" s="2029"/>
      <c r="P9" s="2028"/>
      <c r="Q9" s="2028"/>
      <c r="R9" s="2028"/>
    </row>
    <row r="10" spans="1:19" ht="18" customHeight="1" thickTop="1">
      <c r="A10" s="2061" t="s">
        <v>1781</v>
      </c>
      <c r="B10" s="2062" t="s">
        <v>3056</v>
      </c>
      <c r="C10" s="2063"/>
      <c r="D10" s="2045"/>
      <c r="E10" s="2064" t="s">
        <v>1782</v>
      </c>
      <c r="F10" s="2065" t="s">
        <v>3079</v>
      </c>
      <c r="G10" s="2066"/>
      <c r="H10" s="2067"/>
      <c r="I10" s="2045"/>
      <c r="J10" s="2041"/>
      <c r="K10" s="2052"/>
      <c r="L10" s="2027"/>
      <c r="M10" s="2027"/>
      <c r="N10" s="2028"/>
      <c r="O10" s="2029"/>
      <c r="P10" s="2028"/>
      <c r="Q10" s="2028"/>
      <c r="R10" s="2028"/>
    </row>
    <row r="11" spans="1:19" ht="18" customHeight="1">
      <c r="A11" s="2068" t="s">
        <v>1783</v>
      </c>
      <c r="B11" s="2069" t="s">
        <v>3062</v>
      </c>
      <c r="C11" s="2952" t="s">
        <v>3061</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3063</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48"/>
      <c r="C16" s="3049"/>
      <c r="D16" s="3050"/>
      <c r="E16" s="2083" t="s">
        <v>1796</v>
      </c>
      <c r="F16" s="3051"/>
      <c r="G16" s="3052"/>
      <c r="H16" s="3052"/>
      <c r="I16" s="3053"/>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54" t="s">
        <v>1800</v>
      </c>
      <c r="F17" s="3055"/>
      <c r="G17" s="3055"/>
      <c r="H17" s="3055"/>
      <c r="I17" s="3056"/>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57" t="s">
        <v>1803</v>
      </c>
      <c r="F18" s="3058"/>
      <c r="G18" s="3058"/>
      <c r="H18" s="3058"/>
      <c r="I18" s="3059"/>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3113</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44" t="s">
        <v>1808</v>
      </c>
      <c r="C20" s="3045"/>
      <c r="D20" s="3046" t="s">
        <v>1809</v>
      </c>
      <c r="E20" s="3047"/>
      <c r="F20" s="2095" t="s">
        <v>1810</v>
      </c>
      <c r="G20" s="2041"/>
      <c r="H20" s="2041"/>
      <c r="I20" s="2041"/>
      <c r="J20" s="2041"/>
      <c r="K20" s="304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4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4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31"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31"/>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31"/>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32"/>
      <c r="B30" s="2034" t="s">
        <v>1827</v>
      </c>
      <c r="C30" s="3033"/>
      <c r="D30" s="3034"/>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35"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36"/>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36"/>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30" t="s">
        <v>1837</v>
      </c>
      <c r="T34" s="2132" t="str">
        <f>NUMBERSTRING(7-K34,1)&amp;"通"</f>
        <v>七通</v>
      </c>
      <c r="U34" s="2028"/>
      <c r="V34" s="2028"/>
    </row>
    <row r="35" spans="1:22" ht="18" customHeight="1">
      <c r="A35" s="2133"/>
      <c r="B35" s="3037" t="s">
        <v>1838</v>
      </c>
      <c r="C35" s="3037"/>
      <c r="D35" s="3037"/>
      <c r="E35" s="3037"/>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0"/>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3114</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3064</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3115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c r="D13" s="2211" t="s">
        <v>3117</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71" t="s">
        <v>1934</v>
      </c>
      <c r="B2" s="3071"/>
      <c r="C2" s="3071"/>
      <c r="D2" s="967" t="s">
        <v>1910</v>
      </c>
      <c r="E2" s="2225" t="s">
        <v>1911</v>
      </c>
      <c r="F2" s="1392"/>
      <c r="G2" s="2226"/>
      <c r="H2" s="2227"/>
      <c r="I2" s="2228" t="s">
        <v>1935</v>
      </c>
      <c r="J2" s="1392"/>
      <c r="K2" s="1392"/>
      <c r="L2" s="1392"/>
      <c r="M2" s="1392"/>
      <c r="N2" s="1427"/>
      <c r="O2" s="1392"/>
      <c r="P2" s="1392"/>
    </row>
    <row r="3" spans="1:16" ht="15.75" thickBot="1">
      <c r="A3" s="3072" t="s">
        <v>1908</v>
      </c>
      <c r="B3" s="3072"/>
      <c r="C3" s="3072"/>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ht="15">
      <c r="A4" s="3073"/>
      <c r="B4" s="3074"/>
      <c r="C4" s="3075"/>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76" t="s">
        <v>1913</v>
      </c>
      <c r="C5" s="3076"/>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76" t="s">
        <v>1914</v>
      </c>
      <c r="C6" s="3076"/>
      <c r="D6" s="48">
        <f>ROUND($D$3*E6/$E$3,2)</f>
        <v>0</v>
      </c>
      <c r="E6" s="49">
        <f>E3-E5</f>
        <v>0</v>
      </c>
      <c r="F6" s="1392"/>
      <c r="G6" s="2233" t="s">
        <v>1915</v>
      </c>
      <c r="H6" s="1399" t="s">
        <v>1916</v>
      </c>
      <c r="I6" s="939">
        <f>ROUND(F31/D31,2)</f>
        <v>1.99</v>
      </c>
      <c r="J6" s="1392"/>
      <c r="K6" s="1392"/>
      <c r="L6" s="1392"/>
      <c r="M6" s="1392"/>
      <c r="N6" s="1392"/>
      <c r="O6" s="1392"/>
      <c r="P6" s="1392"/>
    </row>
    <row r="7" spans="1:16" ht="15">
      <c r="A7" s="3068"/>
      <c r="B7" s="3069"/>
      <c r="C7" s="3070"/>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43648.1</v>
      </c>
      <c r="E16" s="53">
        <f>SUM(E8:E15)</f>
        <v>86971.4</v>
      </c>
      <c r="F16" s="1392"/>
      <c r="G16" s="2235"/>
      <c r="H16" s="2238" t="s">
        <v>1938</v>
      </c>
      <c r="I16" s="2239"/>
      <c r="J16" s="1392"/>
      <c r="K16" s="3065" t="s">
        <v>1938</v>
      </c>
      <c r="L16" s="3066"/>
      <c r="M16" s="3066"/>
      <c r="N16" s="3066"/>
      <c r="O16" s="3066"/>
      <c r="P16" s="3067"/>
    </row>
    <row r="17" spans="1:19" ht="15">
      <c r="A17" s="2240" t="s">
        <v>1939</v>
      </c>
      <c r="B17" s="2241" t="s">
        <v>1940</v>
      </c>
      <c r="C17" s="2242" t="s">
        <v>1941</v>
      </c>
      <c r="D17" s="2243" t="s">
        <v>1929</v>
      </c>
      <c r="E17" s="2244" t="s">
        <v>1930</v>
      </c>
      <c r="F17" s="2245"/>
      <c r="G17" s="2246"/>
      <c r="H17" s="2247" t="s">
        <v>1942</v>
      </c>
      <c r="I17" s="2248" t="s">
        <v>1927</v>
      </c>
      <c r="J17" s="1392"/>
      <c r="K17" s="3062" t="s">
        <v>1943</v>
      </c>
      <c r="L17" s="3063"/>
      <c r="M17" s="3064"/>
      <c r="N17" s="3062" t="s">
        <v>1944</v>
      </c>
      <c r="O17" s="3063"/>
      <c r="P17" s="3064"/>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7" t="s">
        <v>3116</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IF(ISERROR(ROUND(POWER(1+H6,D6-F6)*(POWER(1+H6,F6)-1)/(POWER(1+H6,D6)-1),3)),0,ROUND(POWER(1+H6,D6-F6)*(POWER(1+H6,F6)-1)/(POWER(1+H6,D6)-1),3))</f>
        <v>0</v>
      </c>
      <c r="H6" s="802"/>
      <c r="I6" s="802"/>
      <c r="J6" s="74"/>
      <c r="K6" s="1251">
        <f>SUMIF('数据-汇总表'!C$19:C$33,A6,'数据-汇总表'!E$19:E$33)</f>
        <v>86971.4</v>
      </c>
      <c r="L6" s="803"/>
      <c r="M6" s="75">
        <f t="shared" ref="M6:M14" si="0">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2009</v>
      </c>
      <c r="B14" s="2305" t="s">
        <v>2010</v>
      </c>
      <c r="C14" s="2310" t="s">
        <v>2009</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7" t="s">
        <v>2080</v>
      </c>
      <c r="B1" s="3078"/>
      <c r="C1" s="3078"/>
      <c r="D1" s="3078"/>
      <c r="E1" s="3078"/>
      <c r="F1" s="3078"/>
      <c r="G1" s="3078"/>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121.5">
      <c r="A3" s="415" t="s">
        <v>2083</v>
      </c>
      <c r="B3" s="1268" t="s">
        <v>2084</v>
      </c>
      <c r="C3" s="2959" t="s">
        <v>3080</v>
      </c>
      <c r="D3" s="2367"/>
      <c r="E3" s="431" t="s">
        <v>2083</v>
      </c>
      <c r="F3" s="2368" t="s">
        <v>2085</v>
      </c>
      <c r="G3" s="2369" t="s">
        <v>2086</v>
      </c>
      <c r="H3" s="2365"/>
      <c r="I3" s="2365"/>
      <c r="J3" s="2365"/>
      <c r="K3" s="2365"/>
      <c r="L3" s="2365"/>
      <c r="M3" s="2365"/>
      <c r="N3" s="2365"/>
      <c r="O3" s="2365"/>
      <c r="P3" s="2365"/>
      <c r="Q3" s="2365"/>
      <c r="R3" s="2365"/>
    </row>
    <row r="4" spans="1:29" ht="41.2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1.2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67.5">
      <c r="A6" s="431"/>
      <c r="B6" s="1795" t="s">
        <v>2095</v>
      </c>
      <c r="C6" s="2960" t="s">
        <v>3121</v>
      </c>
      <c r="D6" s="2367"/>
      <c r="E6" s="2371"/>
      <c r="F6" s="1795" t="s">
        <v>2096</v>
      </c>
      <c r="G6" s="2372" t="s">
        <v>2097</v>
      </c>
      <c r="H6" s="2365"/>
      <c r="I6" s="2365"/>
      <c r="J6" s="2365"/>
      <c r="K6" s="2365"/>
      <c r="L6" s="2365"/>
      <c r="M6" s="2365"/>
      <c r="N6" s="2365"/>
      <c r="O6" s="2365"/>
      <c r="P6" s="2365"/>
      <c r="Q6" s="2365"/>
      <c r="R6" s="2365"/>
    </row>
    <row r="7" spans="1:29" ht="41.25" thickBot="1">
      <c r="A7" s="431"/>
      <c r="B7" s="1795" t="s">
        <v>2093</v>
      </c>
      <c r="C7" s="2960" t="s">
        <v>3081</v>
      </c>
      <c r="D7" s="2373"/>
      <c r="E7" s="2374"/>
      <c r="F7" s="2375" t="s">
        <v>2098</v>
      </c>
      <c r="G7" s="2376" t="s">
        <v>2099</v>
      </c>
      <c r="H7" s="2365"/>
      <c r="I7" s="2365"/>
      <c r="J7" s="2365"/>
      <c r="K7" s="2365"/>
      <c r="L7" s="2365"/>
      <c r="M7" s="2365"/>
      <c r="N7" s="2365"/>
      <c r="O7" s="2365"/>
      <c r="P7" s="2365"/>
      <c r="Q7" s="2365"/>
      <c r="R7" s="2365"/>
    </row>
    <row r="8" spans="1:29" ht="15">
      <c r="A8" s="431"/>
      <c r="B8" s="1795" t="s">
        <v>2096</v>
      </c>
      <c r="C8" s="2960" t="s">
        <v>3082</v>
      </c>
      <c r="D8" s="2373"/>
      <c r="E8" s="2373"/>
      <c r="F8" s="1133"/>
      <c r="G8" s="1133"/>
      <c r="H8" s="2365"/>
      <c r="I8" s="2365"/>
      <c r="J8" s="2365"/>
      <c r="K8" s="2365"/>
      <c r="L8" s="2365"/>
      <c r="M8" s="2365"/>
      <c r="N8" s="2365"/>
      <c r="O8" s="2365"/>
      <c r="P8" s="2365"/>
      <c r="Q8" s="2365"/>
      <c r="R8" s="2365"/>
    </row>
    <row r="9" spans="1:29" ht="67.5">
      <c r="A9" s="431"/>
      <c r="B9" s="1795" t="s">
        <v>2100</v>
      </c>
      <c r="C9" s="2961" t="s">
        <v>3122</v>
      </c>
      <c r="D9" s="2367"/>
      <c r="E9" s="2373"/>
      <c r="F9" s="1133"/>
      <c r="G9" s="1133"/>
      <c r="H9" s="2365"/>
      <c r="I9" s="2365"/>
      <c r="J9" s="2365"/>
      <c r="K9" s="2365"/>
      <c r="L9" s="2365"/>
      <c r="M9" s="2365"/>
      <c r="N9" s="2365"/>
      <c r="O9" s="2365"/>
      <c r="P9" s="2365"/>
      <c r="Q9" s="2365"/>
      <c r="R9" s="2365"/>
    </row>
    <row r="10" spans="1:29" s="117" customFormat="1" ht="15.75" thickBot="1">
      <c r="A10" s="2377"/>
      <c r="B10" s="2378" t="s">
        <v>2101</v>
      </c>
      <c r="C10" s="2962" t="s">
        <v>3083</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7"/>
      <c r="E14" s="2397"/>
      <c r="F14" s="2397"/>
      <c r="G14" s="2362" t="s">
        <v>2104</v>
      </c>
    </row>
    <row r="15" spans="1:29" ht="128.2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3"/>
      <c r="E17" s="2402"/>
      <c r="F17" s="2403" t="s">
        <v>2108</v>
      </c>
      <c r="G17" s="1569"/>
    </row>
    <row r="18" spans="1:18" ht="71.2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28.5">
      <c r="A19" s="645"/>
      <c r="B19" s="2403" t="s">
        <v>2109</v>
      </c>
      <c r="C19" s="1569"/>
      <c r="D19" s="2367"/>
      <c r="E19" s="2402"/>
      <c r="F19" s="1795" t="s">
        <v>2093</v>
      </c>
      <c r="G19" s="136" t="str">
        <f>G5</f>
        <v>估价对象所在区域公共配套设施齐备情况</v>
      </c>
    </row>
    <row r="20" spans="1:18" ht="71.2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28.5">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5.75"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0</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43847</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453051</v>
      </c>
      <c r="C5" s="1743" t="e">
        <f ca="1">ROUND(B5*10000/$B$1,0)</f>
        <v>#DIV/0!</v>
      </c>
      <c r="D5" s="1743" t="e">
        <f ca="1">ROUND(B5*10000/$B$2,0)</f>
        <v>#DIV/0!</v>
      </c>
      <c r="E5" s="1742"/>
      <c r="F5" s="1740"/>
      <c r="G5" s="1740"/>
    </row>
    <row r="6" spans="1:10" ht="16.5">
      <c r="A6" s="1743" t="s">
        <v>1351</v>
      </c>
      <c r="B6" s="1743">
        <f ca="1">SUM(G14:G23)</f>
        <v>453051</v>
      </c>
      <c r="C6" s="1743" t="e">
        <f ca="1">ROUND(B6*10000/$B$1,0)</f>
        <v>#DIV/0!</v>
      </c>
      <c r="D6" s="1743" t="e">
        <f ca="1">ROUND(B6*10000/$B$2,0)</f>
        <v>#DIV/0!</v>
      </c>
      <c r="E6" s="1742"/>
      <c r="F6" s="1740"/>
      <c r="G6" s="1740"/>
    </row>
    <row r="7" spans="1:10" ht="16.5">
      <c r="A7" s="1743" t="s">
        <v>1359</v>
      </c>
      <c r="B7" s="1743">
        <f>SUM(H14:H23)</f>
        <v>0</v>
      </c>
      <c r="C7" s="1743" t="e">
        <f>ROUND(B7*10000/$B$1,0)</f>
        <v>#DIV/0!</v>
      </c>
      <c r="D7" s="1743" t="e">
        <f>ROUND(B7*10000/$B$2,0)</f>
        <v>#DIV/0!</v>
      </c>
      <c r="E7" s="1742"/>
      <c r="F7" s="1740"/>
      <c r="G7" s="1740"/>
    </row>
    <row r="8" spans="1:10" ht="16.5">
      <c r="A8" s="1743" t="s">
        <v>1280</v>
      </c>
      <c r="B8" s="1743">
        <f>SUM(I14:I23)</f>
        <v>0</v>
      </c>
      <c r="C8" s="1743" t="e">
        <f>ROUND(B8*10000/$B$1,0)</f>
        <v>#DIV/0!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0</v>
      </c>
      <c r="C14" s="1741">
        <f>结果表!C118</f>
        <v>0</v>
      </c>
      <c r="D14" s="1741">
        <f ca="1">结果表!H118</f>
        <v>453051</v>
      </c>
      <c r="E14" s="1741" t="e">
        <f ca="1">ROUND(D14*10000/B14,0)</f>
        <v>#DIV/0!</v>
      </c>
      <c r="F14" s="1741" t="e">
        <f ca="1">ROUND(D14*10000/C14,0)</f>
        <v>#DIV/0!</v>
      </c>
      <c r="G14" s="1741">
        <f ca="1">结果表!D122</f>
        <v>453051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3" t="s">
        <v>2115</v>
      </c>
      <c r="B1" s="2414"/>
      <c r="C1" s="2415" t="s">
        <v>3084</v>
      </c>
      <c r="D1" s="2414"/>
      <c r="E1" s="2414"/>
      <c r="F1" s="2416" t="s">
        <v>2116</v>
      </c>
      <c r="G1" s="2069" t="s">
        <v>2117</v>
      </c>
      <c r="H1" s="2417" t="str">
        <f>IF(G1="现房","——","估价对象范围")</f>
        <v>估价对象范围</v>
      </c>
      <c r="I1" s="2418"/>
    </row>
    <row r="2" spans="1:12" ht="21.75" customHeight="1" thickBot="1">
      <c r="A2" s="3112" t="str">
        <f>项目基本情况!S2</f>
        <v>北京市北京经济技术开发区河西区X90R1、X90S1地块出让国有建设用地使用权及在建建筑物房地产</v>
      </c>
      <c r="B2" s="3113"/>
      <c r="C2" s="3113"/>
      <c r="D2" s="3113"/>
      <c r="E2" s="3113"/>
      <c r="F2" s="3113"/>
      <c r="G2" s="3113"/>
      <c r="H2" s="3113"/>
      <c r="I2" s="3114"/>
    </row>
    <row r="3" spans="1:12" ht="12.75">
      <c r="A3" s="3116" t="s">
        <v>2118</v>
      </c>
      <c r="B3" s="3117"/>
      <c r="C3" s="3117"/>
      <c r="D3" s="3117"/>
      <c r="E3" s="3117"/>
      <c r="F3" s="3117"/>
      <c r="G3" s="3117"/>
      <c r="H3" s="3117"/>
      <c r="I3" s="3117"/>
    </row>
    <row r="4" spans="1:12" ht="14.25">
      <c r="A4" s="2421" t="s">
        <v>2119</v>
      </c>
      <c r="B4" s="2422" t="s">
        <v>2120</v>
      </c>
      <c r="C4" s="2423" t="s">
        <v>3085</v>
      </c>
      <c r="D4" s="2423" t="s">
        <v>3085</v>
      </c>
      <c r="E4" s="3109" t="s">
        <v>2121</v>
      </c>
      <c r="F4" s="3110"/>
      <c r="G4" s="3110"/>
      <c r="H4" s="3110"/>
      <c r="I4" s="3118"/>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092" t="s">
        <v>2122</v>
      </c>
      <c r="B5" s="3030">
        <v>25</v>
      </c>
      <c r="C5" s="3095">
        <v>5</v>
      </c>
      <c r="D5" s="3115">
        <v>5</v>
      </c>
      <c r="E5" s="140" t="s">
        <v>2123</v>
      </c>
      <c r="F5" s="2425"/>
      <c r="G5" s="2425"/>
      <c r="H5" s="2425"/>
      <c r="I5" s="1831"/>
    </row>
    <row r="6" spans="1:12" ht="12.75">
      <c r="A6" s="3092"/>
      <c r="B6" s="3030"/>
      <c r="C6" s="3096"/>
      <c r="D6" s="3115"/>
      <c r="E6" s="140" t="s">
        <v>2124</v>
      </c>
      <c r="F6" s="2425"/>
      <c r="G6" s="2425"/>
      <c r="H6" s="2425"/>
      <c r="I6" s="1831"/>
    </row>
    <row r="7" spans="1:12" ht="12.75">
      <c r="A7" s="3092"/>
      <c r="B7" s="3030"/>
      <c r="C7" s="3097"/>
      <c r="D7" s="3115"/>
      <c r="E7" s="140" t="s">
        <v>2125</v>
      </c>
      <c r="F7" s="2425"/>
      <c r="G7" s="2425"/>
      <c r="H7" s="2425"/>
      <c r="I7" s="1831"/>
    </row>
    <row r="8" spans="1:12" ht="12.75">
      <c r="A8" s="3092" t="s">
        <v>2126</v>
      </c>
      <c r="B8" s="3030">
        <v>15</v>
      </c>
      <c r="C8" s="3095"/>
      <c r="D8" s="3115"/>
      <c r="E8" s="140" t="s">
        <v>2127</v>
      </c>
      <c r="F8" s="2425"/>
      <c r="G8" s="2425"/>
      <c r="H8" s="2425"/>
      <c r="I8" s="1831"/>
    </row>
    <row r="9" spans="1:12" ht="12.75">
      <c r="A9" s="3092"/>
      <c r="B9" s="3030"/>
      <c r="C9" s="3097"/>
      <c r="D9" s="3115"/>
      <c r="E9" s="140" t="s">
        <v>2128</v>
      </c>
      <c r="F9" s="2425"/>
      <c r="G9" s="2425"/>
      <c r="H9" s="2425"/>
      <c r="I9" s="1831"/>
    </row>
    <row r="10" spans="1:12" ht="12.75">
      <c r="A10" s="3092" t="s">
        <v>2129</v>
      </c>
      <c r="B10" s="3030">
        <v>15</v>
      </c>
      <c r="C10" s="3095"/>
      <c r="D10" s="3115"/>
      <c r="E10" s="140" t="s">
        <v>2130</v>
      </c>
      <c r="F10" s="2425"/>
      <c r="G10" s="2425"/>
      <c r="H10" s="2425"/>
      <c r="I10" s="1831"/>
    </row>
    <row r="11" spans="1:12" ht="12.75">
      <c r="A11" s="3092"/>
      <c r="B11" s="3030"/>
      <c r="C11" s="3097"/>
      <c r="D11" s="3115"/>
      <c r="E11" s="140" t="s">
        <v>2131</v>
      </c>
      <c r="F11" s="2425"/>
      <c r="G11" s="2425"/>
      <c r="H11" s="2425"/>
      <c r="I11" s="1831"/>
    </row>
    <row r="12" spans="1:12" ht="12.75">
      <c r="A12" s="3092" t="s">
        <v>2132</v>
      </c>
      <c r="B12" s="3030">
        <v>15</v>
      </c>
      <c r="C12" s="3095"/>
      <c r="D12" s="3115"/>
      <c r="E12" s="140" t="s">
        <v>2133</v>
      </c>
      <c r="F12" s="2425"/>
      <c r="G12" s="2425"/>
      <c r="H12" s="2425"/>
      <c r="I12" s="1831"/>
    </row>
    <row r="13" spans="1:12" ht="12.75">
      <c r="A13" s="3092"/>
      <c r="B13" s="3030"/>
      <c r="C13" s="3097"/>
      <c r="D13" s="3115"/>
      <c r="E13" s="140" t="s">
        <v>2134</v>
      </c>
      <c r="F13" s="2425"/>
      <c r="G13" s="2425"/>
      <c r="H13" s="2425"/>
      <c r="I13" s="1831"/>
    </row>
    <row r="14" spans="1:12" ht="12.75">
      <c r="A14" s="3092" t="s">
        <v>2135</v>
      </c>
      <c r="B14" s="3030">
        <v>30</v>
      </c>
      <c r="C14" s="3095"/>
      <c r="D14" s="3115"/>
      <c r="E14" s="140" t="s">
        <v>2136</v>
      </c>
      <c r="F14" s="2425"/>
      <c r="G14" s="2425"/>
      <c r="H14" s="2425"/>
      <c r="I14" s="1831"/>
    </row>
    <row r="15" spans="1:12" ht="12.75">
      <c r="A15" s="3092"/>
      <c r="B15" s="3030"/>
      <c r="C15" s="3096"/>
      <c r="D15" s="3115"/>
      <c r="E15" s="140" t="s">
        <v>2137</v>
      </c>
      <c r="F15" s="2425"/>
      <c r="G15" s="2425"/>
      <c r="H15" s="2425"/>
      <c r="I15" s="1831"/>
    </row>
    <row r="16" spans="1:12" ht="12.75">
      <c r="A16" s="3092"/>
      <c r="B16" s="3030"/>
      <c r="C16" s="3097"/>
      <c r="D16" s="3115"/>
      <c r="E16" s="140" t="s">
        <v>2138</v>
      </c>
      <c r="F16" s="2425"/>
      <c r="G16" s="2425"/>
      <c r="H16" s="2425"/>
      <c r="I16" s="1831"/>
    </row>
    <row r="17" spans="1:35" ht="15">
      <c r="A17" s="2426" t="s">
        <v>2139</v>
      </c>
      <c r="B17" s="64"/>
      <c r="C17" s="141">
        <f>SUM(C5:C16)</f>
        <v>5</v>
      </c>
      <c r="D17" s="141">
        <f>SUM(D5:D16)</f>
        <v>5</v>
      </c>
      <c r="E17" s="138"/>
      <c r="F17" s="138"/>
      <c r="G17" s="138"/>
      <c r="H17" s="138"/>
      <c r="I17" s="138"/>
      <c r="K17" s="2424"/>
      <c r="L17" s="2427" t="s">
        <v>2140</v>
      </c>
      <c r="M17" s="2427" t="s">
        <v>2141</v>
      </c>
    </row>
    <row r="18" spans="1:35" ht="15.7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5">
      <c r="A19" s="2430" t="s">
        <v>2144</v>
      </c>
      <c r="B19" s="2431" t="s">
        <v>2145</v>
      </c>
      <c r="C19" s="143">
        <f ca="1">SUMIF(INDIRECT("'"&amp;C4&amp;"'"&amp;"!A:A"),结果表!B19,INDIRECT("'"&amp;C4&amp;"'"&amp;"!B:B"))</f>
        <v>453051</v>
      </c>
      <c r="D19" s="144">
        <f ca="1">SUMIF(INDIRECT("'"&amp;D4&amp;"'"&amp;"!A:A"),结果表!B19,INDIRECT("'"&amp;D4&amp;"'"&amp;"!B:B"))</f>
        <v>453051</v>
      </c>
      <c r="E19" s="2430" t="s">
        <v>2146</v>
      </c>
      <c r="F19" s="2431" t="s">
        <v>2145</v>
      </c>
      <c r="G19" s="145">
        <f ca="1">ROUND(C19*$C$18+D19*$D$18,0)</f>
        <v>453051</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5">
      <c r="A20" s="2433"/>
      <c r="B20" s="1247" t="s">
        <v>2149</v>
      </c>
      <c r="C20" s="146">
        <f ca="1">SUMIF(INDIRECT("'"&amp;C4&amp;"'"&amp;"!A:A"),结果表!B20,INDIRECT("'"&amp;C4&amp;"'"&amp;"!B:B"))</f>
        <v>52092</v>
      </c>
      <c r="D20" s="147">
        <f ca="1">SUMIF(INDIRECT("'"&amp;D4&amp;"'"&amp;"!A:A"),结果表!B20,INDIRECT("'"&amp;D4&amp;"'"&amp;"!B:B"))</f>
        <v>52092</v>
      </c>
      <c r="E20" s="2433"/>
      <c r="F20" s="1247" t="s">
        <v>2149</v>
      </c>
      <c r="G20" s="148">
        <f ca="1">ROUND(C20*$C$18+D20*$D$18,0)</f>
        <v>52092</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8" t="s">
        <v>3106</v>
      </c>
      <c r="K22" s="2969" t="s">
        <v>3107</v>
      </c>
      <c r="L22" s="2970"/>
      <c r="M22" s="2971"/>
    </row>
    <row r="23" spans="1:35" ht="13.5" thickBot="1">
      <c r="A23" s="2414"/>
      <c r="B23" s="2414"/>
      <c r="C23" s="2414"/>
      <c r="D23" s="2414"/>
      <c r="E23" s="138"/>
      <c r="F23" s="138"/>
      <c r="G23" s="138"/>
      <c r="H23" s="138"/>
      <c r="I23" s="138"/>
      <c r="J23" s="2968" t="s">
        <v>3108</v>
      </c>
      <c r="K23" s="3161">
        <v>30000</v>
      </c>
      <c r="L23" s="3162"/>
      <c r="M23" s="2971" t="s">
        <v>3109</v>
      </c>
    </row>
    <row r="24" spans="1:35" ht="14.25">
      <c r="A24" s="3086" t="s">
        <v>2153</v>
      </c>
      <c r="B24" s="2431" t="s">
        <v>2145</v>
      </c>
      <c r="C24" s="145">
        <f>IF(B30=0,0,D30)</f>
        <v>0</v>
      </c>
      <c r="D24" s="2438"/>
      <c r="E24" s="138"/>
      <c r="F24" s="138"/>
      <c r="G24" s="138"/>
      <c r="H24" s="138"/>
      <c r="I24" s="138"/>
      <c r="J24" s="2968" t="s">
        <v>3110</v>
      </c>
      <c r="K24" s="2972">
        <v>2020</v>
      </c>
      <c r="L24" s="2972">
        <v>1</v>
      </c>
      <c r="M24" s="2972">
        <v>17</v>
      </c>
    </row>
    <row r="25" spans="1:35" ht="14.25">
      <c r="A25" s="3087"/>
      <c r="B25" s="1247" t="s">
        <v>2149</v>
      </c>
      <c r="C25" s="150">
        <f>IF(B30=0,0,C30)</f>
        <v>0</v>
      </c>
      <c r="D25" s="2439"/>
      <c r="E25" s="138"/>
      <c r="F25" s="138"/>
      <c r="G25" s="138"/>
      <c r="H25" s="138"/>
      <c r="I25" s="138"/>
      <c r="J25" s="2973" t="s">
        <v>3111</v>
      </c>
      <c r="K25" s="2974">
        <f>'比较法-住宅'!C49</f>
        <v>52092</v>
      </c>
      <c r="L25" s="2975"/>
      <c r="M25" s="2976" t="s">
        <v>3109</v>
      </c>
    </row>
    <row r="26" spans="1:35" ht="19.5" customHeight="1">
      <c r="A26" s="2440" t="s">
        <v>2154</v>
      </c>
      <c r="B26" s="151" t="s">
        <v>2155</v>
      </c>
      <c r="C26" s="151" t="s">
        <v>2156</v>
      </c>
      <c r="D26" s="152" t="s">
        <v>2157</v>
      </c>
      <c r="E26" s="138"/>
      <c r="F26" s="138"/>
      <c r="G26" s="138"/>
      <c r="H26" s="138"/>
      <c r="I26" s="138"/>
      <c r="J26" s="2968" t="s">
        <v>3112</v>
      </c>
      <c r="K26" s="3163">
        <f>ROUND(K23/K25,4)</f>
        <v>0.57589999999999997</v>
      </c>
      <c r="L26" s="3164"/>
      <c r="M26" s="3165"/>
    </row>
    <row r="27" spans="1:35" ht="19.5" customHeight="1">
      <c r="A27" s="2440"/>
      <c r="B27" s="151">
        <v>0</v>
      </c>
      <c r="C27" s="151">
        <v>0</v>
      </c>
      <c r="D27" s="152">
        <f>ROUND(C27*B27/10000,0)</f>
        <v>0</v>
      </c>
      <c r="E27" s="138"/>
      <c r="F27" s="138"/>
      <c r="G27" s="138"/>
      <c r="H27" s="138"/>
      <c r="I27" s="138"/>
      <c r="J27" s="2968" t="s">
        <v>3112</v>
      </c>
      <c r="K27" s="3163"/>
      <c r="L27" s="3164"/>
      <c r="M27" s="3165"/>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1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453051</v>
      </c>
      <c r="D32" s="2445" t="s">
        <v>2160</v>
      </c>
      <c r="E32" s="138"/>
      <c r="F32" s="138"/>
      <c r="G32" s="138"/>
      <c r="H32" s="138"/>
      <c r="I32" s="138"/>
    </row>
    <row r="33" spans="1:15" ht="15">
      <c r="A33" s="957"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7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04" t="s">
        <v>2167</v>
      </c>
      <c r="B36" s="2457" t="s">
        <v>2168</v>
      </c>
      <c r="C36" s="154"/>
      <c r="D36" s="2458"/>
      <c r="E36" s="2459"/>
      <c r="F36" s="2460"/>
      <c r="G36" s="138"/>
      <c r="H36" s="138"/>
      <c r="I36" s="138"/>
    </row>
    <row r="37" spans="1:15" ht="15.75" thickBot="1">
      <c r="A37" s="3105"/>
      <c r="B37" s="2265" t="s">
        <v>2169</v>
      </c>
      <c r="C37" s="156"/>
      <c r="D37" s="1392"/>
      <c r="E37" s="1392"/>
      <c r="F37" s="2460"/>
      <c r="G37" s="138"/>
      <c r="H37" s="138"/>
      <c r="I37" s="138"/>
    </row>
    <row r="38" spans="1:15" ht="15.75" thickBot="1">
      <c r="A38" s="3106"/>
      <c r="B38" s="2461" t="s">
        <v>2170</v>
      </c>
      <c r="C38" s="727"/>
      <c r="D38" s="2462" t="s">
        <v>2171</v>
      </c>
      <c r="E38" s="1392"/>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83" t="s">
        <v>2181</v>
      </c>
      <c r="B45" s="3084"/>
      <c r="C45" s="3085"/>
      <c r="D45" s="164">
        <f ca="1">ROUND(H101*F45,0)</f>
        <v>453051</v>
      </c>
      <c r="E45" s="165" t="s">
        <v>2182</v>
      </c>
      <c r="F45" s="166">
        <v>1</v>
      </c>
      <c r="G45" s="167" t="s">
        <v>2183</v>
      </c>
      <c r="H45" s="138"/>
      <c r="I45" s="138"/>
      <c r="J45" s="3143" t="s">
        <v>2184</v>
      </c>
      <c r="K45" s="3143"/>
      <c r="L45" s="3143"/>
      <c r="M45" s="3143"/>
      <c r="N45" s="3143"/>
      <c r="O45" s="3143"/>
    </row>
    <row r="46" spans="1:15" ht="14.25" customHeight="1">
      <c r="A46" s="3080" t="s">
        <v>2185</v>
      </c>
      <c r="B46" s="3081"/>
      <c r="C46" s="3081"/>
      <c r="D46" s="3081"/>
      <c r="E46" s="3081"/>
      <c r="F46" s="3081"/>
      <c r="G46" s="3082"/>
      <c r="H46" s="2476"/>
      <c r="I46" s="168"/>
      <c r="J46" s="1809">
        <v>1</v>
      </c>
      <c r="K46" s="3143" t="s">
        <v>2186</v>
      </c>
      <c r="L46" s="3143"/>
      <c r="M46" s="3168"/>
      <c r="N46" s="3168"/>
      <c r="O46" s="3168"/>
    </row>
    <row r="47" spans="1:15" ht="12" customHeight="1">
      <c r="A47" s="169" t="s">
        <v>2187</v>
      </c>
      <c r="B47" s="170"/>
      <c r="C47" s="171"/>
      <c r="D47" s="172" t="s">
        <v>2188</v>
      </c>
      <c r="E47" s="24" t="s">
        <v>2189</v>
      </c>
      <c r="F47" s="173" t="s">
        <v>2190</v>
      </c>
      <c r="G47" s="174" t="s">
        <v>2191</v>
      </c>
      <c r="H47" s="2476"/>
      <c r="I47" s="168"/>
      <c r="J47" s="1809">
        <v>2</v>
      </c>
      <c r="K47" s="3143" t="s">
        <v>2192</v>
      </c>
      <c r="L47" s="3143"/>
      <c r="M47" s="3169">
        <f>'数据-取费表'!B2</f>
        <v>43847</v>
      </c>
      <c r="N47" s="3169"/>
      <c r="O47" s="3169"/>
    </row>
    <row r="48" spans="1:15" ht="25.5">
      <c r="A48" s="3111" t="s">
        <v>2193</v>
      </c>
      <c r="B48" s="3094"/>
      <c r="C48" s="3094"/>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43" t="s">
        <v>2196</v>
      </c>
      <c r="L48" s="3143"/>
      <c r="M48" s="3170">
        <f ca="1">H101</f>
        <v>453051</v>
      </c>
      <c r="N48" s="3170"/>
      <c r="O48" s="3170"/>
    </row>
    <row r="49" spans="1:35" ht="25.5" customHeight="1">
      <c r="A49" s="176" t="s">
        <v>2197</v>
      </c>
      <c r="B49" s="3079" t="s">
        <v>2198</v>
      </c>
      <c r="C49" s="3079"/>
      <c r="D49" s="177">
        <v>0</v>
      </c>
      <c r="E49" s="23" t="s">
        <v>2199</v>
      </c>
      <c r="F49" s="28" t="s">
        <v>34</v>
      </c>
      <c r="G49" s="3149"/>
      <c r="H49" s="138"/>
      <c r="I49" s="2479"/>
      <c r="J49" s="1809">
        <v>4</v>
      </c>
      <c r="K49" s="3143" t="str">
        <f>IF(项目基本情况!E8="房地产抵押价值","房地产抵押价值","抵押担保权已注销时的房地产抵押价值")</f>
        <v>抵押担保权已注销时的房地产抵押价值</v>
      </c>
      <c r="L49" s="3143"/>
      <c r="M49" s="3170" t="str">
        <f>IF(项目基本情况!E8="房地产抵押价值",H107,H109)</f>
        <v>——</v>
      </c>
      <c r="N49" s="3170"/>
      <c r="O49" s="3170"/>
    </row>
    <row r="50" spans="1:35" ht="25.5" customHeight="1">
      <c r="A50" s="178"/>
      <c r="B50" s="3079" t="s">
        <v>2200</v>
      </c>
      <c r="C50" s="3079"/>
      <c r="D50" s="179"/>
      <c r="E50" s="31"/>
      <c r="F50" s="180"/>
      <c r="G50" s="3150"/>
      <c r="H50" s="138"/>
      <c r="I50" s="2479"/>
      <c r="J50" s="3143" t="s">
        <v>2201</v>
      </c>
      <c r="K50" s="3143"/>
      <c r="L50" s="3143"/>
      <c r="M50" s="3143"/>
      <c r="N50" s="3143"/>
      <c r="O50" s="3143"/>
    </row>
    <row r="51" spans="1:35" ht="12" customHeight="1">
      <c r="A51" s="181"/>
      <c r="B51" s="3079" t="s">
        <v>2202</v>
      </c>
      <c r="C51" s="3079"/>
      <c r="D51" s="182"/>
      <c r="E51" s="30"/>
      <c r="F51" s="180"/>
      <c r="G51" s="3151"/>
      <c r="H51" s="138"/>
      <c r="I51" s="2479"/>
      <c r="J51" s="2480" t="s">
        <v>2203</v>
      </c>
      <c r="K51" s="3143" t="s">
        <v>2204</v>
      </c>
      <c r="L51" s="3143"/>
      <c r="M51" s="2480" t="s">
        <v>2205</v>
      </c>
      <c r="N51" s="2480" t="s">
        <v>2206</v>
      </c>
      <c r="O51" s="2480" t="s">
        <v>2207</v>
      </c>
    </row>
    <row r="52" spans="1:35" ht="24" customHeight="1">
      <c r="A52" s="183" t="s">
        <v>2208</v>
      </c>
      <c r="B52" s="3079" t="s">
        <v>2209</v>
      </c>
      <c r="C52" s="3079"/>
      <c r="D52" s="182">
        <f ca="1">ROUND(D45*'数据-取费表'!B41/(1+'数据-取费表'!C42),0)</f>
        <v>0</v>
      </c>
      <c r="E52" s="11" t="s">
        <v>2210</v>
      </c>
      <c r="F52" s="184">
        <f>'数据-取费表'!B41</f>
        <v>0</v>
      </c>
      <c r="G52" s="2481"/>
      <c r="H52" s="138"/>
      <c r="I52" s="2479"/>
      <c r="J52" s="1809">
        <v>1</v>
      </c>
      <c r="K52" s="3144" t="s">
        <v>2211</v>
      </c>
      <c r="L52" s="3144"/>
      <c r="M52" s="1751">
        <f>D48</f>
        <v>0</v>
      </c>
      <c r="N52" s="1809" t="str">
        <f>E48</f>
        <v>销售额×税（费）率</v>
      </c>
      <c r="O52" s="1752" t="str">
        <f>F48</f>
        <v>免征</v>
      </c>
    </row>
    <row r="53" spans="1:35" ht="12" customHeight="1">
      <c r="A53" s="183" t="s">
        <v>2212</v>
      </c>
      <c r="B53" s="3102" t="s">
        <v>2213</v>
      </c>
      <c r="C53" s="3103"/>
      <c r="D53" s="182">
        <f ca="1">ROUND(D45*'数据-取费表'!B41/(1+'数据-取费表'!C42),0)</f>
        <v>0</v>
      </c>
      <c r="E53" s="11" t="s">
        <v>2210</v>
      </c>
      <c r="F53" s="184">
        <f>'数据-取费表'!B41</f>
        <v>0</v>
      </c>
      <c r="G53" s="2481"/>
      <c r="H53" s="138"/>
      <c r="I53" s="2479"/>
      <c r="J53" s="1809">
        <v>2</v>
      </c>
      <c r="K53" s="3144" t="s">
        <v>2214</v>
      </c>
      <c r="L53" s="3144"/>
      <c r="M53" s="1751">
        <f t="shared" ref="M53:O54" ca="1" si="0">D55</f>
        <v>0</v>
      </c>
      <c r="N53" s="1809" t="str">
        <f t="shared" si="0"/>
        <v>销售额×税（费）率</v>
      </c>
      <c r="O53" s="1752">
        <f t="shared" si="0"/>
        <v>0</v>
      </c>
    </row>
    <row r="54" spans="1:35" ht="12" customHeight="1">
      <c r="A54" s="183" t="s">
        <v>2215</v>
      </c>
      <c r="B54" s="3102" t="s">
        <v>2216</v>
      </c>
      <c r="C54" s="3103"/>
      <c r="D54" s="182">
        <f ca="1">C68</f>
        <v>0</v>
      </c>
      <c r="E54" s="30" t="s">
        <v>2217</v>
      </c>
      <c r="F54" s="184">
        <f>'数据-取费表'!B41</f>
        <v>0</v>
      </c>
      <c r="G54" s="2481"/>
      <c r="H54" s="2482"/>
      <c r="I54" s="2479"/>
      <c r="J54" s="1809">
        <v>3</v>
      </c>
      <c r="K54" s="3144" t="s">
        <v>2218</v>
      </c>
      <c r="L54" s="3144"/>
      <c r="M54" s="1751" t="e">
        <f t="shared" ca="1" si="0"/>
        <v>#DIV/0!</v>
      </c>
      <c r="N54" s="1809" t="str">
        <f t="shared" si="0"/>
        <v>增值额×税（费）率</v>
      </c>
      <c r="O54" s="1753" t="str">
        <f t="shared" si="0"/>
        <v>——</v>
      </c>
    </row>
    <row r="55" spans="1:35" ht="24" customHeight="1">
      <c r="A55" s="3093" t="s">
        <v>2219</v>
      </c>
      <c r="B55" s="3094"/>
      <c r="C55" s="3094"/>
      <c r="D55" s="185">
        <f ca="1">IF(H55="个人住宅",0,ROUND(D45*I55,0))</f>
        <v>0</v>
      </c>
      <c r="E55" s="11" t="s">
        <v>2220</v>
      </c>
      <c r="F55" s="184">
        <f>IF(H55="正常",I55,"免征")</f>
        <v>0</v>
      </c>
      <c r="G55" s="2481"/>
      <c r="H55" s="2478" t="s">
        <v>2221</v>
      </c>
      <c r="I55" s="186">
        <f>'数据-取费表'!B49</f>
        <v>0</v>
      </c>
      <c r="J55" s="1809" t="str">
        <f>IF(H59="非个人房产","",4)</f>
        <v/>
      </c>
      <c r="K55" s="3144" t="str">
        <f>IF(H59="非个人房产","——","个人所得税")</f>
        <v>——</v>
      </c>
      <c r="L55" s="3144"/>
      <c r="M55" s="1754" t="str">
        <f>D59</f>
        <v>——</v>
      </c>
      <c r="N55" s="1807" t="str">
        <f>E59</f>
        <v>——</v>
      </c>
      <c r="O55" s="1755" t="str">
        <f>F59</f>
        <v>——</v>
      </c>
    </row>
    <row r="56" spans="1:35" ht="24.75">
      <c r="A56" s="3093" t="s">
        <v>2222</v>
      </c>
      <c r="B56" s="3094"/>
      <c r="C56" s="3094"/>
      <c r="D56" s="185" t="e">
        <f ca="1">IF(H56="个人住宅",D57,D58)</f>
        <v>#DIV/0!</v>
      </c>
      <c r="E56" s="11" t="s">
        <v>2223</v>
      </c>
      <c r="F56" s="184" t="str">
        <f>IF(H56="正常",F58,"免征")</f>
        <v>——</v>
      </c>
      <c r="G56" s="2483" t="s">
        <v>2224</v>
      </c>
      <c r="H56" s="2484" t="s">
        <v>2221</v>
      </c>
      <c r="I56" s="2485"/>
      <c r="J56" s="1809" t="str">
        <f>IF(项目基本情况!K6="上海银行",IF(J55="",4,J55+1),"")</f>
        <v/>
      </c>
      <c r="K56" s="3172" t="str">
        <f>IF(项目基本情况!K6="上海银行","其他处置费用","")</f>
        <v/>
      </c>
      <c r="L56" s="3173"/>
      <c r="M56" s="1751" t="str">
        <f>IF(项目基本情况!K6="上海银行",M69,"")</f>
        <v/>
      </c>
      <c r="N56" s="3175" t="str">
        <f>IF(项目基本情况!K6="上海银行","包含处置中涉及的律师、诉讼、拍卖、评估等费用","")</f>
        <v/>
      </c>
      <c r="O56" s="3176"/>
    </row>
    <row r="57" spans="1:35" ht="12.75">
      <c r="A57" s="183" t="s">
        <v>2197</v>
      </c>
      <c r="B57" s="3109" t="s">
        <v>2225</v>
      </c>
      <c r="C57" s="3118"/>
      <c r="D57" s="187">
        <v>0</v>
      </c>
      <c r="E57" s="23" t="s">
        <v>2199</v>
      </c>
      <c r="F57" s="155"/>
      <c r="G57" s="2481"/>
      <c r="H57" s="2485"/>
      <c r="I57" s="2485"/>
      <c r="J57" s="3144">
        <f>IF(AND(J55="",J56=""),4,IF(项目基本情况!K6="上海银行",结果表!J56+1,结果表!J55+1))</f>
        <v>4</v>
      </c>
      <c r="K57" s="3144" t="s">
        <v>2226</v>
      </c>
      <c r="L57" s="2486" t="s">
        <v>2227</v>
      </c>
      <c r="M57" s="1756"/>
      <c r="N57" s="1757">
        <f ca="1">SUMIF(M52:M56,"&lt;9e307")</f>
        <v>0</v>
      </c>
      <c r="O57" s="2487"/>
      <c r="P57" s="1750" t="e">
        <f ca="1">N57/M49</f>
        <v>#VALUE!</v>
      </c>
    </row>
    <row r="58" spans="1:35" ht="24.75">
      <c r="A58" s="183" t="s">
        <v>2208</v>
      </c>
      <c r="B58" s="3109" t="s">
        <v>2228</v>
      </c>
      <c r="C58" s="3110"/>
      <c r="D58" s="185" t="e">
        <f ca="1">IF(H58="转让取得",C81,C97)</f>
        <v>#DIV/0!</v>
      </c>
      <c r="E58" s="11" t="s">
        <v>2223</v>
      </c>
      <c r="F58" s="24" t="s">
        <v>34</v>
      </c>
      <c r="G58" s="2481"/>
      <c r="H58" s="2484" t="s">
        <v>2229</v>
      </c>
      <c r="I58" s="2485"/>
      <c r="J58" s="3144"/>
      <c r="K58" s="3144"/>
      <c r="L58" s="2486" t="s">
        <v>2230</v>
      </c>
      <c r="M58" s="1758"/>
      <c r="N58" s="2488" t="str">
        <f ca="1">NUMBERSTRING(INT(N57*10000),2)&amp;"元整"</f>
        <v>零元整</v>
      </c>
      <c r="O58" s="2489"/>
    </row>
    <row r="59" spans="1:35" ht="24.75" thickBot="1">
      <c r="A59" s="3147" t="s">
        <v>2231</v>
      </c>
      <c r="B59" s="3148"/>
      <c r="C59" s="3148"/>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45">
        <f>J57+1</f>
        <v>5</v>
      </c>
      <c r="K59" s="3144" t="s">
        <v>2233</v>
      </c>
      <c r="L59" s="1809" t="s">
        <v>2227</v>
      </c>
      <c r="M59" s="1759"/>
      <c r="N59" s="1760" t="e">
        <f ca="1">M49-N57</f>
        <v>#VALUE!</v>
      </c>
      <c r="O59" s="2491"/>
    </row>
    <row r="60" spans="1:35" ht="12" customHeight="1">
      <c r="A60" s="2492"/>
      <c r="B60" s="2414"/>
      <c r="C60" s="2414"/>
      <c r="D60" s="2414"/>
      <c r="E60" s="2164"/>
      <c r="F60" s="2485"/>
      <c r="G60" s="2485"/>
      <c r="H60" s="2493"/>
      <c r="I60" s="138"/>
      <c r="J60" s="3146"/>
      <c r="K60" s="3144"/>
      <c r="L60" s="2486" t="s">
        <v>2230</v>
      </c>
      <c r="M60" s="1758"/>
      <c r="N60" s="2488" t="e">
        <f ca="1">NUMBERSTRING(INT(N59*10000),2)&amp;"元整"</f>
        <v>#VALUE!</v>
      </c>
      <c r="O60" s="2489"/>
    </row>
    <row r="61" spans="1:35" ht="13.5" thickBot="1">
      <c r="A61" s="3091" t="s">
        <v>2234</v>
      </c>
      <c r="B61" s="3091"/>
      <c r="C61" s="3091"/>
      <c r="D61" s="3091"/>
      <c r="E61" s="3091"/>
      <c r="F61" s="2485"/>
      <c r="G61" s="2485"/>
      <c r="H61" s="2493"/>
      <c r="I61" s="138"/>
      <c r="J61" s="1809">
        <f>J59+1</f>
        <v>6</v>
      </c>
      <c r="K61" s="3144" t="s">
        <v>2235</v>
      </c>
      <c r="L61" s="3144"/>
      <c r="M61" s="1761"/>
      <c r="N61" s="1762" t="e">
        <f ca="1">ROUND(N59*10000/'数据-汇总表'!E3,0)</f>
        <v>#VALUE!</v>
      </c>
      <c r="O61" s="2494"/>
    </row>
    <row r="62" spans="1:35" ht="12.75">
      <c r="A62" s="3107" t="s">
        <v>2236</v>
      </c>
      <c r="B62" s="3108"/>
      <c r="C62" s="1801"/>
      <c r="D62" s="1801" t="s">
        <v>2237</v>
      </c>
      <c r="E62" s="192" t="s">
        <v>2238</v>
      </c>
      <c r="F62" s="2485"/>
      <c r="G62" s="2485"/>
      <c r="H62" s="2493"/>
      <c r="I62" s="138"/>
    </row>
    <row r="63" spans="1:35" ht="12.75">
      <c r="A63" s="203" t="s">
        <v>775</v>
      </c>
      <c r="B63" s="193" t="s">
        <v>2239</v>
      </c>
      <c r="C63" s="194">
        <f ca="1">ROUND((C64+C65)/(1+'数据-取费表'!C42),0)</f>
        <v>453051</v>
      </c>
      <c r="D63" s="195"/>
      <c r="E63" s="196"/>
      <c r="F63" s="2485"/>
      <c r="G63" s="2485"/>
      <c r="H63" s="2493"/>
      <c r="I63" s="138"/>
      <c r="J63" s="3174"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453051</v>
      </c>
      <c r="D64" s="200" t="s">
        <v>32</v>
      </c>
      <c r="E64" s="201"/>
      <c r="F64" s="2485"/>
      <c r="G64" s="2485"/>
      <c r="H64" s="2493"/>
      <c r="I64" s="138"/>
      <c r="J64" s="3174"/>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19"/>
      <c r="AI64" s="2420"/>
    </row>
    <row r="65" spans="1:35" ht="14.25" customHeight="1">
      <c r="A65" s="197" t="s">
        <v>771</v>
      </c>
      <c r="B65" s="198" t="s">
        <v>2245</v>
      </c>
      <c r="C65" s="202"/>
      <c r="D65" s="200"/>
      <c r="E65" s="201"/>
      <c r="F65" s="2485"/>
      <c r="G65" s="2485"/>
      <c r="H65" s="2493"/>
      <c r="I65" s="138"/>
      <c r="J65" s="3174"/>
      <c r="K65" s="2495" t="s">
        <v>2246</v>
      </c>
      <c r="L65" s="1749" t="e">
        <f>IF(M49&gt;1000,M49*0.1%,IF(AND(M49&gt;500,M49&lt;=1000),M49*0.5%,IF(AND(M49&gt;50,M49&lt;=500),M49*1%,IF(AND(M49&gt;1,M49&lt;=50),M49*1.5%))))</f>
        <v>#VALUE!</v>
      </c>
      <c r="M65" s="24" t="e">
        <f t="shared" si="1"/>
        <v>#VALUE!</v>
      </c>
      <c r="N65" s="138" t="s">
        <v>2244</v>
      </c>
      <c r="Z65" s="2419"/>
      <c r="AI65" s="2420"/>
    </row>
    <row r="66" spans="1:35" ht="14.25" customHeight="1">
      <c r="A66" s="203" t="s">
        <v>772</v>
      </c>
      <c r="B66" s="204" t="s">
        <v>2247</v>
      </c>
      <c r="C66" s="205"/>
      <c r="D66" s="206" t="s">
        <v>32</v>
      </c>
      <c r="E66" s="1773" t="s">
        <v>1366</v>
      </c>
      <c r="F66" s="2485"/>
      <c r="G66" s="2485"/>
      <c r="H66" s="2493"/>
      <c r="I66" s="138"/>
      <c r="J66" s="3174"/>
      <c r="K66" s="2495" t="s">
        <v>2248</v>
      </c>
      <c r="L66" s="1749" t="e">
        <f>M49*0.5%</f>
        <v>#VALUE!</v>
      </c>
      <c r="M66" s="24" t="e">
        <f>IF(L66&gt;0.5,0.5,ROUND(L66,0))</f>
        <v>#VALUE!</v>
      </c>
      <c r="N66" s="138" t="s">
        <v>2249</v>
      </c>
      <c r="Z66" s="2419"/>
      <c r="AI66" s="2420"/>
    </row>
    <row r="67" spans="1:35" ht="14.25" customHeight="1">
      <c r="A67" s="203" t="s">
        <v>773</v>
      </c>
      <c r="B67" s="204" t="s">
        <v>2250</v>
      </c>
      <c r="C67" s="207">
        <f ca="1">C63-C66</f>
        <v>453051</v>
      </c>
      <c r="D67" s="200" t="s">
        <v>32</v>
      </c>
      <c r="E67" s="201"/>
      <c r="F67" s="2485"/>
      <c r="G67" s="2485"/>
      <c r="H67" s="2493"/>
      <c r="I67" s="138"/>
      <c r="J67" s="3174"/>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174"/>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174"/>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8" t="s">
        <v>2255</v>
      </c>
      <c r="B70" s="3129"/>
      <c r="C70" s="3129"/>
      <c r="D70" s="3129"/>
      <c r="E70" s="3129"/>
      <c r="F70" s="3129"/>
      <c r="G70" s="3129"/>
      <c r="H70" s="312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7" t="s">
        <v>2236</v>
      </c>
      <c r="B71" s="3108"/>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453051</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02" t="s">
        <v>2264</v>
      </c>
      <c r="F76" s="3079"/>
      <c r="G76" s="3079"/>
      <c r="H76" s="312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088" t="s">
        <v>2269</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453051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8" t="s">
        <v>2273</v>
      </c>
      <c r="B83" s="3129"/>
      <c r="C83" s="3129"/>
      <c r="D83" s="3129"/>
      <c r="E83" s="3129"/>
      <c r="F83" s="3129"/>
      <c r="G83" s="3129"/>
      <c r="H83" s="312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7" t="s">
        <v>2236</v>
      </c>
      <c r="B84" s="3108"/>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453051</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88" t="s">
        <v>2282</v>
      </c>
      <c r="F91" s="3089"/>
      <c r="G91" s="3089"/>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88" t="s">
        <v>2286</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088" t="s">
        <v>2269</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99" t="s">
        <v>2290</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453051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73" t="s">
        <v>2292</v>
      </c>
      <c r="B100" s="3074"/>
      <c r="C100" s="3074"/>
      <c r="D100" s="3090"/>
      <c r="E100" s="3074" t="s">
        <v>2293</v>
      </c>
      <c r="F100" s="3074"/>
      <c r="G100" s="3074"/>
      <c r="H100" s="3090"/>
      <c r="I100" s="138"/>
    </row>
    <row r="101" spans="1:35" ht="18.75" customHeight="1">
      <c r="A101" s="3152" t="s">
        <v>2294</v>
      </c>
      <c r="B101" s="3153"/>
      <c r="C101" s="736" t="str">
        <f>C4</f>
        <v>比较法-住宅</v>
      </c>
      <c r="D101" s="737" t="str">
        <f>D4</f>
        <v>比较法-住宅</v>
      </c>
      <c r="E101" s="3171" t="s">
        <v>2295</v>
      </c>
      <c r="F101" s="3120"/>
      <c r="G101" s="2516" t="s">
        <v>2296</v>
      </c>
      <c r="H101" s="1045">
        <f ca="1">H118</f>
        <v>453051</v>
      </c>
      <c r="I101" s="138"/>
    </row>
    <row r="102" spans="1:35" ht="18.75" customHeight="1">
      <c r="A102" s="3122" t="s">
        <v>2297</v>
      </c>
      <c r="B102" s="2516" t="s">
        <v>2296</v>
      </c>
      <c r="C102" s="736">
        <f ca="1">C19</f>
        <v>453051</v>
      </c>
      <c r="D102" s="737">
        <f ca="1">D19</f>
        <v>453051</v>
      </c>
      <c r="E102" s="3171"/>
      <c r="F102" s="3120"/>
      <c r="G102" s="2516" t="s">
        <v>2298</v>
      </c>
      <c r="H102" s="371" t="e">
        <f ca="1">I118</f>
        <v>#DIV/0!</v>
      </c>
      <c r="I102" s="138"/>
    </row>
    <row r="103" spans="1:35" ht="42.75" customHeight="1">
      <c r="A103" s="3122"/>
      <c r="B103" s="2516" t="s">
        <v>2298</v>
      </c>
      <c r="C103" s="738">
        <f ca="1">C20</f>
        <v>52092</v>
      </c>
      <c r="D103" s="739">
        <f ca="1">D20</f>
        <v>52092</v>
      </c>
      <c r="E103" s="3166" t="s">
        <v>2299</v>
      </c>
      <c r="F103" s="3167"/>
      <c r="G103" s="2517" t="s">
        <v>2300</v>
      </c>
      <c r="H103" s="1045">
        <f>IF(D36="正常操作",H104+H105+H106,H105+H106)</f>
        <v>0</v>
      </c>
      <c r="I103" s="138"/>
    </row>
    <row r="104" spans="1:35" ht="18.75" customHeight="1">
      <c r="A104" s="3122" t="s">
        <v>2301</v>
      </c>
      <c r="B104" s="2518" t="s">
        <v>2296</v>
      </c>
      <c r="C104" s="740">
        <f ca="1">H118</f>
        <v>453051</v>
      </c>
      <c r="D104" s="741"/>
      <c r="E104" s="2265" t="s">
        <v>2302</v>
      </c>
      <c r="F104" s="2256"/>
      <c r="G104" s="2517" t="s">
        <v>2300</v>
      </c>
      <c r="H104" s="1046">
        <f>IF(D36="同一抵押权人同一抵押物续贷",C36&amp;"（未扣减，详见特别提示）",C36)</f>
        <v>0</v>
      </c>
      <c r="I104" s="138"/>
    </row>
    <row r="105" spans="1:35" ht="18.75" customHeight="1" thickBot="1">
      <c r="A105" s="3123"/>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19" t="str">
        <f>IF(项目基本情况!E8="已注销","——","3.房地产抵押价值")</f>
        <v>3.房地产抵押价值</v>
      </c>
      <c r="F107" s="3120"/>
      <c r="G107" s="2516" t="s">
        <v>2296</v>
      </c>
      <c r="H107" s="1045">
        <f ca="1">IF(E107="——","——",H101-H103)</f>
        <v>453051</v>
      </c>
      <c r="I107" s="138"/>
    </row>
    <row r="108" spans="1:35" ht="18.75" customHeight="1">
      <c r="A108" s="138"/>
      <c r="B108" s="138"/>
      <c r="C108" s="138"/>
      <c r="D108" s="138"/>
      <c r="E108" s="3119"/>
      <c r="F108" s="3120"/>
      <c r="G108" s="2516" t="s">
        <v>2298</v>
      </c>
      <c r="H108" s="371">
        <f ca="1">ROUND(H107*10000/'数据-汇总表'!E3,0)</f>
        <v>52092</v>
      </c>
      <c r="I108" s="138"/>
    </row>
    <row r="109" spans="1:35" ht="18.75" customHeight="1">
      <c r="A109" s="138"/>
      <c r="B109" s="138"/>
      <c r="C109" s="138"/>
      <c r="D109" s="138"/>
      <c r="E109" s="3119" t="str">
        <f>IF(项目基本情况!E8="已注销及未注销","4.抵押担保权已注销时的房地产抵押价值",IF(项目基本情况!E8="已注销","3.抵押担保权已注销时的房地产抵押价值","——"))</f>
        <v>——</v>
      </c>
      <c r="F109" s="3120"/>
      <c r="G109" s="2516" t="s">
        <v>2296</v>
      </c>
      <c r="H109" s="348" t="str">
        <f>IF(E109="——","——",H101-H105-H106)</f>
        <v>——</v>
      </c>
      <c r="I109" s="138"/>
    </row>
    <row r="110" spans="1:35" ht="18.75" customHeight="1">
      <c r="A110" s="138"/>
      <c r="B110" s="138"/>
      <c r="C110" s="138"/>
      <c r="D110" s="138"/>
      <c r="E110" s="3119"/>
      <c r="F110" s="3120"/>
      <c r="G110" s="2516" t="s">
        <v>2298</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6" t="s">
        <v>2296</v>
      </c>
      <c r="H111" s="1045" t="str">
        <f>IF(E111="——","——",N59)</f>
        <v>——</v>
      </c>
      <c r="I111" s="138"/>
    </row>
    <row r="112" spans="1:35" ht="18.75" customHeight="1" thickBot="1">
      <c r="A112" s="138"/>
      <c r="B112" s="138"/>
      <c r="C112" s="138"/>
      <c r="D112" s="138"/>
      <c r="E112" s="3156"/>
      <c r="F112" s="3157"/>
      <c r="G112" s="2521" t="s">
        <v>2298</v>
      </c>
      <c r="H112" s="790" t="str">
        <f>IF(E111="——","——",N61)</f>
        <v>——</v>
      </c>
      <c r="I112" s="138"/>
    </row>
    <row r="113" spans="1:11" ht="18.75" customHeight="1">
      <c r="A113" s="138"/>
      <c r="B113" s="138"/>
      <c r="C113" s="138"/>
      <c r="D113" s="138"/>
      <c r="E113" s="3124" t="s">
        <v>2304</v>
      </c>
      <c r="F113" s="3124"/>
      <c r="G113" s="3124"/>
      <c r="H113" s="3124"/>
      <c r="I113" s="138"/>
    </row>
    <row r="114" spans="1:11" ht="3.75" customHeight="1">
      <c r="A114" s="2414"/>
      <c r="B114" s="2414"/>
      <c r="C114" s="2414"/>
      <c r="D114" s="2414"/>
      <c r="E114" s="2492"/>
      <c r="F114" s="2492"/>
      <c r="G114" s="2492"/>
      <c r="H114" s="2492"/>
      <c r="I114" s="2414"/>
    </row>
    <row r="115" spans="1:11" ht="18.75" customHeight="1">
      <c r="A115" s="3137" t="s">
        <v>2306</v>
      </c>
      <c r="B115" s="3138"/>
      <c r="C115" s="3138"/>
      <c r="D115" s="3138"/>
      <c r="E115" s="3138"/>
      <c r="F115" s="3138"/>
      <c r="G115" s="3138"/>
      <c r="H115" s="3138"/>
      <c r="I115" s="3139"/>
    </row>
    <row r="116" spans="1:11" ht="27" customHeight="1">
      <c r="A116" s="3030" t="s">
        <v>2307</v>
      </c>
      <c r="B116" s="3125" t="s">
        <v>2308</v>
      </c>
      <c r="C116" s="3125" t="s">
        <v>2309</v>
      </c>
      <c r="D116" s="3141" t="s">
        <v>2310</v>
      </c>
      <c r="E116" s="3142"/>
      <c r="F116" s="3133" t="s">
        <v>2311</v>
      </c>
      <c r="G116" s="3133"/>
      <c r="H116" s="3030" t="s">
        <v>2312</v>
      </c>
      <c r="I116" s="3030"/>
    </row>
    <row r="117" spans="1:11" ht="18.75" customHeight="1">
      <c r="A117" s="3030"/>
      <c r="B117" s="3126"/>
      <c r="C117" s="3126"/>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453051</v>
      </c>
      <c r="I118" s="1795" t="e">
        <f ca="1">ROUND(IF(D32="楼面单价",C32,H118*10000/B118),0)</f>
        <v>#DIV/0!</v>
      </c>
    </row>
    <row r="119" spans="1:11" ht="18.75" customHeight="1">
      <c r="A119" s="3030" t="s">
        <v>2316</v>
      </c>
      <c r="B119" s="3030"/>
      <c r="C119" s="3030"/>
      <c r="D119" s="3130" t="e">
        <f ca="1">NUMBERSTRING(INT(D118*10000),2)&amp;"元整"</f>
        <v>#REF!</v>
      </c>
      <c r="E119" s="3132"/>
      <c r="F119" s="3130" t="e">
        <f ca="1">NUMBERSTRING(INT(F118*10000),2)&amp;"元整"</f>
        <v>#REF!</v>
      </c>
      <c r="G119" s="3132"/>
      <c r="H119" s="3130" t="str">
        <f ca="1">NUMBERSTRING(INT(H118*10000),2)&amp;"元整"</f>
        <v>肆拾伍亿叁仟零伍拾壹万元整</v>
      </c>
      <c r="I119" s="3132"/>
    </row>
    <row r="120" spans="1:11" ht="18.75" customHeight="1">
      <c r="A120" s="3158" t="str">
        <f>IF(项目基本情况!B9="房地产市场价值","",MID(E103,3,LEN(E103)-2))</f>
        <v/>
      </c>
      <c r="B120" s="3159"/>
      <c r="C120" s="3160"/>
      <c r="D120" s="3158">
        <f>H103</f>
        <v>0</v>
      </c>
      <c r="E120" s="3159"/>
      <c r="F120" s="3159"/>
      <c r="G120" s="3159"/>
      <c r="H120" s="3159"/>
      <c r="I120" s="3160"/>
      <c r="K120" s="2419" t="str">
        <f>IF(D120=0,"故，本次评估不存在"&amp;A120,"故，本次评估"&amp;A120&amp;"为人民币"&amp;D120&amp;"万元整。")</f>
        <v>故，本次评估不存在</v>
      </c>
    </row>
    <row r="121" spans="1:11" ht="18.75" customHeight="1">
      <c r="A121" s="3134" t="s">
        <v>2316</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
      </c>
      <c r="B122" s="3121"/>
      <c r="C122" s="3121"/>
      <c r="D122" s="3158">
        <f ca="1">H107</f>
        <v>453051</v>
      </c>
      <c r="E122" s="3159"/>
      <c r="F122" s="3159"/>
      <c r="G122" s="3159"/>
      <c r="H122" s="3159"/>
      <c r="I122" s="3160"/>
    </row>
    <row r="123" spans="1:11" ht="18.75" customHeight="1">
      <c r="A123" s="3030" t="s">
        <v>2316</v>
      </c>
      <c r="B123" s="3030"/>
      <c r="C123" s="3030"/>
      <c r="D123" s="3130" t="str">
        <f ca="1">NUMBERSTRING(INT(D122*10000),2)&amp;"元整"</f>
        <v>肆拾伍亿叁仟零伍拾壹万元整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2316</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2316</v>
      </c>
      <c r="B127" s="3030"/>
      <c r="C127" s="3030"/>
      <c r="D127" s="3130" t="e">
        <f>NUMBERSTRING(INT(D126*10000),2)&amp;"元整"</f>
        <v>#VALUE!</v>
      </c>
      <c r="E127" s="3131"/>
      <c r="F127" s="3131"/>
      <c r="G127" s="3131"/>
      <c r="H127" s="3131"/>
      <c r="I127" s="3132"/>
    </row>
    <row r="128" spans="1:11" ht="21.75" customHeight="1">
      <c r="A128" s="3140" t="s">
        <v>2317</v>
      </c>
      <c r="B128" s="3140"/>
      <c r="C128" s="3140"/>
      <c r="D128" s="3140"/>
      <c r="E128" s="3140"/>
      <c r="F128" s="3140"/>
      <c r="G128" s="3140"/>
      <c r="H128" s="3140"/>
      <c r="I128" s="3140"/>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24">
      <c r="A25" s="951" t="s">
        <v>2372</v>
      </c>
      <c r="B25" s="259" t="s">
        <v>2373</v>
      </c>
      <c r="C25" s="1355" t="e">
        <f ca="1">ROUND(IF('数据-取费表'!B22&lt;=1,C20*F22*'数据-取费表'!B23/2,C20*(POWER((1+F22),'数据-取费表'!B23/2)-1)),0)</f>
        <v>#VALUE!</v>
      </c>
      <c r="D25" s="282"/>
      <c r="E25" s="285"/>
      <c r="F25" s="283"/>
      <c r="G25" s="286" t="s">
        <v>2374</v>
      </c>
    </row>
    <row r="26" spans="1:7" s="258" customFormat="1">
      <c r="A26" s="951" t="s">
        <v>795</v>
      </c>
      <c r="B26" s="259" t="s">
        <v>2375</v>
      </c>
      <c r="C26" s="282" t="e">
        <f ca="1">ROUND(IF('数据-取费表'!B22&lt;=1,F21*F22*'数据-取费表'!B23/2,F21*(POWER((1+F22),'数据-取费表'!B23/2)-1)),4)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77" t="s">
        <v>2408</v>
      </c>
    </row>
    <row r="43" spans="1:7" ht="13.5" customHeight="1">
      <c r="A43" s="951" t="s">
        <v>792</v>
      </c>
      <c r="B43" s="259" t="s">
        <v>2409</v>
      </c>
      <c r="C43" s="282" t="e">
        <f ca="1">ROUND(IF('数据-取费表'!B22&lt;=1,C39*F22*'数据-取费表'!B21/2,C39*(POWER((1+F22),'数据-取费表'!B21/2)-1)),0)</f>
        <v>#VALUE!</v>
      </c>
      <c r="D43" s="282"/>
      <c r="E43" s="282"/>
      <c r="F43" s="283"/>
      <c r="G43" s="3178"/>
    </row>
    <row r="44" spans="1:7" ht="13.5" customHeight="1">
      <c r="A44" s="951" t="s">
        <v>793</v>
      </c>
      <c r="B44" s="259" t="s">
        <v>2410</v>
      </c>
      <c r="C44" s="282" t="e">
        <f ca="1">ROUND(IF('数据-取费表'!B22&lt;=1,C40*F22*'数据-取费表'!B21/2,C40*(POWER((1+F22),'数据-取费表'!B21/2)-1)),4)</f>
        <v>#VALUE!</v>
      </c>
      <c r="D44" s="282"/>
      <c r="E44" s="282"/>
      <c r="F44" s="283"/>
      <c r="G44" s="3179"/>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24">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5" sqref="C15"/>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6" t="str">
        <f>项目基本情况!B1</f>
        <v>北京市北京经济技术开发区河西区X90R1、X90S1地块出让国有建设用地使用权及在建建筑物房地产市场价值预评估</v>
      </c>
      <c r="C37" s="2986"/>
      <c r="D37" s="2986"/>
      <c r="E37" s="2986"/>
      <c r="F37" s="2986"/>
      <c r="G37" s="2986"/>
      <c r="H37" s="2986"/>
      <c r="I37" s="2986"/>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24">
      <c r="A25" s="951" t="s">
        <v>2340</v>
      </c>
      <c r="B25" s="259" t="s">
        <v>2451</v>
      </c>
      <c r="C25" s="1381" t="e">
        <f ca="1">ROUND(IF('数据-取费表'!B22&lt;=1,C20*F22*'数据-取费表'!B22/2,C20*(POWER((1+F22),'数据-取费表'!B22/2)-1)),0)</f>
        <v>#VALUE!</v>
      </c>
      <c r="D25" s="282"/>
      <c r="E25" s="285"/>
      <c r="F25" s="283"/>
      <c r="G25" s="286" t="s">
        <v>2452</v>
      </c>
    </row>
    <row r="26" spans="1:7" s="258" customFormat="1">
      <c r="A26" s="951" t="s">
        <v>795</v>
      </c>
      <c r="B26" s="259" t="s">
        <v>2375</v>
      </c>
      <c r="C26" s="282" t="e">
        <f ca="1">ROUND(IF('数据-取费表'!B22&lt;=1,F21*F22*'数据-取费表'!B22/2,F21*(POWER((1+F22),'数据-取费表'!B22/2)-1)),4)</f>
        <v>#VALUE!</v>
      </c>
      <c r="D26" s="282"/>
      <c r="E26" s="285"/>
      <c r="F26" s="283"/>
      <c r="G26" s="287"/>
    </row>
    <row r="27" spans="1:7" s="258" customFormat="1" ht="24.75">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77" t="s">
        <v>2455</v>
      </c>
    </row>
    <row r="43" spans="1:7" ht="13.5" customHeight="1">
      <c r="A43" s="951" t="s">
        <v>792</v>
      </c>
      <c r="B43" s="259" t="s">
        <v>2409</v>
      </c>
      <c r="C43" s="282" t="e">
        <f ca="1">ROUND(IF('数据-取费表'!B22&lt;=1,C39*F22*'数据-取费表'!B20/2,C39*(POWER((1+F22),'数据-取费表'!B20/2)-1)),0)</f>
        <v>#VALUE!</v>
      </c>
      <c r="D43" s="282"/>
      <c r="E43" s="282"/>
      <c r="F43" s="283"/>
      <c r="G43" s="3178"/>
    </row>
    <row r="44" spans="1:7" ht="13.5" customHeight="1">
      <c r="A44" s="951" t="s">
        <v>793</v>
      </c>
      <c r="B44" s="259" t="s">
        <v>2410</v>
      </c>
      <c r="C44" s="282" t="e">
        <f ca="1">ROUND(IF('数据-取费表'!B22&lt;=1,C40*F22*'数据-取费表'!B20/2,C40*(POWER((1+F22),'数据-取费表'!B20/2)-1)),4)</f>
        <v>#VALUE!</v>
      </c>
      <c r="D44" s="282"/>
      <c r="E44" s="282"/>
      <c r="F44" s="283"/>
      <c r="G44" s="3179"/>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6.5" thickBot="1">
      <c r="A52" s="309" t="s">
        <v>2425</v>
      </c>
      <c r="B52" s="310"/>
      <c r="C52" s="311" t="e">
        <f ca="1">C31+C51</f>
        <v>#VALUE!</v>
      </c>
      <c r="D52" s="310"/>
      <c r="E52" s="310"/>
      <c r="F52" s="310"/>
      <c r="G52" s="312"/>
    </row>
    <row r="55" spans="1:7" ht="15">
      <c r="B55" s="314" t="s">
        <v>2426</v>
      </c>
      <c r="C55" s="315"/>
    </row>
    <row r="56" spans="1:7">
      <c r="B56" s="317" t="s">
        <v>1507</v>
      </c>
      <c r="C56" s="319" t="e">
        <f ca="1">1-C57</f>
        <v>#VALUE!</v>
      </c>
    </row>
    <row r="57" spans="1:7">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82" t="s">
        <v>1397</v>
      </c>
      <c r="C6" s="1296">
        <f ca="1">ROUND(F6*F8*F7*(1-F9)/10000,0)</f>
        <v>0</v>
      </c>
      <c r="D6" s="164" t="s">
        <v>3030</v>
      </c>
      <c r="E6" s="347" t="s">
        <v>1399</v>
      </c>
      <c r="F6" s="348">
        <f ca="1">INDIRECT("'数据-取费表'!u"&amp;$G$1)</f>
        <v>0</v>
      </c>
      <c r="G6" s="1851"/>
      <c r="H6" s="1291" t="s">
        <v>1031</v>
      </c>
      <c r="I6" s="3182" t="s">
        <v>1397</v>
      </c>
      <c r="J6" s="346">
        <f ca="1">ROUND(M6*M8*M7*(1-M9)/10000,0)</f>
        <v>0</v>
      </c>
      <c r="K6" s="164" t="s">
        <v>3029</v>
      </c>
      <c r="L6" s="347" t="s">
        <v>1399</v>
      </c>
      <c r="M6" s="348">
        <f ca="1">INDIRECT("'数据-取费表'!z"&amp;$G$1)</f>
        <v>0</v>
      </c>
    </row>
    <row r="7" spans="1:37" ht="18" customHeight="1">
      <c r="A7" s="1295"/>
      <c r="B7" s="3183"/>
      <c r="C7" s="1297"/>
      <c r="D7" s="352"/>
      <c r="E7" s="1298" t="s">
        <v>1400</v>
      </c>
      <c r="F7" s="348">
        <f ca="1">IF(INDIRECT("'数据-取费表'!ah"&amp;$G$1)="",INDIRECT("'数据-取费表'!k"&amp;$G$1),INDIRECT("'数据-取费表'!ah"&amp;$G$1))</f>
        <v>0</v>
      </c>
      <c r="G7" s="1851"/>
      <c r="H7" s="349"/>
      <c r="I7" s="3183"/>
      <c r="J7" s="351"/>
      <c r="K7" s="352"/>
      <c r="L7" s="347" t="s">
        <v>1400</v>
      </c>
      <c r="M7" s="348">
        <f ca="1">F7</f>
        <v>0</v>
      </c>
    </row>
    <row r="8" spans="1:37" ht="18" customHeight="1">
      <c r="A8" s="349"/>
      <c r="B8" s="3183"/>
      <c r="C8" s="351"/>
      <c r="D8" s="352"/>
      <c r="E8" s="347" t="s">
        <v>1401</v>
      </c>
      <c r="F8" s="348">
        <f ca="1">INDIRECT("'数据-取费表'!ai"&amp;$G$1)</f>
        <v>0</v>
      </c>
      <c r="G8" s="1851"/>
      <c r="H8" s="349"/>
      <c r="I8" s="3183"/>
      <c r="J8" s="351"/>
      <c r="K8" s="352"/>
      <c r="L8" s="347" t="s">
        <v>1401</v>
      </c>
      <c r="M8" s="348">
        <f ca="1">INDIRECT("'数据-取费表'!ai"&amp;$G$1)</f>
        <v>0</v>
      </c>
    </row>
    <row r="9" spans="1:37" ht="18" customHeight="1">
      <c r="A9" s="349"/>
      <c r="B9" s="3184"/>
      <c r="C9" s="351"/>
      <c r="D9" s="352"/>
      <c r="E9" s="347" t="s">
        <v>1402</v>
      </c>
      <c r="F9" s="357">
        <f ca="1">INDIRECT("'数据-取费表'!w"&amp;$G$1)</f>
        <v>0</v>
      </c>
      <c r="G9" s="1851"/>
      <c r="H9" s="349"/>
      <c r="I9" s="318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48">
        <f ca="1">IF(M47="住宅",IF(D1="——",MAX(J51,L48),MAX(J51,L48-'数据-取费表'!B24)),IF(D1="——",MIN(J51,L48),MIN(J51,L48-'数据-取费表'!B24)))</f>
        <v>0</v>
      </c>
      <c r="K53" s="3180" t="s">
        <v>1542</v>
      </c>
      <c r="L53" s="3181"/>
      <c r="O53" s="1884" t="s">
        <v>1042</v>
      </c>
      <c r="P53" s="1885" t="s">
        <v>1543</v>
      </c>
      <c r="Q53" s="1886" t="e">
        <f ca="1">Q47+Q48</f>
        <v>#VALUE!</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25.5"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c r="O70" s="1894" t="s">
        <v>1045</v>
      </c>
      <c r="P70" s="1933" t="s">
        <v>1579</v>
      </c>
      <c r="Q70" s="1886" t="e">
        <f ca="1">C13</f>
        <v>#VALUE!</v>
      </c>
      <c r="R70" s="1886" t="s">
        <v>1523</v>
      </c>
    </row>
    <row r="71" spans="1:18" s="1842" customFormat="1" ht="13.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2" t="s">
        <v>1397</v>
      </c>
      <c r="C6" s="1296">
        <f ca="1">ROUND(F6*F8*F7*(1-F9),0)</f>
        <v>0</v>
      </c>
      <c r="D6" s="164" t="s">
        <v>3027</v>
      </c>
      <c r="E6" s="347" t="s">
        <v>1399</v>
      </c>
      <c r="F6" s="348">
        <f ca="1">INDIRECT("'数据-取费表'!u"&amp;$G$1)</f>
        <v>0</v>
      </c>
      <c r="G6" s="1851"/>
      <c r="H6" s="1291" t="s">
        <v>1031</v>
      </c>
      <c r="I6" s="3182" t="s">
        <v>1397</v>
      </c>
      <c r="J6" s="346">
        <f ca="1">ROUND(M6*M8*M7*(1-M9),0)</f>
        <v>0</v>
      </c>
      <c r="K6" s="1834" t="s">
        <v>3028</v>
      </c>
      <c r="L6" s="347" t="s">
        <v>1399</v>
      </c>
      <c r="M6" s="348">
        <f ca="1">INDIRECT("'数据-取费表'!z"&amp;$G$1)</f>
        <v>0</v>
      </c>
    </row>
    <row r="7" spans="1:37" ht="18" customHeight="1">
      <c r="A7" s="1295"/>
      <c r="B7" s="3183"/>
      <c r="C7" s="1297"/>
      <c r="D7" s="352"/>
      <c r="E7" s="1298" t="s">
        <v>1400</v>
      </c>
      <c r="F7" s="348">
        <f ca="1">IF(INDIRECT("'数据-取费表'!ah"&amp;$G$1)="",INDIRECT("'数据-取费表'!k"&amp;$G$1),INDIRECT("'数据-取费表'!ah"&amp;$G$1))</f>
        <v>0</v>
      </c>
      <c r="G7" s="1851"/>
      <c r="H7" s="349"/>
      <c r="I7" s="3183"/>
      <c r="J7" s="351"/>
      <c r="K7" s="352"/>
      <c r="L7" s="347" t="s">
        <v>1400</v>
      </c>
      <c r="M7" s="348">
        <f ca="1">F7</f>
        <v>0</v>
      </c>
    </row>
    <row r="8" spans="1:37" ht="18" customHeight="1">
      <c r="A8" s="349"/>
      <c r="B8" s="3183"/>
      <c r="C8" s="351"/>
      <c r="D8" s="352"/>
      <c r="E8" s="347" t="s">
        <v>1401</v>
      </c>
      <c r="F8" s="348">
        <f ca="1">INDIRECT("'数据-取费表'!ai"&amp;$G$1)</f>
        <v>0</v>
      </c>
      <c r="G8" s="1851"/>
      <c r="H8" s="349"/>
      <c r="I8" s="3183"/>
      <c r="J8" s="351"/>
      <c r="K8" s="352"/>
      <c r="L8" s="347" t="s">
        <v>1401</v>
      </c>
      <c r="M8" s="348">
        <f ca="1">INDIRECT("'数据-取费表'!ai"&amp;$G$1)</f>
        <v>0</v>
      </c>
    </row>
    <row r="9" spans="1:37" ht="18" customHeight="1">
      <c r="A9" s="349"/>
      <c r="B9" s="3184"/>
      <c r="C9" s="351"/>
      <c r="D9" s="352"/>
      <c r="E9" s="347" t="s">
        <v>1402</v>
      </c>
      <c r="F9" s="357">
        <f ca="1">INDIRECT("'数据-取费表'!w"&amp;$G$1)</f>
        <v>0</v>
      </c>
      <c r="G9" s="1851"/>
      <c r="H9" s="349"/>
      <c r="I9" s="3184"/>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3.5"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48">
        <f ca="1">IF(M47="住宅",IF(D1="——",MAX(J51,L48),MAX(J51,L48-'数据-取费表'!B24)),IF(D1="——",MIN(J51,L48),MIN(J51,L48-'数据-取费表'!B24)))</f>
        <v>0</v>
      </c>
      <c r="K53" s="3180" t="s">
        <v>1542</v>
      </c>
      <c r="L53" s="3181"/>
      <c r="O53" s="1884" t="s">
        <v>1042</v>
      </c>
      <c r="P53" s="1885" t="s">
        <v>1543</v>
      </c>
      <c r="Q53" s="1886" t="e">
        <f ca="1">Q47+Q48</f>
        <v>#VALUE!</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24.75"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24.75"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6.5"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5"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3.5"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3.5" thickBot="1">
      <c r="A70" s="1173"/>
      <c r="B70" s="1174"/>
      <c r="C70" s="355"/>
      <c r="D70" s="1185"/>
      <c r="E70" s="1169" t="s">
        <v>1471</v>
      </c>
      <c r="F70" s="1275">
        <f ca="1">F42</f>
        <v>0</v>
      </c>
      <c r="O70" s="1894" t="s">
        <v>1045</v>
      </c>
      <c r="P70" s="1933" t="s">
        <v>1579</v>
      </c>
      <c r="Q70" s="1886" t="e">
        <f ca="1">C13</f>
        <v>#VALUE!</v>
      </c>
      <c r="R70" s="1886" t="s">
        <v>1523</v>
      </c>
    </row>
    <row r="71" spans="1:18" s="1842" customFormat="1" ht="13.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#VALUE!</v>
      </c>
    </row>
    <row r="80" spans="1:18">
      <c r="B80" s="386" t="s">
        <v>1505</v>
      </c>
      <c r="C80" s="318" t="e">
        <f ca="1">ROUND(C75/C39,3)</f>
        <v>#VALUE!</v>
      </c>
    </row>
    <row r="81" spans="2:3">
      <c r="B81" s="314" t="s">
        <v>1506</v>
      </c>
      <c r="C81" s="282"/>
    </row>
    <row r="82" spans="2:3">
      <c r="B82" s="317" t="s">
        <v>1507</v>
      </c>
      <c r="C82" s="319" t="e">
        <f ca="1">1-C83</f>
        <v>#VALUE!</v>
      </c>
    </row>
    <row r="83" spans="2:3">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2525</v>
      </c>
      <c r="B1" s="2560"/>
      <c r="C1" s="2560"/>
      <c r="D1" s="2560"/>
      <c r="E1" s="2561"/>
    </row>
    <row r="2" spans="1:6" ht="15.75">
      <c r="A2" s="2562" t="s">
        <v>2326</v>
      </c>
      <c r="B2" s="2563">
        <f ca="1">SUMIF(B6:B13,"&lt;&gt;#ref!",B6:B13)</f>
        <v>0</v>
      </c>
      <c r="C2" s="2564" t="s">
        <v>2518</v>
      </c>
      <c r="D2" s="2565" t="s">
        <v>2519</v>
      </c>
      <c r="E2" s="2566">
        <f>SUM(E6:E13)</f>
        <v>0</v>
      </c>
    </row>
    <row r="3" spans="1:6" ht="15.75">
      <c r="A3" s="2562" t="s">
        <v>1389</v>
      </c>
      <c r="B3" s="2563" t="e">
        <f ca="1">ROUND(B2*10000/E2,0)</f>
        <v>#DIV/0!</v>
      </c>
      <c r="C3" s="2564" t="s">
        <v>2526</v>
      </c>
      <c r="D3" s="2567"/>
      <c r="E3" s="2568"/>
    </row>
    <row r="4" spans="1:6" ht="15.75">
      <c r="A4" s="2569"/>
      <c r="B4" s="2567"/>
      <c r="C4" s="2567"/>
      <c r="D4" s="2567"/>
      <c r="E4" s="2568"/>
    </row>
    <row r="5" spans="1:6" ht="15">
      <c r="A5" s="2570" t="s">
        <v>2520</v>
      </c>
      <c r="B5" s="3185" t="s">
        <v>2521</v>
      </c>
      <c r="C5" s="3185"/>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2" t="s">
        <v>1072</v>
      </c>
      <c r="B1" s="3203"/>
      <c r="C1" s="3204"/>
      <c r="D1" s="3205">
        <f>SUM(I10,I15,I20,I21,I23)</f>
        <v>0</v>
      </c>
      <c r="E1" s="3205"/>
      <c r="F1" s="3205"/>
      <c r="G1" s="3205"/>
      <c r="H1" s="3205"/>
      <c r="I1" s="3206"/>
    </row>
    <row r="2" spans="1:9">
      <c r="A2" s="3192" t="s">
        <v>1073</v>
      </c>
      <c r="B2" s="3193" t="s">
        <v>1074</v>
      </c>
      <c r="C2" s="3193"/>
      <c r="D2" s="1301" t="s">
        <v>1075</v>
      </c>
      <c r="E2" s="1301" t="s">
        <v>1076</v>
      </c>
      <c r="F2" s="1301" t="s">
        <v>1077</v>
      </c>
      <c r="G2" s="1301" t="s">
        <v>1078</v>
      </c>
      <c r="H2" s="1301" t="s">
        <v>1079</v>
      </c>
      <c r="I2" s="1302" t="s">
        <v>1080</v>
      </c>
    </row>
    <row r="3" spans="1:9">
      <c r="A3" s="3192"/>
      <c r="B3" s="3193" t="s">
        <v>1081</v>
      </c>
      <c r="C3" s="3193"/>
      <c r="D3" s="1303"/>
      <c r="E3" s="1301"/>
      <c r="F3" s="1304"/>
      <c r="G3" s="1304"/>
      <c r="H3" s="1305"/>
      <c r="I3" s="1306">
        <f>ROUND(D3*E3*F3*G3*H3/10000,0)</f>
        <v>0</v>
      </c>
    </row>
    <row r="4" spans="1:9">
      <c r="A4" s="3192"/>
      <c r="B4" s="3193" t="s">
        <v>1082</v>
      </c>
      <c r="C4" s="3193"/>
      <c r="D4" s="1303"/>
      <c r="E4" s="1301"/>
      <c r="F4" s="1304"/>
      <c r="G4" s="1304"/>
      <c r="H4" s="1305"/>
      <c r="I4" s="1306">
        <f t="shared" ref="I4:I9" si="0">ROUND(D4*E4*F4*G4*H4/10000,0)</f>
        <v>0</v>
      </c>
    </row>
    <row r="5" spans="1:9">
      <c r="A5" s="3192"/>
      <c r="B5" s="3193" t="s">
        <v>1083</v>
      </c>
      <c r="C5" s="3193"/>
      <c r="D5" s="1303"/>
      <c r="E5" s="1301"/>
      <c r="F5" s="1304"/>
      <c r="G5" s="1304"/>
      <c r="H5" s="1305"/>
      <c r="I5" s="1306">
        <f t="shared" si="0"/>
        <v>0</v>
      </c>
    </row>
    <row r="6" spans="1:9">
      <c r="A6" s="3192"/>
      <c r="B6" s="3193" t="s">
        <v>1084</v>
      </c>
      <c r="C6" s="3193"/>
      <c r="D6" s="1303"/>
      <c r="E6" s="1301"/>
      <c r="F6" s="1304"/>
      <c r="G6" s="1304"/>
      <c r="H6" s="1305"/>
      <c r="I6" s="1306">
        <f t="shared" si="0"/>
        <v>0</v>
      </c>
    </row>
    <row r="7" spans="1:9">
      <c r="A7" s="3192"/>
      <c r="B7" s="3193" t="s">
        <v>1085</v>
      </c>
      <c r="C7" s="3193"/>
      <c r="D7" s="1303"/>
      <c r="E7" s="1301"/>
      <c r="F7" s="1304"/>
      <c r="G7" s="1304"/>
      <c r="H7" s="1305"/>
      <c r="I7" s="1306">
        <f t="shared" si="0"/>
        <v>0</v>
      </c>
    </row>
    <row r="8" spans="1:9">
      <c r="A8" s="3192"/>
      <c r="B8" s="3193" t="s">
        <v>1086</v>
      </c>
      <c r="C8" s="3193"/>
      <c r="D8" s="1303"/>
      <c r="E8" s="1301"/>
      <c r="F8" s="1304"/>
      <c r="G8" s="1304"/>
      <c r="H8" s="1305"/>
      <c r="I8" s="1306">
        <f t="shared" si="0"/>
        <v>0</v>
      </c>
    </row>
    <row r="9" spans="1:9">
      <c r="A9" s="3192"/>
      <c r="B9" s="3193" t="s">
        <v>1087</v>
      </c>
      <c r="C9" s="3193"/>
      <c r="D9" s="1303"/>
      <c r="E9" s="1301"/>
      <c r="F9" s="1304"/>
      <c r="G9" s="1304"/>
      <c r="H9" s="1305"/>
      <c r="I9" s="1306">
        <f t="shared" si="0"/>
        <v>0</v>
      </c>
    </row>
    <row r="10" spans="1:9">
      <c r="A10" s="3192"/>
      <c r="B10" s="3194" t="s">
        <v>1088</v>
      </c>
      <c r="C10" s="3194"/>
      <c r="D10" s="1307"/>
      <c r="E10" s="1307" t="e">
        <f>ROUND(D1*10000/D10/H9,0)</f>
        <v>#DIV/0!</v>
      </c>
      <c r="F10" s="1308"/>
      <c r="G10" s="1308"/>
      <c r="H10" s="1309"/>
      <c r="I10" s="1310">
        <f>SUM(I3:I9)</f>
        <v>0</v>
      </c>
    </row>
    <row r="11" spans="1:9" ht="14.25">
      <c r="A11" s="3192" t="s">
        <v>1089</v>
      </c>
      <c r="B11" s="3193" t="s">
        <v>1090</v>
      </c>
      <c r="C11" s="3193"/>
      <c r="D11" s="1303" t="s">
        <v>1091</v>
      </c>
      <c r="E11" s="1303" t="s">
        <v>1092</v>
      </c>
      <c r="F11" s="1304" t="s">
        <v>1093</v>
      </c>
      <c r="G11" s="1304" t="s">
        <v>1079</v>
      </c>
      <c r="H11" s="1311" t="s">
        <v>1094</v>
      </c>
      <c r="I11" s="1302" t="s">
        <v>1080</v>
      </c>
    </row>
    <row r="12" spans="1:9">
      <c r="A12" s="3192"/>
      <c r="B12" s="3193" t="s">
        <v>1095</v>
      </c>
      <c r="C12" s="3193"/>
      <c r="D12" s="1303"/>
      <c r="E12" s="1303"/>
      <c r="F12" s="1304"/>
      <c r="G12" s="1305"/>
      <c r="H12" s="1312"/>
      <c r="I12" s="1302">
        <f>ROUND(D12*E12*F12*G12/10000,0)</f>
        <v>0</v>
      </c>
    </row>
    <row r="13" spans="1:9">
      <c r="A13" s="3192"/>
      <c r="B13" s="3193" t="s">
        <v>1096</v>
      </c>
      <c r="C13" s="3193"/>
      <c r="D13" s="1303"/>
      <c r="E13" s="1303"/>
      <c r="F13" s="1304"/>
      <c r="G13" s="1305"/>
      <c r="H13" s="1312"/>
      <c r="I13" s="1302">
        <f>ROUND(D13*E13*F13*G13/10000,0)</f>
        <v>0</v>
      </c>
    </row>
    <row r="14" spans="1:9">
      <c r="A14" s="3192"/>
      <c r="B14" s="3193" t="s">
        <v>1097</v>
      </c>
      <c r="C14" s="3193"/>
      <c r="D14" s="1303"/>
      <c r="E14" s="1303"/>
      <c r="F14" s="1304"/>
      <c r="G14" s="1305"/>
      <c r="H14" s="1312"/>
      <c r="I14" s="1302">
        <f>ROUND(D14*E14*F14*G14/10000,0)</f>
        <v>0</v>
      </c>
    </row>
    <row r="15" spans="1:9">
      <c r="A15" s="3192"/>
      <c r="B15" s="3194" t="s">
        <v>1088</v>
      </c>
      <c r="C15" s="3194"/>
      <c r="D15" s="1307"/>
      <c r="E15" s="1307">
        <f>SUM(E12:E14)</f>
        <v>0</v>
      </c>
      <c r="F15" s="1308"/>
      <c r="G15" s="1305"/>
      <c r="H15" s="1312"/>
      <c r="I15" s="1313">
        <f>SUM(I12:I14)</f>
        <v>0</v>
      </c>
    </row>
    <row r="16" spans="1:9" ht="24">
      <c r="A16" s="3192" t="s">
        <v>1098</v>
      </c>
      <c r="B16" s="3193" t="s">
        <v>1099</v>
      </c>
      <c r="C16" s="3193"/>
      <c r="D16" s="1303" t="s">
        <v>1075</v>
      </c>
      <c r="E16" s="1314" t="s">
        <v>1100</v>
      </c>
      <c r="F16" s="1304" t="s">
        <v>1101</v>
      </c>
      <c r="G16" s="1305" t="s">
        <v>1079</v>
      </c>
      <c r="H16" s="1311" t="s">
        <v>1094</v>
      </c>
      <c r="I16" s="1302" t="s">
        <v>1080</v>
      </c>
    </row>
    <row r="17" spans="1:9" ht="14.25">
      <c r="A17" s="3192"/>
      <c r="B17" s="3193" t="s">
        <v>1102</v>
      </c>
      <c r="C17" s="3193"/>
      <c r="D17" s="1303"/>
      <c r="E17" s="1303"/>
      <c r="F17" s="1304"/>
      <c r="G17" s="1305"/>
      <c r="H17" s="1315"/>
      <c r="I17" s="1316">
        <f>ROUND(D17*E17*F17*G17/10000,0)</f>
        <v>0</v>
      </c>
    </row>
    <row r="18" spans="1:9" ht="14.25">
      <c r="A18" s="3192"/>
      <c r="B18" s="3193" t="s">
        <v>1103</v>
      </c>
      <c r="C18" s="3193"/>
      <c r="D18" s="1303"/>
      <c r="E18" s="1303"/>
      <c r="F18" s="1304"/>
      <c r="G18" s="1305"/>
      <c r="H18" s="1315"/>
      <c r="I18" s="1316">
        <f>ROUND(D18*E18*F18*G18/10000,0)</f>
        <v>0</v>
      </c>
    </row>
    <row r="19" spans="1:9" ht="14.25">
      <c r="A19" s="3192"/>
      <c r="B19" s="3193" t="s">
        <v>1104</v>
      </c>
      <c r="C19" s="3193"/>
      <c r="D19" s="1303"/>
      <c r="E19" s="1303"/>
      <c r="F19" s="1304"/>
      <c r="G19" s="1305"/>
      <c r="H19" s="1315"/>
      <c r="I19" s="1316">
        <f>ROUND(D19*E19*F19*G19/10000,0)</f>
        <v>0</v>
      </c>
    </row>
    <row r="20" spans="1:9">
      <c r="A20" s="3192"/>
      <c r="B20" s="3194" t="s">
        <v>1088</v>
      </c>
      <c r="C20" s="3194"/>
      <c r="D20" s="1307">
        <f>SUM(D17:D19)</f>
        <v>0</v>
      </c>
      <c r="E20" s="1307"/>
      <c r="F20" s="1308"/>
      <c r="G20" s="1305"/>
      <c r="H20" s="1312"/>
      <c r="I20" s="1313">
        <f>SUM(I17:I19)</f>
        <v>0</v>
      </c>
    </row>
    <row r="21" spans="1:9">
      <c r="A21" s="3192" t="s">
        <v>1105</v>
      </c>
      <c r="B21" s="3195"/>
      <c r="C21" s="3195"/>
      <c r="D21" s="3195"/>
      <c r="E21" s="3195"/>
      <c r="F21" s="3195"/>
      <c r="G21" s="3195"/>
      <c r="H21" s="1765">
        <v>0.1</v>
      </c>
      <c r="I21" s="1310">
        <f>ROUND(I10*H21,0)</f>
        <v>0</v>
      </c>
    </row>
    <row r="22" spans="1:9" ht="14.25">
      <c r="A22" s="3196" t="s">
        <v>1106</v>
      </c>
      <c r="B22" s="3197"/>
      <c r="C22" s="3198"/>
      <c r="D22" s="1317" t="s">
        <v>1107</v>
      </c>
      <c r="E22" s="1317" t="s">
        <v>1108</v>
      </c>
      <c r="F22" s="1318" t="s">
        <v>1109</v>
      </c>
      <c r="G22" s="1318" t="s">
        <v>1110</v>
      </c>
      <c r="H22" s="1311" t="s">
        <v>1111</v>
      </c>
      <c r="I22" s="1302" t="s">
        <v>1112</v>
      </c>
    </row>
    <row r="23" spans="1:9" ht="14.25" thickBot="1">
      <c r="A23" s="3199"/>
      <c r="B23" s="3200"/>
      <c r="C23" s="3201"/>
      <c r="D23" s="1319"/>
      <c r="E23" s="1319"/>
      <c r="F23" s="1319"/>
      <c r="G23" s="1320"/>
      <c r="H23" s="1321"/>
      <c r="I23" s="1322">
        <f>ROUND(E23*D23*F23*(1-G23)/10000,0)</f>
        <v>0</v>
      </c>
    </row>
    <row r="26" spans="1:9">
      <c r="A26" s="1323" t="s">
        <v>1113</v>
      </c>
      <c r="B26" s="1323"/>
      <c r="C26" s="1323"/>
      <c r="D26" s="1323"/>
      <c r="E26" s="3189">
        <f>C27-C30-C31-C32</f>
        <v>0</v>
      </c>
      <c r="F26" s="3189"/>
      <c r="G26" s="3189"/>
      <c r="H26" s="1737" t="s">
        <v>1335</v>
      </c>
    </row>
    <row r="27" spans="1:9">
      <c r="A27" s="1324">
        <v>1</v>
      </c>
      <c r="B27" s="1325" t="s">
        <v>1114</v>
      </c>
      <c r="C27" s="1325">
        <f>C28+C29</f>
        <v>0</v>
      </c>
      <c r="D27" s="1325"/>
      <c r="E27" s="3190"/>
      <c r="F27" s="3190"/>
      <c r="G27" s="3190"/>
    </row>
    <row r="28" spans="1:9">
      <c r="A28" s="1326" t="s">
        <v>1115</v>
      </c>
      <c r="B28" s="1325" t="s">
        <v>1116</v>
      </c>
      <c r="C28" s="1325"/>
      <c r="D28" s="1325"/>
      <c r="E28" s="3190"/>
      <c r="F28" s="3190"/>
      <c r="G28" s="3190"/>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1"/>
      <c r="F32" s="3191"/>
      <c r="G32" s="3191"/>
    </row>
    <row r="33" spans="1:7" hidden="1">
      <c r="A33" s="3186" t="s">
        <v>1125</v>
      </c>
      <c r="B33" s="3187"/>
      <c r="C33" s="3187"/>
      <c r="D33" s="3188"/>
      <c r="E33" s="3189"/>
      <c r="F33" s="3189"/>
      <c r="G33" s="3189"/>
    </row>
    <row r="34" spans="1:7" hidden="1">
      <c r="A34" s="1328">
        <v>1</v>
      </c>
      <c r="B34" s="1325" t="s">
        <v>1126</v>
      </c>
      <c r="C34" s="1325"/>
      <c r="D34" s="1325"/>
      <c r="E34" s="3190"/>
      <c r="F34" s="3190"/>
      <c r="G34" s="3190"/>
    </row>
    <row r="35" spans="1:7" hidden="1">
      <c r="A35" s="1328">
        <v>2</v>
      </c>
      <c r="B35" s="1325" t="s">
        <v>1127</v>
      </c>
      <c r="C35" s="1325"/>
      <c r="D35" s="1325"/>
      <c r="E35" s="3190"/>
      <c r="F35" s="3190"/>
      <c r="G35" s="3190"/>
    </row>
    <row r="36" spans="1:7" hidden="1">
      <c r="A36" s="1328">
        <v>3</v>
      </c>
      <c r="B36" s="1325" t="s">
        <v>1128</v>
      </c>
      <c r="C36" s="1325"/>
      <c r="D36" s="1325"/>
      <c r="E36" s="3190"/>
      <c r="F36" s="3190"/>
      <c r="G36" s="3190"/>
    </row>
    <row r="37" spans="1:7" hidden="1">
      <c r="A37" s="1328">
        <v>4</v>
      </c>
      <c r="B37" s="1325" t="s">
        <v>1129</v>
      </c>
      <c r="C37" s="1325"/>
      <c r="D37" s="1325"/>
      <c r="E37" s="3190"/>
      <c r="F37" s="3190"/>
      <c r="G37" s="3190"/>
    </row>
    <row r="38" spans="1:7" hidden="1">
      <c r="A38" s="3186" t="s">
        <v>1130</v>
      </c>
      <c r="B38" s="3187"/>
      <c r="C38" s="3187"/>
      <c r="D38" s="3188"/>
      <c r="E38" s="3189"/>
      <c r="F38" s="3189"/>
      <c r="G38" s="31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8" zoomScale="80" zoomScaleNormal="80" workbookViewId="0">
      <selection activeCell="N15" sqref="N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453051</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52092</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25" t="s">
        <v>2535</v>
      </c>
      <c r="D4" s="3226"/>
      <c r="E4" s="3227" t="s">
        <v>2536</v>
      </c>
      <c r="F4" s="3228"/>
      <c r="G4" s="3225" t="s">
        <v>2537</v>
      </c>
      <c r="H4" s="3226"/>
      <c r="I4" s="3225" t="s">
        <v>2538</v>
      </c>
      <c r="J4" s="3226"/>
      <c r="K4" s="2594" t="s">
        <v>2539</v>
      </c>
      <c r="L4" s="1130"/>
      <c r="M4" s="1131"/>
      <c r="N4" s="1131"/>
      <c r="O4" s="1131"/>
      <c r="P4" s="3229" t="s">
        <v>2540</v>
      </c>
      <c r="Q4" s="3230"/>
      <c r="R4" s="3235" t="s">
        <v>2536</v>
      </c>
      <c r="S4" s="3236"/>
      <c r="T4" s="3235" t="s">
        <v>2537</v>
      </c>
      <c r="U4" s="3236"/>
      <c r="V4" s="3241" t="s">
        <v>2538</v>
      </c>
      <c r="W4" s="3241"/>
      <c r="X4" s="1813"/>
      <c r="Y4" s="3235" t="s">
        <v>2540</v>
      </c>
      <c r="Z4" s="3236"/>
      <c r="AA4" s="3222" t="s">
        <v>2536</v>
      </c>
      <c r="AB4" s="3222" t="s">
        <v>2537</v>
      </c>
      <c r="AC4" s="3222" t="s">
        <v>2538</v>
      </c>
    </row>
    <row r="5" spans="1:29" ht="15">
      <c r="A5" s="404"/>
      <c r="B5" s="405"/>
      <c r="C5" s="3249" t="s">
        <v>3118</v>
      </c>
      <c r="D5" s="3250"/>
      <c r="E5" s="3254" t="s">
        <v>3154</v>
      </c>
      <c r="F5" s="3255"/>
      <c r="G5" s="3244" t="s">
        <v>3152</v>
      </c>
      <c r="H5" s="3245"/>
      <c r="I5" s="3249" t="s">
        <v>3119</v>
      </c>
      <c r="J5" s="3250"/>
      <c r="K5" s="2595"/>
      <c r="L5" s="1130"/>
      <c r="M5" s="1131"/>
      <c r="N5" s="1131"/>
      <c r="O5" s="1131"/>
      <c r="P5" s="3231"/>
      <c r="Q5" s="3232"/>
      <c r="R5" s="3237"/>
      <c r="S5" s="3238"/>
      <c r="T5" s="3237"/>
      <c r="U5" s="3238"/>
      <c r="V5" s="3241"/>
      <c r="W5" s="3241"/>
      <c r="X5" s="1813"/>
      <c r="Y5" s="3237"/>
      <c r="Z5" s="3238"/>
      <c r="AA5" s="3223"/>
      <c r="AB5" s="3223"/>
      <c r="AC5" s="3223"/>
    </row>
    <row r="6" spans="1:29" ht="15.75" thickBot="1">
      <c r="A6" s="406"/>
      <c r="B6" s="407"/>
      <c r="C6" s="3251" t="str">
        <f>项目基本情况!F10</f>
        <v>北京经济技术开发区河西区X90R1、X90S1地块</v>
      </c>
      <c r="D6" s="3243"/>
      <c r="E6" s="3252" t="s">
        <v>2545</v>
      </c>
      <c r="F6" s="3253"/>
      <c r="G6" s="3242" t="s">
        <v>2545</v>
      </c>
      <c r="H6" s="3243"/>
      <c r="I6" s="3242" t="s">
        <v>2545</v>
      </c>
      <c r="J6" s="3243"/>
      <c r="K6" s="2595" t="s">
        <v>2546</v>
      </c>
      <c r="L6" s="1130"/>
      <c r="M6" s="1131"/>
      <c r="N6" s="1131"/>
      <c r="O6" s="1131"/>
      <c r="P6" s="3233"/>
      <c r="Q6" s="3234"/>
      <c r="R6" s="3237"/>
      <c r="S6" s="3238"/>
      <c r="T6" s="3239"/>
      <c r="U6" s="3240"/>
      <c r="V6" s="3241"/>
      <c r="W6" s="3241"/>
      <c r="X6" s="1813"/>
      <c r="Y6" s="3239"/>
      <c r="Z6" s="3240"/>
      <c r="AA6" s="3224"/>
      <c r="AB6" s="3224"/>
      <c r="AC6" s="3224"/>
    </row>
    <row r="7" spans="1:29" s="117" customFormat="1" ht="15.75"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46" t="s">
        <v>2548</v>
      </c>
      <c r="Q7" s="3248"/>
      <c r="R7" s="770" t="s">
        <v>23</v>
      </c>
      <c r="S7" s="771">
        <f t="shared" ref="S7:S15" si="0">F7</f>
        <v>100</v>
      </c>
      <c r="T7" s="770" t="s">
        <v>23</v>
      </c>
      <c r="U7" s="771">
        <f t="shared" ref="U7:U15" si="1">H7</f>
        <v>100</v>
      </c>
      <c r="V7" s="770" t="s">
        <v>23</v>
      </c>
      <c r="W7" s="771">
        <f t="shared" ref="W7:W15" si="2">J7</f>
        <v>100</v>
      </c>
      <c r="X7" s="772"/>
      <c r="Y7" s="3246" t="s">
        <v>2548</v>
      </c>
      <c r="Z7" s="3247"/>
      <c r="AA7" s="773">
        <f>D7/F7</f>
        <v>1</v>
      </c>
      <c r="AB7" s="773">
        <f>D7/H7</f>
        <v>1</v>
      </c>
      <c r="AC7" s="773">
        <f>D7/J7</f>
        <v>1</v>
      </c>
    </row>
    <row r="8" spans="1:29" s="117" customFormat="1" ht="15.75" thickBot="1">
      <c r="A8" s="408" t="s">
        <v>2549</v>
      </c>
      <c r="B8" s="409"/>
      <c r="C8" s="414" t="s">
        <v>2550</v>
      </c>
      <c r="D8" s="411">
        <v>100</v>
      </c>
      <c r="E8" s="2597" t="s">
        <v>3101</v>
      </c>
      <c r="F8" s="413">
        <f>SUMIF(61:61,E8,62:62)-SUMIF(61:61,C8,62:62)+100</f>
        <v>100</v>
      </c>
      <c r="G8" s="414" t="s">
        <v>3101</v>
      </c>
      <c r="H8" s="411">
        <f>SUMIF(61:61,G8,62:62)-SUMIF(61:61,C8,62:62)+100</f>
        <v>100</v>
      </c>
      <c r="I8" s="2597" t="s">
        <v>3101</v>
      </c>
      <c r="J8" s="411">
        <f>SUMIF(61:61,I8,62:62)-SUMIF(61:61,C8,62:62)+100</f>
        <v>100</v>
      </c>
      <c r="K8" s="2596"/>
      <c r="L8" s="1132"/>
      <c r="M8" s="1133"/>
      <c r="N8" s="1133"/>
      <c r="O8" s="1133"/>
      <c r="P8" s="3246" t="s">
        <v>2551</v>
      </c>
      <c r="Q8" s="3247"/>
      <c r="R8" s="770" t="s">
        <v>23</v>
      </c>
      <c r="S8" s="771">
        <f t="shared" si="0"/>
        <v>100</v>
      </c>
      <c r="T8" s="770" t="s">
        <v>23</v>
      </c>
      <c r="U8" s="771">
        <f t="shared" si="1"/>
        <v>100</v>
      </c>
      <c r="V8" s="770" t="s">
        <v>23</v>
      </c>
      <c r="W8" s="771">
        <f t="shared" si="2"/>
        <v>100</v>
      </c>
      <c r="X8" s="772"/>
      <c r="Y8" s="3246" t="s">
        <v>2551</v>
      </c>
      <c r="Z8" s="3247"/>
      <c r="AA8" s="773">
        <f t="shared" ref="AA8:AA19" si="3">D8/F8</f>
        <v>1</v>
      </c>
      <c r="AB8" s="773">
        <f t="shared" ref="AB8:AB19" si="4">D8/H8</f>
        <v>1</v>
      </c>
      <c r="AC8" s="773">
        <f t="shared" ref="AC8:AC19" si="5">D8/J8</f>
        <v>1</v>
      </c>
    </row>
    <row r="9" spans="1:29" s="117" customFormat="1">
      <c r="A9" s="415" t="s">
        <v>2552</v>
      </c>
      <c r="B9" s="71" t="s">
        <v>2553</v>
      </c>
      <c r="C9" s="2953" t="s">
        <v>3065</v>
      </c>
      <c r="D9" s="135">
        <v>100</v>
      </c>
      <c r="E9" s="417" t="s">
        <v>3064</v>
      </c>
      <c r="F9" s="418">
        <f>SUMIF(63:63,E9,64:64)-SUMIF(63:63,C9,64:64)+100</f>
        <v>100</v>
      </c>
      <c r="G9" s="419" t="s">
        <v>3064</v>
      </c>
      <c r="H9" s="135">
        <f>SUMIF(63:63,G9,64:64)-SUMIF(63:63,C9,64:64)+100</f>
        <v>100</v>
      </c>
      <c r="I9" s="419" t="s">
        <v>3064</v>
      </c>
      <c r="J9" s="135">
        <f>SUMIF(63:63,I9,64:64)-SUMIF(63:63,C9,64:64)+100</f>
        <v>100</v>
      </c>
      <c r="K9" s="2596"/>
      <c r="L9" s="1132"/>
      <c r="M9" s="1133"/>
      <c r="N9" s="1133"/>
      <c r="O9" s="1133"/>
      <c r="P9" s="3221"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75" thickBot="1">
      <c r="A11" s="428"/>
      <c r="B11" s="422" t="s">
        <v>2557</v>
      </c>
      <c r="C11" s="2954">
        <v>2</v>
      </c>
      <c r="D11" s="136">
        <v>100</v>
      </c>
      <c r="E11" s="430">
        <v>2.5</v>
      </c>
      <c r="F11" s="425">
        <f>LOOKUP(E11,68:68,69:69)-LOOKUP(C11,68:68,69:69)+100</f>
        <v>96</v>
      </c>
      <c r="G11" s="429">
        <v>2</v>
      </c>
      <c r="H11" s="136">
        <f>LOOKUP(G11,68:68,69:69)-LOOKUP(C11,68:68,69:69)+100</f>
        <v>100</v>
      </c>
      <c r="I11" s="429">
        <v>1.8</v>
      </c>
      <c r="J11" s="136">
        <f>LOOKUP(I11,68:68,69:69)-LOOKUP(C11,68:68,69:69)+100</f>
        <v>100</v>
      </c>
      <c r="K11" s="426">
        <v>4</v>
      </c>
      <c r="L11" s="1138"/>
      <c r="M11" s="1131"/>
      <c r="N11" s="1131"/>
      <c r="O11" s="1131"/>
      <c r="P11" s="3221"/>
      <c r="Q11" s="1795" t="str">
        <f t="shared" si="6"/>
        <v>容积率</v>
      </c>
      <c r="R11" s="770" t="s">
        <v>21</v>
      </c>
      <c r="S11" s="771">
        <f t="shared" si="0"/>
        <v>96</v>
      </c>
      <c r="T11" s="770" t="s">
        <v>21</v>
      </c>
      <c r="U11" s="771">
        <f t="shared" si="1"/>
        <v>100</v>
      </c>
      <c r="V11" s="770" t="s">
        <v>21</v>
      </c>
      <c r="W11" s="771">
        <f t="shared" si="2"/>
        <v>100</v>
      </c>
      <c r="X11" s="772"/>
      <c r="Y11" s="3030"/>
      <c r="Z11" s="55" t="str">
        <f t="shared" si="7"/>
        <v>容积率</v>
      </c>
      <c r="AA11" s="773">
        <f t="shared" si="3"/>
        <v>1.0416666666666667</v>
      </c>
      <c r="AB11" s="773">
        <f t="shared" si="4"/>
        <v>1</v>
      </c>
      <c r="AC11" s="773">
        <f t="shared" si="5"/>
        <v>1</v>
      </c>
    </row>
    <row r="12" spans="1:29" s="117" customFormat="1" ht="15"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1"/>
      <c r="Q12" s="1795">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1"/>
      <c r="Q13" s="1795">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1"/>
      <c r="Q14" s="1795">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199.5">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9" t="s">
        <v>2559</v>
      </c>
      <c r="Q15" s="1810" t="str">
        <f t="shared" si="6"/>
        <v>居住社区成熟度</v>
      </c>
      <c r="R15" s="774" t="s">
        <v>21</v>
      </c>
      <c r="S15" s="775">
        <f t="shared" si="0"/>
        <v>100</v>
      </c>
      <c r="T15" s="774" t="s">
        <v>21</v>
      </c>
      <c r="U15" s="775">
        <f t="shared" si="1"/>
        <v>100</v>
      </c>
      <c r="V15" s="774" t="s">
        <v>21</v>
      </c>
      <c r="W15" s="775">
        <f t="shared" si="2"/>
        <v>100</v>
      </c>
      <c r="X15" s="1813"/>
      <c r="Y15" s="3212" t="s">
        <v>2559</v>
      </c>
      <c r="Z15" s="1814" t="str">
        <f t="shared" si="7"/>
        <v>居住社区成熟度</v>
      </c>
      <c r="AA15" s="1811">
        <f t="shared" si="3"/>
        <v>1</v>
      </c>
      <c r="AB15" s="1811">
        <f t="shared" si="4"/>
        <v>1</v>
      </c>
      <c r="AC15" s="1811">
        <f t="shared" si="5"/>
        <v>1</v>
      </c>
    </row>
    <row r="16" spans="1:29" ht="15">
      <c r="A16" s="428"/>
      <c r="B16" s="446"/>
      <c r="C16" s="447" t="s">
        <v>3067</v>
      </c>
      <c r="D16" s="448"/>
      <c r="E16" s="2602" t="s">
        <v>3067</v>
      </c>
      <c r="F16" s="448"/>
      <c r="G16" s="2603" t="s">
        <v>3067</v>
      </c>
      <c r="H16" s="450"/>
      <c r="I16" s="2603" t="s">
        <v>3067</v>
      </c>
      <c r="J16" s="448"/>
      <c r="K16" s="2604"/>
      <c r="L16" s="1140"/>
      <c r="M16" s="1131"/>
      <c r="N16" s="1131"/>
      <c r="O16" s="1131"/>
      <c r="P16" s="3220"/>
      <c r="Q16" s="1810"/>
      <c r="R16" s="774"/>
      <c r="S16" s="775"/>
      <c r="T16" s="774"/>
      <c r="U16" s="775"/>
      <c r="V16" s="774"/>
      <c r="W16" s="775"/>
      <c r="X16" s="1813"/>
      <c r="Y16" s="3213"/>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0"/>
      <c r="Q17" s="1810" t="str">
        <f>B17</f>
        <v>交通便捷度</v>
      </c>
      <c r="R17" s="774" t="s">
        <v>21</v>
      </c>
      <c r="S17" s="775">
        <f>F17</f>
        <v>100</v>
      </c>
      <c r="T17" s="774" t="s">
        <v>21</v>
      </c>
      <c r="U17" s="775">
        <f>H17</f>
        <v>100</v>
      </c>
      <c r="V17" s="774" t="s">
        <v>21</v>
      </c>
      <c r="W17" s="775">
        <f>J17</f>
        <v>100</v>
      </c>
      <c r="X17" s="1813"/>
      <c r="Y17" s="3213"/>
      <c r="Z17" s="1814" t="str">
        <f>Q17</f>
        <v>交通便捷度</v>
      </c>
      <c r="AA17" s="1811">
        <f t="shared" si="3"/>
        <v>1</v>
      </c>
      <c r="AB17" s="1811">
        <f t="shared" si="4"/>
        <v>1</v>
      </c>
      <c r="AC17" s="1811">
        <f t="shared" si="5"/>
        <v>1</v>
      </c>
    </row>
    <row r="18" spans="1:29" ht="15">
      <c r="A18" s="428"/>
      <c r="B18" s="456"/>
      <c r="C18" s="2606" t="s">
        <v>3067</v>
      </c>
      <c r="D18" s="450"/>
      <c r="E18" s="2607" t="s">
        <v>3067</v>
      </c>
      <c r="F18" s="450"/>
      <c r="G18" s="2608" t="s">
        <v>3067</v>
      </c>
      <c r="H18" s="448"/>
      <c r="I18" s="2608" t="s">
        <v>3067</v>
      </c>
      <c r="J18" s="448"/>
      <c r="K18" s="2604"/>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0"/>
      <c r="Q19" s="1810" t="str">
        <f>B19</f>
        <v>公共配套设施</v>
      </c>
      <c r="R19" s="774" t="s">
        <v>21</v>
      </c>
      <c r="S19" s="775">
        <f>F19</f>
        <v>100</v>
      </c>
      <c r="T19" s="774" t="s">
        <v>21</v>
      </c>
      <c r="U19" s="775">
        <f>H19</f>
        <v>100</v>
      </c>
      <c r="V19" s="774" t="s">
        <v>21</v>
      </c>
      <c r="W19" s="775">
        <f>J19</f>
        <v>100</v>
      </c>
      <c r="X19" s="1813"/>
      <c r="Y19" s="3213"/>
      <c r="Z19" s="1814" t="str">
        <f>Q19</f>
        <v>公共配套设施</v>
      </c>
      <c r="AA19" s="1811">
        <f t="shared" si="3"/>
        <v>1</v>
      </c>
      <c r="AB19" s="1811">
        <f t="shared" si="4"/>
        <v>1</v>
      </c>
      <c r="AC19" s="1811">
        <f t="shared" si="5"/>
        <v>1</v>
      </c>
    </row>
    <row r="20" spans="1:29" ht="15">
      <c r="A20" s="428"/>
      <c r="B20" s="456"/>
      <c r="C20" s="447" t="s">
        <v>3067</v>
      </c>
      <c r="D20" s="448"/>
      <c r="E20" s="2602" t="s">
        <v>3067</v>
      </c>
      <c r="F20" s="448"/>
      <c r="G20" s="2603" t="s">
        <v>3067</v>
      </c>
      <c r="H20" s="448"/>
      <c r="I20" s="2603" t="s">
        <v>3067</v>
      </c>
      <c r="J20" s="448"/>
      <c r="K20" s="2604"/>
      <c r="L20" s="1140"/>
      <c r="M20" s="1131"/>
      <c r="N20" s="1131"/>
      <c r="O20" s="1131"/>
      <c r="P20" s="3220"/>
      <c r="Q20" s="1810"/>
      <c r="R20" s="774"/>
      <c r="S20" s="775"/>
      <c r="T20" s="774"/>
      <c r="U20" s="775"/>
      <c r="V20" s="774"/>
      <c r="W20" s="775"/>
      <c r="X20" s="1813"/>
      <c r="Y20" s="3213"/>
      <c r="Z20" s="1814"/>
      <c r="AA20" s="1811">
        <v>1</v>
      </c>
      <c r="AB20" s="1811">
        <v>1</v>
      </c>
      <c r="AC20" s="1811">
        <v>1</v>
      </c>
    </row>
    <row r="21" spans="1:29" ht="15">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t="s">
        <v>3068</v>
      </c>
      <c r="D22" s="448"/>
      <c r="E22" s="447" t="s">
        <v>3068</v>
      </c>
      <c r="F22" s="448"/>
      <c r="G22" s="2609" t="s">
        <v>3068</v>
      </c>
      <c r="H22" s="448"/>
      <c r="I22" s="447" t="s">
        <v>3068</v>
      </c>
      <c r="J22" s="448"/>
      <c r="K22" s="2610"/>
      <c r="L22" s="1140"/>
      <c r="M22" s="1131"/>
      <c r="N22" s="1131"/>
      <c r="O22" s="1131"/>
      <c r="P22" s="3220"/>
      <c r="Q22" s="1810"/>
      <c r="R22" s="774"/>
      <c r="S22" s="775"/>
      <c r="T22" s="774"/>
      <c r="U22" s="775"/>
      <c r="V22" s="774"/>
      <c r="W22" s="775"/>
      <c r="X22" s="1813"/>
      <c r="Y22" s="3213"/>
      <c r="Z22" s="1814"/>
      <c r="AA22" s="1811">
        <v>1</v>
      </c>
      <c r="AB22" s="1811">
        <v>1</v>
      </c>
      <c r="AC22" s="1811">
        <v>1</v>
      </c>
    </row>
    <row r="23" spans="1:29" ht="114">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0"/>
      <c r="Q23" s="1810" t="str">
        <f>B23</f>
        <v>自然及人文环境</v>
      </c>
      <c r="R23" s="774" t="s">
        <v>21</v>
      </c>
      <c r="S23" s="775">
        <f>F23</f>
        <v>100</v>
      </c>
      <c r="T23" s="774" t="s">
        <v>21</v>
      </c>
      <c r="U23" s="775">
        <f>H23</f>
        <v>100</v>
      </c>
      <c r="V23" s="774" t="s">
        <v>21</v>
      </c>
      <c r="W23" s="775">
        <f>J23</f>
        <v>100</v>
      </c>
      <c r="X23" s="1813"/>
      <c r="Y23" s="3213"/>
      <c r="Z23" s="1814" t="str">
        <f>Q23</f>
        <v>自然及人文环境</v>
      </c>
      <c r="AA23" s="1811">
        <f>D23/F23</f>
        <v>1</v>
      </c>
      <c r="AB23" s="1811">
        <f>D23/H23</f>
        <v>1</v>
      </c>
      <c r="AC23" s="1811">
        <f>D23/J23</f>
        <v>1</v>
      </c>
    </row>
    <row r="24" spans="1:29" ht="15">
      <c r="A24" s="428"/>
      <c r="B24" s="456"/>
      <c r="C24" s="447" t="s">
        <v>3067</v>
      </c>
      <c r="D24" s="448"/>
      <c r="E24" s="2602" t="s">
        <v>3067</v>
      </c>
      <c r="F24" s="448"/>
      <c r="G24" s="2603" t="s">
        <v>3067</v>
      </c>
      <c r="H24" s="448"/>
      <c r="I24" s="2603" t="s">
        <v>3067</v>
      </c>
      <c r="J24" s="448"/>
      <c r="K24" s="2604"/>
      <c r="L24" s="1140"/>
      <c r="M24" s="1131"/>
      <c r="N24" s="1131"/>
      <c r="O24" s="1131"/>
      <c r="P24" s="3220"/>
      <c r="Q24" s="1810"/>
      <c r="R24" s="774"/>
      <c r="S24" s="775"/>
      <c r="T24" s="774"/>
      <c r="U24" s="775"/>
      <c r="V24" s="774"/>
      <c r="W24" s="775"/>
      <c r="X24" s="1813"/>
      <c r="Y24" s="3213"/>
      <c r="Z24" s="1814"/>
      <c r="AA24" s="1811">
        <v>1</v>
      </c>
      <c r="AB24" s="1811">
        <v>1</v>
      </c>
      <c r="AC24" s="1811">
        <v>1</v>
      </c>
    </row>
    <row r="25" spans="1:29" ht="15"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20"/>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8"/>
      <c r="B26" s="422" t="s">
        <v>2561</v>
      </c>
      <c r="C26" s="460" t="s">
        <v>3089</v>
      </c>
      <c r="D26" s="435">
        <v>100</v>
      </c>
      <c r="E26" s="2611" t="s">
        <v>3089</v>
      </c>
      <c r="F26" s="435">
        <f>SUMIF(88:88,E26,89:89)-SUMIF(88:88,C26,89:89)+100</f>
        <v>100</v>
      </c>
      <c r="G26" s="2612" t="s">
        <v>3089</v>
      </c>
      <c r="H26" s="435">
        <f>SUMIF(88:88,G26,89:89)-SUMIF(88:88,C26,89:89)+100</f>
        <v>100</v>
      </c>
      <c r="I26" s="2612" t="s">
        <v>3089</v>
      </c>
      <c r="J26" s="435">
        <f>SUMIF(88:88,I26,89:89)-SUMIF(88:88,C26,89:89)+100</f>
        <v>100</v>
      </c>
      <c r="K26" s="426"/>
      <c r="L26" s="1140"/>
      <c r="M26" s="1131"/>
      <c r="N26" s="1131"/>
      <c r="O26" s="1131"/>
      <c r="P26" s="3220"/>
      <c r="Q26" s="1810" t="str">
        <f t="shared" si="11"/>
        <v>朝向</v>
      </c>
      <c r="R26" s="774" t="s">
        <v>21</v>
      </c>
      <c r="S26" s="775">
        <f t="shared" si="12"/>
        <v>100</v>
      </c>
      <c r="T26" s="774" t="s">
        <v>21</v>
      </c>
      <c r="U26" s="775">
        <f t="shared" si="13"/>
        <v>100</v>
      </c>
      <c r="V26" s="774" t="s">
        <v>21</v>
      </c>
      <c r="W26" s="775">
        <f t="shared" si="14"/>
        <v>100</v>
      </c>
      <c r="X26" s="1813"/>
      <c r="Y26" s="3213"/>
      <c r="Z26" s="1814" t="str">
        <f>Q26</f>
        <v>朝向</v>
      </c>
      <c r="AA26" s="1811">
        <f t="shared" si="15"/>
        <v>1</v>
      </c>
      <c r="AB26" s="1811">
        <f t="shared" si="16"/>
        <v>1</v>
      </c>
      <c r="AC26" s="1811">
        <f t="shared" si="17"/>
        <v>1</v>
      </c>
    </row>
    <row r="27" spans="1:29" s="117" customFormat="1" ht="29.25" thickBot="1">
      <c r="A27" s="431"/>
      <c r="B27" s="2957" t="s">
        <v>3091</v>
      </c>
      <c r="C27" s="432" t="str">
        <f>C90</f>
        <v>城市次干道——兴海路</v>
      </c>
      <c r="D27" s="462">
        <v>100</v>
      </c>
      <c r="E27" s="432" t="str">
        <f>E90</f>
        <v>城市支路</v>
      </c>
      <c r="F27" s="462">
        <f>SUMIF(90:90,E27,91:91)-SUMIF(90:90,C27,91:91)+100</f>
        <v>97</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20"/>
      <c r="Q27" s="1795" t="str">
        <f t="shared" si="11"/>
        <v>临路状况</v>
      </c>
      <c r="R27" s="770" t="s">
        <v>21</v>
      </c>
      <c r="S27" s="771">
        <f t="shared" si="12"/>
        <v>97</v>
      </c>
      <c r="T27" s="770" t="s">
        <v>21</v>
      </c>
      <c r="U27" s="771">
        <f t="shared" si="13"/>
        <v>100</v>
      </c>
      <c r="V27" s="770" t="s">
        <v>21</v>
      </c>
      <c r="W27" s="771">
        <f t="shared" si="14"/>
        <v>100</v>
      </c>
      <c r="X27" s="772"/>
      <c r="Y27" s="3213"/>
      <c r="Z27" s="55" t="str">
        <f>Q27</f>
        <v>临路状况</v>
      </c>
      <c r="AA27" s="1811">
        <f t="shared" si="15"/>
        <v>1.0309278350515463</v>
      </c>
      <c r="AB27" s="1811">
        <f t="shared" si="16"/>
        <v>1</v>
      </c>
      <c r="AC27" s="1811">
        <f t="shared" si="17"/>
        <v>1</v>
      </c>
    </row>
    <row r="28" spans="1:29" ht="15"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20"/>
      <c r="Q28" s="1810">
        <f t="shared" si="11"/>
        <v>111</v>
      </c>
      <c r="R28" s="774" t="s">
        <v>21</v>
      </c>
      <c r="S28" s="775">
        <f t="shared" si="12"/>
        <v>100</v>
      </c>
      <c r="T28" s="774" t="s">
        <v>21</v>
      </c>
      <c r="U28" s="775">
        <f t="shared" si="13"/>
        <v>100</v>
      </c>
      <c r="V28" s="774" t="s">
        <v>21</v>
      </c>
      <c r="W28" s="775">
        <f t="shared" si="14"/>
        <v>100</v>
      </c>
      <c r="X28" s="1813"/>
      <c r="Y28" s="3213"/>
      <c r="Z28" s="1814">
        <f t="shared" ref="Z28:Z46" si="18">Q28</f>
        <v>111</v>
      </c>
      <c r="AA28" s="1811">
        <f t="shared" si="15"/>
        <v>1</v>
      </c>
      <c r="AB28" s="1811">
        <f t="shared" si="16"/>
        <v>1</v>
      </c>
      <c r="AC28" s="1811">
        <f t="shared" si="17"/>
        <v>1</v>
      </c>
    </row>
    <row r="29" spans="1:29" ht="15"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20"/>
      <c r="Q29" s="1810">
        <f t="shared" si="11"/>
        <v>111</v>
      </c>
      <c r="R29" s="774" t="s">
        <v>21</v>
      </c>
      <c r="S29" s="775">
        <f t="shared" si="12"/>
        <v>100</v>
      </c>
      <c r="T29" s="774" t="s">
        <v>21</v>
      </c>
      <c r="U29" s="775">
        <f t="shared" si="13"/>
        <v>100</v>
      </c>
      <c r="V29" s="774" t="s">
        <v>21</v>
      </c>
      <c r="W29" s="775">
        <f t="shared" si="14"/>
        <v>100</v>
      </c>
      <c r="X29" s="1813"/>
      <c r="Y29" s="3213"/>
      <c r="Z29" s="1814">
        <f t="shared" si="18"/>
        <v>111</v>
      </c>
      <c r="AA29" s="1811">
        <f t="shared" si="15"/>
        <v>1</v>
      </c>
      <c r="AB29" s="1811">
        <f t="shared" si="16"/>
        <v>1</v>
      </c>
      <c r="AC29" s="1811">
        <f t="shared" si="17"/>
        <v>1</v>
      </c>
    </row>
    <row r="30" spans="1:29" ht="15"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20"/>
      <c r="Q30" s="1810">
        <f t="shared" si="11"/>
        <v>111</v>
      </c>
      <c r="R30" s="774" t="s">
        <v>21</v>
      </c>
      <c r="S30" s="775">
        <f t="shared" si="12"/>
        <v>100</v>
      </c>
      <c r="T30" s="774" t="s">
        <v>21</v>
      </c>
      <c r="U30" s="775">
        <f t="shared" si="13"/>
        <v>100</v>
      </c>
      <c r="V30" s="774" t="s">
        <v>21</v>
      </c>
      <c r="W30" s="775">
        <f t="shared" si="14"/>
        <v>100</v>
      </c>
      <c r="X30" s="1813"/>
      <c r="Y30" s="3213"/>
      <c r="Z30" s="1814">
        <f t="shared" si="18"/>
        <v>111</v>
      </c>
      <c r="AA30" s="1811">
        <f t="shared" si="15"/>
        <v>1</v>
      </c>
      <c r="AB30" s="1811">
        <f t="shared" si="16"/>
        <v>1</v>
      </c>
      <c r="AC30" s="1811">
        <f t="shared" si="17"/>
        <v>1</v>
      </c>
    </row>
    <row r="31" spans="1:29" ht="15.75"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20"/>
      <c r="Q31" s="1810">
        <f t="shared" si="11"/>
        <v>111</v>
      </c>
      <c r="R31" s="774" t="s">
        <v>21</v>
      </c>
      <c r="S31" s="775">
        <f t="shared" si="12"/>
        <v>100</v>
      </c>
      <c r="T31" s="774" t="s">
        <v>21</v>
      </c>
      <c r="U31" s="775">
        <f t="shared" si="13"/>
        <v>100</v>
      </c>
      <c r="V31" s="774" t="s">
        <v>21</v>
      </c>
      <c r="W31" s="775">
        <f t="shared" si="14"/>
        <v>100</v>
      </c>
      <c r="X31" s="1813"/>
      <c r="Y31" s="3213"/>
      <c r="Z31" s="1814">
        <f t="shared" si="18"/>
        <v>111</v>
      </c>
      <c r="AA31" s="1811">
        <f t="shared" si="15"/>
        <v>1</v>
      </c>
      <c r="AB31" s="1811">
        <f t="shared" si="16"/>
        <v>1</v>
      </c>
      <c r="AC31" s="1811">
        <f t="shared" si="17"/>
        <v>1</v>
      </c>
    </row>
    <row r="32" spans="1:29" ht="15">
      <c r="A32" s="440" t="s">
        <v>2562</v>
      </c>
      <c r="B32" s="71" t="s">
        <v>2563</v>
      </c>
      <c r="C32" s="2615" t="s">
        <v>3069</v>
      </c>
      <c r="D32" s="467">
        <v>100</v>
      </c>
      <c r="E32" s="2616" t="s">
        <v>3069</v>
      </c>
      <c r="F32" s="461">
        <f>SUMIF(100:100,E32,101:101)-SUMIF(100:100,C32,101:101)+100</f>
        <v>100</v>
      </c>
      <c r="G32" s="2615" t="s">
        <v>3069</v>
      </c>
      <c r="H32" s="467">
        <f>SUMIF(100:100,G32,101:101)-SUMIF(100:100,C32,101:101)+100</f>
        <v>100</v>
      </c>
      <c r="I32" s="2616" t="s">
        <v>3070</v>
      </c>
      <c r="J32" s="435">
        <f>SUMIF(100:100,I32,101:101)-SUMIF(100:100,C32,101:101)+100</f>
        <v>100</v>
      </c>
      <c r="K32" s="426">
        <v>0</v>
      </c>
      <c r="L32" s="1140"/>
      <c r="M32" s="1131"/>
      <c r="N32" s="1131"/>
      <c r="O32" s="1131"/>
      <c r="P32" s="3214" t="s">
        <v>2564</v>
      </c>
      <c r="Q32" s="1810" t="str">
        <f t="shared" si="11"/>
        <v>建筑类型</v>
      </c>
      <c r="R32" s="774" t="s">
        <v>21</v>
      </c>
      <c r="S32" s="775">
        <f t="shared" si="12"/>
        <v>100</v>
      </c>
      <c r="T32" s="774" t="s">
        <v>21</v>
      </c>
      <c r="U32" s="775">
        <f t="shared" si="13"/>
        <v>100</v>
      </c>
      <c r="V32" s="774" t="s">
        <v>21</v>
      </c>
      <c r="W32" s="775">
        <f t="shared" si="14"/>
        <v>100</v>
      </c>
      <c r="X32" s="1813"/>
      <c r="Y32" s="3217" t="s">
        <v>2564</v>
      </c>
      <c r="Z32" s="1814" t="str">
        <f t="shared" si="18"/>
        <v>建筑类型</v>
      </c>
      <c r="AA32" s="1811">
        <f t="shared" si="15"/>
        <v>1</v>
      </c>
      <c r="AB32" s="1811">
        <f t="shared" si="16"/>
        <v>1</v>
      </c>
      <c r="AC32" s="1811">
        <f t="shared" si="17"/>
        <v>1</v>
      </c>
    </row>
    <row r="33" spans="1:29" s="471" customFormat="1" ht="15">
      <c r="A33" s="468"/>
      <c r="B33" s="422" t="s">
        <v>2565</v>
      </c>
      <c r="C33" s="469">
        <v>86971.4</v>
      </c>
      <c r="D33" s="136">
        <v>100</v>
      </c>
      <c r="E33" s="430">
        <v>112334</v>
      </c>
      <c r="F33" s="425">
        <f>LOOKUP(E33,103:103,104:104)-LOOKUP(C33,103:103,104:104)+100</f>
        <v>100</v>
      </c>
      <c r="G33" s="429">
        <v>69250</v>
      </c>
      <c r="H33" s="136">
        <f>LOOKUP(G33,103:103,104:104)-LOOKUP(C33,103:103,104:104)+100</f>
        <v>100</v>
      </c>
      <c r="I33" s="430">
        <v>165717</v>
      </c>
      <c r="J33" s="136">
        <f>LOOKUP(I33,103:103,104:104)-LOOKUP(C33,103:103,104:104)+100</f>
        <v>100</v>
      </c>
      <c r="K33" s="2599"/>
      <c r="L33" s="1138"/>
      <c r="M33" s="1141"/>
      <c r="N33" s="1141"/>
      <c r="O33" s="1141"/>
      <c r="P33" s="3215"/>
      <c r="Q33" s="776" t="str">
        <f t="shared" si="11"/>
        <v>项目建筑规模</v>
      </c>
      <c r="R33" s="777" t="s">
        <v>21</v>
      </c>
      <c r="S33" s="778">
        <f t="shared" si="12"/>
        <v>100</v>
      </c>
      <c r="T33" s="777" t="s">
        <v>21</v>
      </c>
      <c r="U33" s="778">
        <f t="shared" si="13"/>
        <v>100</v>
      </c>
      <c r="V33" s="777" t="s">
        <v>21</v>
      </c>
      <c r="W33" s="778">
        <f t="shared" si="14"/>
        <v>100</v>
      </c>
      <c r="X33" s="779"/>
      <c r="Y33" s="3217"/>
      <c r="Z33" s="780" t="str">
        <f t="shared" si="18"/>
        <v>项目建筑规模</v>
      </c>
      <c r="AA33" s="1811">
        <f t="shared" si="15"/>
        <v>1</v>
      </c>
      <c r="AB33" s="1811">
        <f t="shared" si="16"/>
        <v>1</v>
      </c>
      <c r="AC33" s="1811">
        <f t="shared" si="17"/>
        <v>1</v>
      </c>
    </row>
    <row r="34" spans="1:29" ht="15">
      <c r="A34" s="472"/>
      <c r="B34" s="422" t="s">
        <v>2566</v>
      </c>
      <c r="C34" s="2617" t="s">
        <v>3086</v>
      </c>
      <c r="D34" s="435">
        <v>100</v>
      </c>
      <c r="E34" s="2618" t="s">
        <v>3086</v>
      </c>
      <c r="F34" s="461">
        <f>SUMIF(105:105,E34,106:106)-SUMIF(105:105,C34,106:106)+100</f>
        <v>100</v>
      </c>
      <c r="G34" s="2617" t="s">
        <v>3086</v>
      </c>
      <c r="H34" s="435">
        <f>SUMIF(105:105,G34,106:106)-SUMIF(105:105,C34,106:106)+100</f>
        <v>100</v>
      </c>
      <c r="I34" s="2618" t="s">
        <v>3086</v>
      </c>
      <c r="J34" s="435">
        <f>SUMIF(105:105,I34,106:106)-SUMIF(105:105,C34,106:106)+100</f>
        <v>100</v>
      </c>
      <c r="K34" s="426"/>
      <c r="L34" s="1140"/>
      <c r="M34" s="1131"/>
      <c r="N34" s="1131"/>
      <c r="O34" s="1131"/>
      <c r="P34" s="3215"/>
      <c r="Q34" s="1810" t="str">
        <f t="shared" si="11"/>
        <v>建筑结构</v>
      </c>
      <c r="R34" s="774" t="s">
        <v>21</v>
      </c>
      <c r="S34" s="775">
        <f t="shared" si="12"/>
        <v>100</v>
      </c>
      <c r="T34" s="774" t="s">
        <v>21</v>
      </c>
      <c r="U34" s="775">
        <f t="shared" si="13"/>
        <v>100</v>
      </c>
      <c r="V34" s="774" t="s">
        <v>21</v>
      </c>
      <c r="W34" s="775">
        <f t="shared" si="14"/>
        <v>100</v>
      </c>
      <c r="X34" s="1813"/>
      <c r="Y34" s="3217"/>
      <c r="Z34" s="1814" t="str">
        <f t="shared" si="18"/>
        <v>建筑结构</v>
      </c>
      <c r="AA34" s="1811">
        <f t="shared" si="15"/>
        <v>1</v>
      </c>
      <c r="AB34" s="1811">
        <f t="shared" si="16"/>
        <v>1</v>
      </c>
      <c r="AC34" s="1811">
        <f t="shared" si="17"/>
        <v>1</v>
      </c>
    </row>
    <row r="35" spans="1:29" ht="15"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5"/>
      <c r="Q35" s="1810" t="str">
        <f t="shared" si="11"/>
        <v>建筑品质</v>
      </c>
      <c r="R35" s="774" t="s">
        <v>21</v>
      </c>
      <c r="S35" s="775">
        <f t="shared" si="12"/>
        <v>100</v>
      </c>
      <c r="T35" s="774" t="s">
        <v>21</v>
      </c>
      <c r="U35" s="775">
        <f t="shared" si="13"/>
        <v>100</v>
      </c>
      <c r="V35" s="774" t="s">
        <v>21</v>
      </c>
      <c r="W35" s="775">
        <f t="shared" si="14"/>
        <v>100</v>
      </c>
      <c r="X35" s="1813"/>
      <c r="Y35" s="3217"/>
      <c r="Z35" s="1814" t="str">
        <f t="shared" si="18"/>
        <v>建筑品质</v>
      </c>
      <c r="AA35" s="1811">
        <f t="shared" si="15"/>
        <v>1</v>
      </c>
      <c r="AB35" s="1811">
        <f t="shared" si="16"/>
        <v>1</v>
      </c>
      <c r="AC35" s="1811">
        <f t="shared" si="17"/>
        <v>1</v>
      </c>
    </row>
    <row r="36" spans="1:29" ht="15">
      <c r="A36" s="472"/>
      <c r="B36" s="422" t="s">
        <v>2568</v>
      </c>
      <c r="C36" s="2611" t="s">
        <v>3072</v>
      </c>
      <c r="D36" s="435">
        <v>100</v>
      </c>
      <c r="E36" s="2612" t="s">
        <v>3072</v>
      </c>
      <c r="F36" s="461">
        <f>SUMIF(109:109,E36,110:110)-SUMIF(109:109,C36,110:110)+100</f>
        <v>100</v>
      </c>
      <c r="G36" s="2611" t="s">
        <v>3072</v>
      </c>
      <c r="H36" s="435">
        <f>SUMIF(109:109,G36,110:110)-SUMIF(109:109,C36,110:110)+100</f>
        <v>100</v>
      </c>
      <c r="I36" s="2612" t="s">
        <v>3072</v>
      </c>
      <c r="J36" s="435">
        <f>SUMIF(109:109,I36,110:110)-SUMIF(109:109,C36,110:110)+100</f>
        <v>100</v>
      </c>
      <c r="K36" s="426"/>
      <c r="L36" s="1140"/>
      <c r="M36" s="1131"/>
      <c r="N36" s="1131"/>
      <c r="O36" s="1131"/>
      <c r="P36" s="3215"/>
      <c r="Q36" s="1810" t="str">
        <f t="shared" si="11"/>
        <v>公共部分装修</v>
      </c>
      <c r="R36" s="774" t="s">
        <v>21</v>
      </c>
      <c r="S36" s="775">
        <f t="shared" si="12"/>
        <v>100</v>
      </c>
      <c r="T36" s="774" t="s">
        <v>21</v>
      </c>
      <c r="U36" s="775">
        <f t="shared" si="13"/>
        <v>100</v>
      </c>
      <c r="V36" s="774" t="s">
        <v>21</v>
      </c>
      <c r="W36" s="775">
        <f t="shared" si="14"/>
        <v>100</v>
      </c>
      <c r="X36" s="1813"/>
      <c r="Y36" s="3217"/>
      <c r="Z36" s="1814" t="str">
        <f t="shared" si="18"/>
        <v>公共部分装修</v>
      </c>
      <c r="AA36" s="1811">
        <f t="shared" si="15"/>
        <v>1</v>
      </c>
      <c r="AB36" s="1811">
        <f t="shared" si="16"/>
        <v>1</v>
      </c>
      <c r="AC36" s="1811">
        <f t="shared" si="17"/>
        <v>1</v>
      </c>
    </row>
    <row r="37" spans="1:29" s="117" customFormat="1" ht="15"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15"/>
      <c r="Q37" s="1795" t="str">
        <f t="shared" si="11"/>
        <v>成新度</v>
      </c>
      <c r="R37" s="770" t="s">
        <v>21</v>
      </c>
      <c r="S37" s="771">
        <f t="shared" si="12"/>
        <v>100</v>
      </c>
      <c r="T37" s="770" t="s">
        <v>21</v>
      </c>
      <c r="U37" s="771">
        <f t="shared" si="13"/>
        <v>100</v>
      </c>
      <c r="V37" s="770" t="s">
        <v>21</v>
      </c>
      <c r="W37" s="771">
        <f t="shared" si="14"/>
        <v>100</v>
      </c>
      <c r="X37" s="772"/>
      <c r="Y37" s="3217"/>
      <c r="Z37" s="55" t="str">
        <f t="shared" si="18"/>
        <v>成新度</v>
      </c>
      <c r="AA37" s="773">
        <f t="shared" si="15"/>
        <v>1</v>
      </c>
      <c r="AB37" s="773">
        <f t="shared" si="16"/>
        <v>1</v>
      </c>
      <c r="AC37" s="773">
        <f t="shared" si="17"/>
        <v>1</v>
      </c>
    </row>
    <row r="38" spans="1:29" ht="15">
      <c r="A38" s="472"/>
      <c r="B38" s="422" t="s">
        <v>2570</v>
      </c>
      <c r="C38" s="2611" t="s">
        <v>3095</v>
      </c>
      <c r="D38" s="435">
        <v>100</v>
      </c>
      <c r="E38" s="2612" t="s">
        <v>3095</v>
      </c>
      <c r="F38" s="461">
        <f>SUMIF(114:114,E38,115:115)-SUMIF(114:114,C38,115:115)+100</f>
        <v>100</v>
      </c>
      <c r="G38" s="2611" t="s">
        <v>3095</v>
      </c>
      <c r="H38" s="435">
        <f>SUMIF(114:114,G38,115:115)-SUMIF(114:114,C38,115:115)+100</f>
        <v>100</v>
      </c>
      <c r="I38" s="2612" t="s">
        <v>3095</v>
      </c>
      <c r="J38" s="435">
        <f>SUMIF(114:114,I38,115:115)-SUMIF(114:114,C38,115:115)+100</f>
        <v>100</v>
      </c>
      <c r="K38" s="426"/>
      <c r="L38" s="1140"/>
      <c r="M38" s="1131"/>
      <c r="N38" s="1131"/>
      <c r="O38" s="1131"/>
      <c r="P38" s="3215" t="s">
        <v>2564</v>
      </c>
      <c r="Q38" s="1810" t="str">
        <f t="shared" si="11"/>
        <v>物业管理</v>
      </c>
      <c r="R38" s="774" t="s">
        <v>21</v>
      </c>
      <c r="S38" s="775">
        <f t="shared" si="12"/>
        <v>100</v>
      </c>
      <c r="T38" s="774" t="s">
        <v>21</v>
      </c>
      <c r="U38" s="775">
        <f t="shared" si="13"/>
        <v>100</v>
      </c>
      <c r="V38" s="774" t="s">
        <v>21</v>
      </c>
      <c r="W38" s="775">
        <f t="shared" si="14"/>
        <v>100</v>
      </c>
      <c r="X38" s="1813"/>
      <c r="Y38" s="3217" t="s">
        <v>2564</v>
      </c>
      <c r="Z38" s="1814" t="str">
        <f t="shared" si="18"/>
        <v>物业管理</v>
      </c>
      <c r="AA38" s="1811">
        <f t="shared" si="15"/>
        <v>1</v>
      </c>
      <c r="AB38" s="1811">
        <f t="shared" si="16"/>
        <v>1</v>
      </c>
      <c r="AC38" s="1811">
        <f t="shared" si="17"/>
        <v>1</v>
      </c>
    </row>
    <row r="39" spans="1:29" ht="15">
      <c r="A39" s="472"/>
      <c r="B39" s="422" t="s">
        <v>2571</v>
      </c>
      <c r="C39" s="2611" t="s">
        <v>3068</v>
      </c>
      <c r="D39" s="435">
        <v>100</v>
      </c>
      <c r="E39" s="2612" t="s">
        <v>3068</v>
      </c>
      <c r="F39" s="461">
        <f>SUMIF(116:116,E39,117:117)-SUMIF(116:116,C39,117:117)+100</f>
        <v>100</v>
      </c>
      <c r="G39" s="2611" t="s">
        <v>3068</v>
      </c>
      <c r="H39" s="435">
        <f>SUMIF(116:116,G39,117:117)-SUMIF(116:116,C39,117:117)+100</f>
        <v>100</v>
      </c>
      <c r="I39" s="2612" t="s">
        <v>3068</v>
      </c>
      <c r="J39" s="435">
        <f>SUMIF(116:116,I39,117:117)-SUMIF(116:116,C39,117:117)+100</f>
        <v>100</v>
      </c>
      <c r="K39" s="426"/>
      <c r="L39" s="1140"/>
      <c r="M39" s="1131"/>
      <c r="N39" s="1131"/>
      <c r="O39" s="1131"/>
      <c r="P39" s="3215"/>
      <c r="Q39" s="1810" t="str">
        <f t="shared" si="11"/>
        <v>市政基础设施</v>
      </c>
      <c r="R39" s="774" t="s">
        <v>21</v>
      </c>
      <c r="S39" s="775">
        <f t="shared" si="12"/>
        <v>100</v>
      </c>
      <c r="T39" s="774" t="s">
        <v>21</v>
      </c>
      <c r="U39" s="775">
        <f t="shared" si="13"/>
        <v>100</v>
      </c>
      <c r="V39" s="774" t="s">
        <v>21</v>
      </c>
      <c r="W39" s="775">
        <f t="shared" si="14"/>
        <v>100</v>
      </c>
      <c r="X39" s="1813"/>
      <c r="Y39" s="3217"/>
      <c r="Z39" s="1814" t="str">
        <f t="shared" si="18"/>
        <v>市政基础设施</v>
      </c>
      <c r="AA39" s="1811">
        <f t="shared" si="15"/>
        <v>1</v>
      </c>
      <c r="AB39" s="1811">
        <f t="shared" si="16"/>
        <v>1</v>
      </c>
      <c r="AC39" s="1811">
        <f t="shared" si="17"/>
        <v>1</v>
      </c>
    </row>
    <row r="40" spans="1:29" ht="15">
      <c r="A40" s="472"/>
      <c r="B40" s="422" t="s">
        <v>2572</v>
      </c>
      <c r="C40" s="2611" t="s">
        <v>3098</v>
      </c>
      <c r="D40" s="435">
        <v>100</v>
      </c>
      <c r="E40" s="2612" t="s">
        <v>3098</v>
      </c>
      <c r="F40" s="461">
        <f>SUMIF(118:118,E40,119:119)-SUMIF(118:118,C40,119:119)+100</f>
        <v>100</v>
      </c>
      <c r="G40" s="2611" t="s">
        <v>3098</v>
      </c>
      <c r="H40" s="435">
        <f>SUMIF(118:118,G40,119:119)-SUMIF(118:118,C40,119:119)+100</f>
        <v>100</v>
      </c>
      <c r="I40" s="2612" t="s">
        <v>3098</v>
      </c>
      <c r="J40" s="435">
        <f>SUMIF(118:118,I40,119:119)-SUMIF(118:118,C40,119:119)+100</f>
        <v>100</v>
      </c>
      <c r="K40" s="426"/>
      <c r="L40" s="1140"/>
      <c r="M40" s="1131"/>
      <c r="N40" s="1131"/>
      <c r="O40" s="1131"/>
      <c r="P40" s="3215"/>
      <c r="Q40" s="1810" t="str">
        <f t="shared" si="11"/>
        <v>房型</v>
      </c>
      <c r="R40" s="774" t="s">
        <v>21</v>
      </c>
      <c r="S40" s="775">
        <f t="shared" si="12"/>
        <v>100</v>
      </c>
      <c r="T40" s="774" t="s">
        <v>21</v>
      </c>
      <c r="U40" s="775">
        <f t="shared" si="13"/>
        <v>100</v>
      </c>
      <c r="V40" s="774" t="s">
        <v>21</v>
      </c>
      <c r="W40" s="775">
        <f t="shared" si="14"/>
        <v>100</v>
      </c>
      <c r="X40" s="1813"/>
      <c r="Y40" s="3217"/>
      <c r="Z40" s="1814" t="str">
        <f t="shared" si="18"/>
        <v>房型</v>
      </c>
      <c r="AA40" s="1811">
        <f t="shared" si="15"/>
        <v>1</v>
      </c>
      <c r="AB40" s="1811">
        <f t="shared" si="16"/>
        <v>1</v>
      </c>
      <c r="AC40" s="1811">
        <f t="shared" si="17"/>
        <v>1</v>
      </c>
    </row>
    <row r="41" spans="1:29" s="471" customFormat="1" ht="28.5">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1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1">
        <f t="shared" si="15"/>
        <v>1</v>
      </c>
      <c r="AB41" s="1811">
        <f t="shared" si="16"/>
        <v>1</v>
      </c>
      <c r="AC41" s="1811">
        <f t="shared" si="17"/>
        <v>1</v>
      </c>
    </row>
    <row r="42" spans="1:29" ht="15">
      <c r="A42" s="472"/>
      <c r="B42" s="422" t="s">
        <v>2574</v>
      </c>
      <c r="C42" s="2611" t="s">
        <v>3075</v>
      </c>
      <c r="D42" s="435">
        <v>100</v>
      </c>
      <c r="E42" s="2612" t="s">
        <v>3075</v>
      </c>
      <c r="F42" s="461">
        <f>SUMIF(122:122,E42,123:123)-SUMIF(122:122,C42,123:123)+100</f>
        <v>100</v>
      </c>
      <c r="G42" s="2611" t="s">
        <v>3153</v>
      </c>
      <c r="H42" s="435">
        <f>SUMIF(122:122,G42,123:123)-SUMIF(122:122,C42,123:123)+100</f>
        <v>92</v>
      </c>
      <c r="I42" s="2612" t="s">
        <v>3073</v>
      </c>
      <c r="J42" s="435">
        <f>SUMIF(122:122,I42,123:123)-SUMIF(122:122,C42,123:123)+100</f>
        <v>96</v>
      </c>
      <c r="K42" s="2979">
        <v>4</v>
      </c>
      <c r="L42" s="1140"/>
      <c r="M42" s="1131"/>
      <c r="N42" s="1131"/>
      <c r="O42" s="1131"/>
      <c r="P42" s="3215"/>
      <c r="Q42" s="1810" t="str">
        <f t="shared" si="11"/>
        <v>内部装修</v>
      </c>
      <c r="R42" s="774" t="s">
        <v>21</v>
      </c>
      <c r="S42" s="775">
        <f t="shared" si="12"/>
        <v>100</v>
      </c>
      <c r="T42" s="774" t="s">
        <v>21</v>
      </c>
      <c r="U42" s="775">
        <f t="shared" si="13"/>
        <v>92</v>
      </c>
      <c r="V42" s="774" t="s">
        <v>21</v>
      </c>
      <c r="W42" s="775">
        <f t="shared" si="14"/>
        <v>96</v>
      </c>
      <c r="X42" s="1813"/>
      <c r="Y42" s="3217"/>
      <c r="Z42" s="1814" t="str">
        <f t="shared" si="18"/>
        <v>内部装修</v>
      </c>
      <c r="AA42" s="1811">
        <f t="shared" si="15"/>
        <v>1</v>
      </c>
      <c r="AB42" s="1811">
        <f t="shared" si="16"/>
        <v>1.0869565217391304</v>
      </c>
      <c r="AC42" s="1811">
        <f t="shared" si="17"/>
        <v>1.0416666666666667</v>
      </c>
    </row>
    <row r="43" spans="1:29" ht="15"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5"/>
      <c r="Q43" s="1810" t="str">
        <f t="shared" si="11"/>
        <v>内部装修维护情况</v>
      </c>
      <c r="R43" s="774" t="s">
        <v>21</v>
      </c>
      <c r="S43" s="775">
        <f t="shared" si="12"/>
        <v>100</v>
      </c>
      <c r="T43" s="774" t="s">
        <v>21</v>
      </c>
      <c r="U43" s="775">
        <f t="shared" si="13"/>
        <v>100</v>
      </c>
      <c r="V43" s="774" t="s">
        <v>21</v>
      </c>
      <c r="W43" s="775">
        <f t="shared" si="14"/>
        <v>100</v>
      </c>
      <c r="X43" s="1813"/>
      <c r="Y43" s="3217"/>
      <c r="Z43" s="1814" t="str">
        <f t="shared" si="18"/>
        <v>内部装修维护情况</v>
      </c>
      <c r="AA43" s="1811">
        <f t="shared" si="15"/>
        <v>1</v>
      </c>
      <c r="AB43" s="1811">
        <f t="shared" si="16"/>
        <v>1</v>
      </c>
      <c r="AC43" s="1811">
        <f t="shared" si="17"/>
        <v>1</v>
      </c>
    </row>
    <row r="44" spans="1:29" s="117" customFormat="1" ht="15">
      <c r="A44" s="473"/>
      <c r="B44" s="2957" t="s">
        <v>3078</v>
      </c>
      <c r="C44" s="469">
        <v>2021.9</v>
      </c>
      <c r="D44" s="136">
        <v>100</v>
      </c>
      <c r="E44" s="2965">
        <f>F126</f>
        <v>2022.1</v>
      </c>
      <c r="F44" s="425">
        <f>SUMIF(126:126,E44,127:127)-SUMIF(126:126,C44,127:127)+100</f>
        <v>97.399999999999991</v>
      </c>
      <c r="G44" s="2965">
        <f>I44</f>
        <v>2020.12</v>
      </c>
      <c r="H44" s="136">
        <f>SUMIF(126:126,G44,127:127)-SUMIF(126:126,C44,127:127)+100</f>
        <v>101.8</v>
      </c>
      <c r="I44" s="469">
        <f>D126</f>
        <v>2020.12</v>
      </c>
      <c r="J44" s="136">
        <f>SUMIF(126:126,I44,127:127)-SUMIF(126:126,C44,127:127)+100</f>
        <v>101.8</v>
      </c>
      <c r="K44" s="2599"/>
      <c r="L44" s="1132"/>
      <c r="M44" s="1133"/>
      <c r="N44" s="1133"/>
      <c r="O44" s="1133"/>
      <c r="P44" s="3215"/>
      <c r="Q44" s="1795" t="str">
        <f t="shared" si="11"/>
        <v>交房时间</v>
      </c>
      <c r="R44" s="770" t="s">
        <v>21</v>
      </c>
      <c r="S44" s="771">
        <f t="shared" si="12"/>
        <v>97.399999999999991</v>
      </c>
      <c r="T44" s="770" t="s">
        <v>21</v>
      </c>
      <c r="U44" s="771">
        <f t="shared" si="13"/>
        <v>101.8</v>
      </c>
      <c r="V44" s="770" t="s">
        <v>21</v>
      </c>
      <c r="W44" s="771">
        <f t="shared" si="14"/>
        <v>101.8</v>
      </c>
      <c r="X44" s="772"/>
      <c r="Y44" s="3217"/>
      <c r="Z44" s="55" t="str">
        <f t="shared" si="18"/>
        <v>交房时间</v>
      </c>
      <c r="AA44" s="773">
        <f t="shared" si="15"/>
        <v>1.0266940451745381</v>
      </c>
      <c r="AB44" s="773">
        <f t="shared" si="16"/>
        <v>0.98231827111984282</v>
      </c>
      <c r="AC44" s="773">
        <f t="shared" si="17"/>
        <v>0.98231827111984282</v>
      </c>
    </row>
    <row r="45" spans="1:29" ht="15.75" thickBot="1">
      <c r="A45" s="472"/>
      <c r="B45" s="2957" t="s">
        <v>3088</v>
      </c>
      <c r="C45" s="434" t="str">
        <f>C128</f>
        <v>一梯多户</v>
      </c>
      <c r="D45" s="435">
        <v>100</v>
      </c>
      <c r="E45" s="434" t="str">
        <f>C45</f>
        <v>一梯多户</v>
      </c>
      <c r="F45" s="461">
        <f>SUMIF(128:128,E45,129:129)-SUMIF(128:128,C45,129:129)+100</f>
        <v>100</v>
      </c>
      <c r="G45" s="2967" t="s">
        <v>3105</v>
      </c>
      <c r="H45" s="435">
        <f>SUMIF(128:128,G45,129:129)-SUMIF(128:128,C45,129:129)+100</f>
        <v>100</v>
      </c>
      <c r="I45" s="434" t="str">
        <f>C45</f>
        <v>一梯多户</v>
      </c>
      <c r="J45" s="435">
        <f>SUMIF(128:128,I45,129:129)-SUMIF(128:128,C45,129:129)+100</f>
        <v>100</v>
      </c>
      <c r="K45" s="2599"/>
      <c r="L45" s="1140"/>
      <c r="M45" s="1131"/>
      <c r="N45" s="1131"/>
      <c r="O45" s="1131"/>
      <c r="P45" s="3215"/>
      <c r="Q45" s="1810" t="str">
        <f t="shared" si="11"/>
        <v>梯户比</v>
      </c>
      <c r="R45" s="774" t="s">
        <v>21</v>
      </c>
      <c r="S45" s="775">
        <f t="shared" si="12"/>
        <v>100</v>
      </c>
      <c r="T45" s="774" t="s">
        <v>21</v>
      </c>
      <c r="U45" s="775">
        <f t="shared" si="13"/>
        <v>100</v>
      </c>
      <c r="V45" s="774" t="s">
        <v>21</v>
      </c>
      <c r="W45" s="775">
        <f t="shared" si="14"/>
        <v>100</v>
      </c>
      <c r="X45" s="1813"/>
      <c r="Y45" s="3217"/>
      <c r="Z45" s="1814" t="str">
        <f t="shared" si="18"/>
        <v>梯户比</v>
      </c>
      <c r="AA45" s="1811">
        <f t="shared" si="15"/>
        <v>1</v>
      </c>
      <c r="AB45" s="1811">
        <f t="shared" si="16"/>
        <v>1</v>
      </c>
      <c r="AC45" s="1811">
        <f t="shared" si="17"/>
        <v>1</v>
      </c>
    </row>
    <row r="46" spans="1:29" ht="15.75"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6"/>
      <c r="Q46" s="1810">
        <f t="shared" si="11"/>
        <v>111</v>
      </c>
      <c r="R46" s="774" t="s">
        <v>20</v>
      </c>
      <c r="S46" s="775">
        <f t="shared" si="12"/>
        <v>100</v>
      </c>
      <c r="T46" s="774" t="s">
        <v>20</v>
      </c>
      <c r="U46" s="775">
        <f t="shared" si="13"/>
        <v>100</v>
      </c>
      <c r="V46" s="774" t="s">
        <v>20</v>
      </c>
      <c r="W46" s="775">
        <f t="shared" si="14"/>
        <v>100</v>
      </c>
      <c r="X46" s="1813"/>
      <c r="Y46" s="3218"/>
      <c r="Z46" s="1814">
        <f t="shared" si="18"/>
        <v>111</v>
      </c>
      <c r="AA46" s="1811">
        <f t="shared" si="15"/>
        <v>1</v>
      </c>
      <c r="AB46" s="1811">
        <f t="shared" si="16"/>
        <v>1</v>
      </c>
      <c r="AC46" s="1811">
        <f t="shared" si="17"/>
        <v>1</v>
      </c>
    </row>
    <row r="47" spans="1:29" ht="15">
      <c r="A47" s="479" t="s">
        <v>2576</v>
      </c>
      <c r="B47" s="480"/>
      <c r="C47" s="1407" t="s">
        <v>19</v>
      </c>
      <c r="D47" s="1408"/>
      <c r="E47" s="1409">
        <v>44766</v>
      </c>
      <c r="F47" s="1410"/>
      <c r="G47" s="2983">
        <v>50539</v>
      </c>
      <c r="H47" s="1412"/>
      <c r="I47" s="1409">
        <v>51754</v>
      </c>
      <c r="J47" s="1412"/>
      <c r="K47" s="2619"/>
      <c r="L47" s="1143"/>
      <c r="M47" s="1144"/>
      <c r="N47" s="1131"/>
      <c r="O47" s="1144"/>
      <c r="P47" s="3210" t="str">
        <f>A47</f>
        <v>成交单价（元/平方米）</v>
      </c>
      <c r="Q47" s="3210"/>
      <c r="R47" s="3211">
        <f>E47</f>
        <v>44766</v>
      </c>
      <c r="S47" s="3211"/>
      <c r="T47" s="3211">
        <f>G47</f>
        <v>50539</v>
      </c>
      <c r="U47" s="3211"/>
      <c r="V47" s="3211">
        <f>I47</f>
        <v>51754</v>
      </c>
      <c r="W47" s="3211"/>
      <c r="X47" s="759"/>
      <c r="Y47" s="781"/>
      <c r="Z47" s="759"/>
      <c r="AA47" s="759"/>
      <c r="AB47" s="759"/>
      <c r="AC47" s="759"/>
    </row>
    <row r="48" spans="1:29" ht="15.75" thickBot="1">
      <c r="A48" s="486" t="s">
        <v>2577</v>
      </c>
      <c r="B48" s="487"/>
      <c r="C48" s="1413">
        <f>R49</f>
        <v>52092</v>
      </c>
      <c r="D48" s="1414"/>
      <c r="E48" s="1415">
        <f>R48</f>
        <v>49357</v>
      </c>
      <c r="F48" s="1415"/>
      <c r="G48" s="1413">
        <f>T48</f>
        <v>53962</v>
      </c>
      <c r="H48" s="1414"/>
      <c r="I48" s="1415">
        <f>V48</f>
        <v>52957</v>
      </c>
      <c r="J48" s="1414"/>
      <c r="K48" s="2620"/>
      <c r="L48" s="1143"/>
      <c r="M48" s="1144"/>
      <c r="N48" s="1144"/>
      <c r="O48" s="1144"/>
      <c r="P48" s="3210" t="str">
        <f>A48</f>
        <v>比较价值（元/平方米）</v>
      </c>
      <c r="Q48" s="3210"/>
      <c r="R48" s="3211">
        <f>IF(F1="售价",ROUND(PRODUCT(R47,AA7:AA46),0),ROUND(PRODUCT(R47,AA7:AA46),1))</f>
        <v>49357</v>
      </c>
      <c r="S48" s="3211"/>
      <c r="T48" s="3211">
        <f>IF(F1="售价",ROUND(PRODUCT(T47,AB7:AB46),0),ROUND(PRODUCT(T47,AB7:AB46),1))</f>
        <v>53962</v>
      </c>
      <c r="U48" s="3211"/>
      <c r="V48" s="3211">
        <f>IF(F1="售价",ROUND(PRODUCT(V47,AC7:AC46),0),ROUND(PRODUCT(V47,AC7:AC46),1))</f>
        <v>52957</v>
      </c>
      <c r="W48" s="3211"/>
      <c r="X48" s="759"/>
      <c r="Y48" s="759"/>
      <c r="Z48" s="759"/>
      <c r="AA48" s="759"/>
      <c r="AB48" s="759"/>
      <c r="AC48" s="759"/>
    </row>
    <row r="49" spans="1:29" ht="15.75" thickBot="1">
      <c r="A49" s="492" t="s">
        <v>3124</v>
      </c>
      <c r="B49" s="493"/>
      <c r="C49" s="1416">
        <f>R49</f>
        <v>52092</v>
      </c>
      <c r="D49" s="1417"/>
      <c r="E49" s="1417"/>
      <c r="F49" s="1417"/>
      <c r="G49" s="1417"/>
      <c r="H49" s="1417"/>
      <c r="I49" s="1417"/>
      <c r="J49" s="1417"/>
      <c r="K49" s="2621"/>
      <c r="L49" s="1143"/>
      <c r="M49" s="1144"/>
      <c r="N49" s="1144"/>
      <c r="O49" s="1144"/>
      <c r="P49" s="3207" t="str">
        <f>A49</f>
        <v>估价对象住宅用房的比较价值（楼面单价，元/平方米）</v>
      </c>
      <c r="Q49" s="3208"/>
      <c r="R49" s="3209">
        <f>IF(F1="售价",ROUND(AVERAGE(R48:V48),0),ROUND(AVERAGE(R48:V48),1))</f>
        <v>52092</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0.10255551087879189</v>
      </c>
      <c r="F52" s="500" t="str">
        <f>IF(OR(E52&gt;=0.3,E52&lt;=-0.3),"超过30%","")</f>
        <v/>
      </c>
      <c r="G52" s="499">
        <f>IF(G47&lt;G48,G48/G47-1,G47/G48-1)</f>
        <v>6.7729871980054979E-2</v>
      </c>
      <c r="H52" s="500" t="str">
        <f>IF(OR(G52&gt;=0.3,G52&lt;=-0.3),"超过30%","")</f>
        <v/>
      </c>
      <c r="I52" s="499">
        <f>IF(I47&lt;I48,I48/I47-1,I47/I48-1)</f>
        <v>2.3244580129072157E-2</v>
      </c>
      <c r="J52" s="500" t="str">
        <f>IF(OR(I52&gt;=0.3,I52&lt;=-0.3),"超过30%","")</f>
        <v/>
      </c>
      <c r="K52" s="1105"/>
      <c r="L52" s="1106"/>
      <c r="M52" s="1144"/>
      <c r="N52" s="1144"/>
      <c r="O52" s="1144"/>
    </row>
    <row r="53" spans="1:29" ht="13.5" customHeight="1">
      <c r="A53" s="1144"/>
      <c r="B53" s="1144"/>
      <c r="C53" s="497" t="s">
        <v>2579</v>
      </c>
      <c r="D53" s="501"/>
      <c r="E53" s="499">
        <f>IF(E48&lt;G48,G48/E48-1,E48/G48-1)</f>
        <v>9.3299835889539384E-2</v>
      </c>
      <c r="F53" s="500" t="str">
        <f>IF(OR(E53&gt;=0.2,E53&lt;=-0.2),"超过20%","")</f>
        <v/>
      </c>
      <c r="G53" s="499">
        <f>IF(G48&lt;I48,I48/G48-1,G48/I48-1)</f>
        <v>1.8977661121287071E-2</v>
      </c>
      <c r="H53" s="500" t="str">
        <f>IF(OR(G53&gt;=0.2,G53&lt;=-0.2),"超过20%","")</f>
        <v/>
      </c>
      <c r="I53" s="499">
        <f>IF(I48&lt;E48,E48/I48-1,I48/E48-1)</f>
        <v>7.2937982454363004E-2</v>
      </c>
      <c r="J53" s="500" t="str">
        <f>IF(OR(I53&gt;=0.2,I53&lt;=-0.2),"超过20%","")</f>
        <v/>
      </c>
      <c r="K53" s="1105"/>
      <c r="L53" s="1106"/>
      <c r="M53" s="1144"/>
      <c r="N53" s="1144"/>
      <c r="O53" s="1144"/>
      <c r="Q53" s="403">
        <f>R48/R47</f>
        <v>1.1025555108787919</v>
      </c>
    </row>
    <row r="54" spans="1:29" s="502" customFormat="1" ht="13.5" customHeight="1">
      <c r="A54" s="1145"/>
      <c r="B54" s="1145"/>
      <c r="C54" s="497" t="s">
        <v>2580</v>
      </c>
      <c r="D54" s="501"/>
      <c r="E54" s="499">
        <f>IF(E47&lt;G47,G47/E47-1,E47/G47-1)</f>
        <v>0.12895947817540088</v>
      </c>
      <c r="F54" s="500" t="str">
        <f>IF(OR(E54&gt;=0.3,E54&lt;=-0.3),"超过30%","")</f>
        <v/>
      </c>
      <c r="G54" s="499">
        <f>IF(G47&lt;I47,I47/G47-1,G47/I47-1)</f>
        <v>2.4040839747521803E-2</v>
      </c>
      <c r="H54" s="500" t="str">
        <f>IF(OR(G54&gt;=0.3,G54&lt;=-0.3),"超过30%","")</f>
        <v/>
      </c>
      <c r="I54" s="499">
        <f>IF(I47&lt;E47,E47/I47-1,I47/E47-1)</f>
        <v>0.15610061207166148</v>
      </c>
      <c r="J54" s="500" t="str">
        <f>IF(OR(I54&gt;=0.3,I54&lt;=-0.3),"超过30%","")</f>
        <v/>
      </c>
      <c r="K54" s="1148"/>
      <c r="L54" s="1149"/>
      <c r="M54" s="1145"/>
      <c r="N54" s="1145"/>
      <c r="O54" s="1145"/>
      <c r="P54" s="2623"/>
      <c r="Q54" s="502">
        <f>T48/T47</f>
        <v>1.067729871980055</v>
      </c>
    </row>
    <row r="55" spans="1:29" s="502" customFormat="1">
      <c r="A55" s="1145"/>
      <c r="B55" s="1146"/>
      <c r="C55" s="1150"/>
      <c r="D55" s="1145"/>
      <c r="E55" s="1145"/>
      <c r="F55" s="1145"/>
      <c r="G55" s="1145"/>
      <c r="H55" s="1145"/>
      <c r="I55" s="1145"/>
      <c r="J55" s="1145"/>
      <c r="K55" s="1148"/>
      <c r="L55" s="1149"/>
      <c r="M55" s="1145"/>
      <c r="N55" s="1145"/>
      <c r="O55" s="1145"/>
      <c r="P55" s="2623"/>
      <c r="Q55" s="502">
        <f>V48/V47</f>
        <v>1.0232445801290722</v>
      </c>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2020-1</v>
      </c>
      <c r="D58" s="1575">
        <f>EDATE(C58,-1)</f>
        <v>43800</v>
      </c>
      <c r="E58" s="1575">
        <f>EDATE(D58,-1)</f>
        <v>43770</v>
      </c>
      <c r="F58" s="1575">
        <f t="shared" ref="F58:O58" si="19">EDATE(E58,-1)</f>
        <v>43739</v>
      </c>
      <c r="G58" s="1575">
        <f t="shared" si="19"/>
        <v>43709</v>
      </c>
      <c r="H58" s="1575">
        <f t="shared" si="19"/>
        <v>43678</v>
      </c>
      <c r="I58" s="1575">
        <f t="shared" si="19"/>
        <v>43647</v>
      </c>
      <c r="J58" s="1575">
        <f t="shared" si="19"/>
        <v>43617</v>
      </c>
      <c r="K58" s="1575">
        <f t="shared" si="19"/>
        <v>43586</v>
      </c>
      <c r="L58" s="1575">
        <f t="shared" si="19"/>
        <v>43556</v>
      </c>
      <c r="M58" s="1575">
        <f t="shared" si="19"/>
        <v>43525</v>
      </c>
      <c r="N58" s="1575">
        <f t="shared" si="19"/>
        <v>43497</v>
      </c>
      <c r="O58" s="1575">
        <f t="shared" si="19"/>
        <v>43466</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2978" t="s">
        <v>3120</v>
      </c>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2553</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2557</v>
      </c>
      <c r="C67" s="547" t="str">
        <f>C68&amp;"（含）"&amp;"-"&amp;D68</f>
        <v>0（含）-2.1</v>
      </c>
      <c r="D67" s="547" t="str">
        <f t="shared" ref="D67:L67" si="21">D68&amp;"（含）"&amp;"-"&amp;E68</f>
        <v>2.1（含）-3</v>
      </c>
      <c r="E67" s="547" t="str">
        <f t="shared" si="21"/>
        <v>3（含）-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v>0</v>
      </c>
      <c r="D68" s="549">
        <v>2.1</v>
      </c>
      <c r="E68" s="549">
        <v>3</v>
      </c>
      <c r="F68" s="549"/>
      <c r="G68" s="549"/>
      <c r="H68" s="549"/>
      <c r="I68" s="549"/>
      <c r="J68" s="549"/>
      <c r="K68" s="550"/>
      <c r="L68" s="551"/>
      <c r="M68" s="552"/>
      <c r="N68" s="1152"/>
      <c r="O68" s="1152"/>
      <c r="P68" s="2628"/>
      <c r="Q68" s="504"/>
    </row>
    <row r="69" spans="1:17" ht="15.75"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2609</v>
      </c>
      <c r="C88" s="2956" t="s">
        <v>3090</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27.75" thickTop="1">
      <c r="A90" s="553"/>
      <c r="B90" s="538" t="str">
        <f>B27</f>
        <v>临路状况</v>
      </c>
      <c r="C90" s="2956" t="s">
        <v>3092</v>
      </c>
      <c r="D90" s="2956" t="s">
        <v>3093</v>
      </c>
      <c r="E90" s="2956" t="s">
        <v>3123</v>
      </c>
      <c r="F90" s="554"/>
      <c r="G90" s="554"/>
      <c r="H90" s="555"/>
      <c r="I90" s="555"/>
      <c r="J90" s="555"/>
      <c r="K90" s="555"/>
      <c r="L90" s="556"/>
      <c r="M90" s="557"/>
      <c r="N90" s="1154"/>
      <c r="O90" s="1154"/>
      <c r="P90" s="2629"/>
      <c r="Q90" s="559"/>
    </row>
    <row r="91" spans="1:17" s="471" customFormat="1" ht="15.75" thickBot="1">
      <c r="A91" s="553"/>
      <c r="B91" s="543"/>
      <c r="C91" s="560">
        <v>100</v>
      </c>
      <c r="D91" s="560">
        <v>100</v>
      </c>
      <c r="E91" s="560">
        <v>97</v>
      </c>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2562</v>
      </c>
      <c r="B100" s="528" t="s">
        <v>2610</v>
      </c>
      <c r="C100" s="2955" t="s">
        <v>3103</v>
      </c>
      <c r="D100" s="2955" t="s">
        <v>3104</v>
      </c>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2611</v>
      </c>
      <c r="C102" s="578" t="str">
        <f>C103&amp;"(含)"&amp;"-"&amp;D103</f>
        <v>50000(含)-12000</v>
      </c>
      <c r="D102" s="578" t="str">
        <f t="shared" ref="D102:L102" si="27">D103&amp;"(含)"&amp;"-"&amp;E103</f>
        <v>12000(含)-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50000</v>
      </c>
      <c r="D103" s="595">
        <v>12000</v>
      </c>
      <c r="E103" s="595"/>
      <c r="F103" s="595"/>
      <c r="G103" s="595"/>
      <c r="H103" s="595"/>
      <c r="I103" s="595"/>
      <c r="J103" s="596"/>
      <c r="K103" s="596"/>
      <c r="L103" s="597"/>
      <c r="M103" s="598"/>
      <c r="N103" s="1154"/>
      <c r="O103" s="1154"/>
      <c r="P103" s="2629"/>
      <c r="Q103" s="559"/>
    </row>
    <row r="104" spans="1:17" s="471" customFormat="1" ht="15.75" thickBot="1">
      <c r="A104" s="553"/>
      <c r="B104" s="543"/>
      <c r="C104" s="560">
        <v>100</v>
      </c>
      <c r="D104" s="536"/>
      <c r="E104" s="536"/>
      <c r="F104" s="536"/>
      <c r="G104" s="536"/>
      <c r="H104" s="536"/>
      <c r="I104" s="536"/>
      <c r="J104" s="536"/>
      <c r="K104" s="536"/>
      <c r="L104" s="536"/>
      <c r="M104" s="536"/>
      <c r="N104" s="1153"/>
      <c r="O104" s="1153"/>
      <c r="P104" s="2629"/>
      <c r="Q104" s="559"/>
    </row>
    <row r="105" spans="1:17" ht="15" thickTop="1">
      <c r="A105" s="599"/>
      <c r="B105" s="538" t="s">
        <v>2612</v>
      </c>
      <c r="C105" s="2956" t="s">
        <v>3087</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2613</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2614</v>
      </c>
      <c r="C109" s="2956" t="s">
        <v>3094</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2615</v>
      </c>
      <c r="C114" s="2956" t="s">
        <v>3096</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2616</v>
      </c>
      <c r="C116" s="2956" t="s">
        <v>3097</v>
      </c>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2617</v>
      </c>
      <c r="C118" s="2963" t="s">
        <v>3099</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2573</v>
      </c>
      <c r="C120" s="554" t="s">
        <v>3071</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2618</v>
      </c>
      <c r="C122" s="2956" t="s">
        <v>3076</v>
      </c>
      <c r="D122" s="2956" t="s">
        <v>3074</v>
      </c>
      <c r="E122" s="2956" t="s">
        <v>3077</v>
      </c>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t="str">
        <f>B44</f>
        <v>交房时间</v>
      </c>
      <c r="C126" s="2958">
        <v>2021.1</v>
      </c>
      <c r="D126" s="554">
        <v>2020.12</v>
      </c>
      <c r="E126" s="554"/>
      <c r="F126" s="2958">
        <v>2022.1</v>
      </c>
      <c r="G126" s="554">
        <v>2021.9</v>
      </c>
      <c r="H126" s="555"/>
      <c r="I126" s="555"/>
      <c r="J126" s="555"/>
      <c r="K126" s="555"/>
      <c r="L126" s="556"/>
      <c r="M126" s="557"/>
      <c r="N126" s="1154"/>
      <c r="O126" s="1154"/>
      <c r="P126" s="2629"/>
      <c r="Q126" s="559"/>
    </row>
    <row r="127" spans="1:17" s="471" customFormat="1" ht="15.75" thickBot="1">
      <c r="A127" s="553"/>
      <c r="B127" s="543"/>
      <c r="C127" s="560">
        <v>100</v>
      </c>
      <c r="D127" s="536">
        <f>100+10*D132</f>
        <v>102</v>
      </c>
      <c r="E127" s="536"/>
      <c r="F127" s="536">
        <f>100-12*D132</f>
        <v>97.6</v>
      </c>
      <c r="G127" s="560">
        <f>100+1*D132</f>
        <v>100.2</v>
      </c>
      <c r="H127" s="562"/>
      <c r="I127" s="562"/>
      <c r="J127" s="562"/>
      <c r="K127" s="562"/>
      <c r="L127" s="562"/>
      <c r="M127" s="563"/>
      <c r="N127" s="1154"/>
      <c r="O127" s="1154"/>
      <c r="P127" s="2629"/>
      <c r="Q127" s="559"/>
    </row>
    <row r="128" spans="1:17" ht="15" thickTop="1">
      <c r="A128" s="599"/>
      <c r="B128" s="538" t="str">
        <f>B45</f>
        <v>梯户比</v>
      </c>
      <c r="C128" s="2956" t="s">
        <v>3100</v>
      </c>
      <c r="D128" s="554"/>
      <c r="E128" s="554"/>
      <c r="F128" s="554"/>
      <c r="G128" s="583"/>
      <c r="H128" s="583"/>
      <c r="I128" s="583"/>
      <c r="J128" s="583"/>
      <c r="K128" s="584"/>
      <c r="L128" s="585"/>
      <c r="M128" s="586"/>
      <c r="N128" s="1152"/>
      <c r="O128" s="1152"/>
      <c r="P128" s="2628"/>
      <c r="Q128" s="504"/>
    </row>
    <row r="129" spans="1:17" ht="15.75" thickBot="1">
      <c r="A129" s="534"/>
      <c r="B129" s="543"/>
      <c r="C129" s="2964">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2" spans="1:17">
      <c r="D132" s="403">
        <v>0.2</v>
      </c>
    </row>
    <row r="136" spans="1:17" ht="15" thickBot="1">
      <c r="B136" s="2635" t="s">
        <v>2620</v>
      </c>
    </row>
    <row r="137" spans="1:17" ht="15">
      <c r="B137" s="2636" t="s">
        <v>2621</v>
      </c>
      <c r="C137" s="2637"/>
      <c r="D137" s="2637"/>
      <c r="E137" s="2637"/>
      <c r="F137" s="2637"/>
      <c r="G137" s="2638"/>
      <c r="H137" s="2639"/>
      <c r="I137" s="2640" t="s">
        <v>2622</v>
      </c>
      <c r="J137" s="2637"/>
      <c r="K137" s="2641"/>
    </row>
    <row r="138" spans="1:17" ht="15">
      <c r="B138" s="2642"/>
      <c r="C138" s="146" t="s">
        <v>2623</v>
      </c>
      <c r="D138" s="146" t="s">
        <v>2624</v>
      </c>
      <c r="E138" s="2643" t="s">
        <v>2625</v>
      </c>
      <c r="F138" s="2644" t="s">
        <v>2626</v>
      </c>
      <c r="G138" s="146" t="s">
        <v>2624</v>
      </c>
      <c r="H138" s="147" t="s">
        <v>2625</v>
      </c>
      <c r="I138" s="2645"/>
      <c r="J138" s="146" t="s">
        <v>2627</v>
      </c>
      <c r="K138" s="147" t="s">
        <v>2628</v>
      </c>
    </row>
    <row r="139" spans="1:17" ht="15">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5">
      <c r="B140" s="1090">
        <v>5</v>
      </c>
      <c r="C140" s="1091">
        <v>100</v>
      </c>
      <c r="D140" s="1091"/>
      <c r="E140" s="1092"/>
      <c r="F140" s="1093">
        <v>102</v>
      </c>
      <c r="G140" s="1091"/>
      <c r="H140" s="1094"/>
      <c r="I140" s="2648" t="s">
        <v>2631</v>
      </c>
      <c r="J140" s="315">
        <f>ROUNDUP((J139-1)/2,0)</f>
        <v>10</v>
      </c>
      <c r="K140" s="1095">
        <v>100</v>
      </c>
    </row>
    <row r="141" spans="1:17" ht="15">
      <c r="B141" s="1090">
        <v>4</v>
      </c>
      <c r="C141" s="1091">
        <v>102</v>
      </c>
      <c r="D141" s="1091"/>
      <c r="E141" s="1092"/>
      <c r="F141" s="1093">
        <v>101.5</v>
      </c>
      <c r="G141" s="1091"/>
      <c r="H141" s="1094"/>
      <c r="I141" s="2648" t="s">
        <v>2632</v>
      </c>
      <c r="J141" s="315">
        <v>1</v>
      </c>
      <c r="K141" s="1096">
        <f>ROUND(100+(J141-J140)*K139*100,1)</f>
        <v>96.4</v>
      </c>
    </row>
    <row r="142" spans="1:17" ht="15">
      <c r="B142" s="1090">
        <v>3</v>
      </c>
      <c r="C142" s="1091">
        <v>103</v>
      </c>
      <c r="D142" s="1091"/>
      <c r="E142" s="1092"/>
      <c r="F142" s="1093">
        <v>101</v>
      </c>
      <c r="G142" s="1091"/>
      <c r="H142" s="1094"/>
      <c r="I142" s="2648" t="s">
        <v>2633</v>
      </c>
      <c r="J142" s="315">
        <f>J139</f>
        <v>20</v>
      </c>
      <c r="K142" s="1097">
        <v>95</v>
      </c>
    </row>
    <row r="143" spans="1:17" ht="15">
      <c r="B143" s="1090">
        <v>2</v>
      </c>
      <c r="C143" s="1091">
        <v>100</v>
      </c>
      <c r="D143" s="1091"/>
      <c r="E143" s="1092"/>
      <c r="F143" s="1093">
        <v>100.5</v>
      </c>
      <c r="G143" s="1091"/>
      <c r="H143" s="1094"/>
      <c r="I143" s="2648" t="s">
        <v>2634</v>
      </c>
      <c r="J143" s="1091">
        <v>15</v>
      </c>
      <c r="K143" s="1096">
        <f>ROUND(100+(J143-J140)*K139*100,1)</f>
        <v>102</v>
      </c>
    </row>
    <row r="144" spans="1:17" ht="15">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5.75"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0" t="s">
        <v>2640</v>
      </c>
      <c r="C1" s="1634" t="s">
        <v>2529</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41" t="s">
        <v>2646</v>
      </c>
      <c r="AC4" s="3222" t="s">
        <v>2647</v>
      </c>
    </row>
    <row r="5" spans="1:29"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41"/>
      <c r="AC5" s="3223"/>
    </row>
    <row r="6" spans="1:29" ht="15.75" thickBot="1">
      <c r="A6" s="406"/>
      <c r="B6" s="407"/>
      <c r="C6" s="3242" t="s">
        <v>2545</v>
      </c>
      <c r="D6" s="3243"/>
      <c r="E6" s="3252" t="s">
        <v>2545</v>
      </c>
      <c r="F6" s="3253"/>
      <c r="G6" s="3242" t="s">
        <v>2545</v>
      </c>
      <c r="H6" s="3243"/>
      <c r="I6" s="3242" t="s">
        <v>2545</v>
      </c>
      <c r="J6" s="3243"/>
      <c r="K6" s="610" t="s">
        <v>2546</v>
      </c>
      <c r="L6" s="1130"/>
      <c r="M6" s="1131"/>
      <c r="N6" s="1131"/>
      <c r="O6" s="1131"/>
      <c r="P6" s="3233"/>
      <c r="Q6" s="3234"/>
      <c r="R6" s="3237"/>
      <c r="S6" s="3238"/>
      <c r="T6" s="3239"/>
      <c r="U6" s="3240"/>
      <c r="V6" s="3241"/>
      <c r="W6" s="3241"/>
      <c r="X6" s="1813"/>
      <c r="Y6" s="3239"/>
      <c r="Z6" s="3240"/>
      <c r="AA6" s="3224"/>
      <c r="AB6" s="3241"/>
      <c r="AC6" s="3224"/>
    </row>
    <row r="7" spans="1:29" s="117" customFormat="1" ht="15.75"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6" t="s">
        <v>2548</v>
      </c>
      <c r="Q7" s="3248"/>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1"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1"/>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2558</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9" t="s">
        <v>2559</v>
      </c>
      <c r="Q15" s="1810" t="str">
        <f t="shared" si="6"/>
        <v>商业繁华度</v>
      </c>
      <c r="R15" s="774" t="s">
        <v>17</v>
      </c>
      <c r="S15" s="775">
        <f t="shared" si="0"/>
        <v>100</v>
      </c>
      <c r="T15" s="774" t="s">
        <v>17</v>
      </c>
      <c r="U15" s="775">
        <f t="shared" si="1"/>
        <v>100</v>
      </c>
      <c r="V15" s="774" t="s">
        <v>17</v>
      </c>
      <c r="W15" s="775">
        <f t="shared" si="2"/>
        <v>100</v>
      </c>
      <c r="X15" s="1813"/>
      <c r="Y15" s="3212"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1811">
        <v>1</v>
      </c>
    </row>
    <row r="17" spans="1:29" ht="114">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1811">
        <v>1</v>
      </c>
    </row>
    <row r="19" spans="1:29" ht="42.75">
      <c r="A19" s="428"/>
      <c r="B19" s="451" t="s">
        <v>2652</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1811">
        <v>1</v>
      </c>
    </row>
    <row r="21" spans="1:29" ht="15">
      <c r="A21" s="428"/>
      <c r="B21" s="1384" t="s">
        <v>2653</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20"/>
      <c r="Q22" s="1810"/>
      <c r="R22" s="774"/>
      <c r="S22" s="775"/>
      <c r="T22" s="774"/>
      <c r="U22" s="775"/>
      <c r="V22" s="774"/>
      <c r="W22" s="775"/>
      <c r="X22" s="1813"/>
      <c r="Y22" s="3213"/>
      <c r="Z22" s="1814"/>
      <c r="AA22" s="1811">
        <v>1</v>
      </c>
      <c r="AB22" s="1811">
        <v>1</v>
      </c>
      <c r="AC22" s="1811">
        <v>1</v>
      </c>
    </row>
    <row r="23" spans="1:29" ht="114">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0"/>
      <c r="Q23" s="1810" t="str">
        <f>B23</f>
        <v>自然及人文环境</v>
      </c>
      <c r="R23" s="774" t="s">
        <v>17</v>
      </c>
      <c r="S23" s="775">
        <f>F23</f>
        <v>100</v>
      </c>
      <c r="T23" s="774" t="s">
        <v>17</v>
      </c>
      <c r="U23" s="775">
        <f>H23</f>
        <v>100</v>
      </c>
      <c r="V23" s="774" t="s">
        <v>17</v>
      </c>
      <c r="W23" s="775">
        <f>J23</f>
        <v>100</v>
      </c>
      <c r="X23" s="1813"/>
      <c r="Y23" s="3213"/>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0"/>
      <c r="Q25" s="1810" t="str">
        <f t="shared" ref="Q25:Q46" si="11">B25</f>
        <v>临街状况</v>
      </c>
      <c r="R25" s="774" t="s">
        <v>17</v>
      </c>
      <c r="S25" s="775">
        <f>F25</f>
        <v>100</v>
      </c>
      <c r="T25" s="774" t="s">
        <v>17</v>
      </c>
      <c r="U25" s="775">
        <f>H25</f>
        <v>100</v>
      </c>
      <c r="V25" s="774" t="s">
        <v>17</v>
      </c>
      <c r="W25" s="775">
        <f>J25</f>
        <v>100</v>
      </c>
      <c r="X25" s="1813"/>
      <c r="Y25" s="3213"/>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0"/>
      <c r="Q26" s="1810" t="str">
        <f t="shared" si="11"/>
        <v>平面位置/可视性</v>
      </c>
      <c r="R26" s="774" t="s">
        <v>17</v>
      </c>
      <c r="S26" s="775">
        <f>F26</f>
        <v>100</v>
      </c>
      <c r="T26" s="774" t="s">
        <v>17</v>
      </c>
      <c r="U26" s="775">
        <f>H26</f>
        <v>100</v>
      </c>
      <c r="V26" s="774" t="s">
        <v>17</v>
      </c>
      <c r="W26" s="775">
        <f>J26</f>
        <v>100</v>
      </c>
      <c r="X26" s="1813"/>
      <c r="Y26" s="3213"/>
      <c r="Z26" s="1814" t="str">
        <f>Q26</f>
        <v>平面位置/可视性</v>
      </c>
      <c r="AA26" s="1811">
        <f t="shared" si="3"/>
        <v>1</v>
      </c>
      <c r="AB26" s="1811">
        <f t="shared" si="4"/>
        <v>1</v>
      </c>
      <c r="AC26" s="1811">
        <f t="shared" si="5"/>
        <v>1</v>
      </c>
    </row>
    <row r="27" spans="1:29" s="117" customFormat="1" ht="15">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20"/>
      <c r="Q27" s="1795" t="str">
        <f t="shared" si="11"/>
        <v>人流量</v>
      </c>
      <c r="R27" s="770" t="s">
        <v>17</v>
      </c>
      <c r="S27" s="771">
        <f>F27</f>
        <v>100</v>
      </c>
      <c r="T27" s="770" t="s">
        <v>17</v>
      </c>
      <c r="U27" s="771">
        <f>H27</f>
        <v>100</v>
      </c>
      <c r="V27" s="770" t="s">
        <v>17</v>
      </c>
      <c r="W27" s="771">
        <f>J27</f>
        <v>100</v>
      </c>
      <c r="X27" s="772"/>
      <c r="Y27" s="3213"/>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0"/>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3"/>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0"/>
      <c r="Q29" s="1810">
        <f t="shared" si="11"/>
        <v>111</v>
      </c>
      <c r="R29" s="774" t="s">
        <v>17</v>
      </c>
      <c r="S29" s="775">
        <f t="shared" si="12"/>
        <v>100</v>
      </c>
      <c r="T29" s="774" t="s">
        <v>17</v>
      </c>
      <c r="U29" s="775">
        <f t="shared" si="13"/>
        <v>100</v>
      </c>
      <c r="V29" s="774" t="s">
        <v>17</v>
      </c>
      <c r="W29" s="775">
        <f t="shared" si="14"/>
        <v>100</v>
      </c>
      <c r="X29" s="1813"/>
      <c r="Y29" s="3213"/>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1811">
        <f t="shared" si="5"/>
        <v>1</v>
      </c>
    </row>
    <row r="32" spans="1:29" ht="15">
      <c r="A32" s="440" t="s">
        <v>2562</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4" t="s">
        <v>2564</v>
      </c>
      <c r="Q32" s="1810" t="str">
        <f t="shared" si="11"/>
        <v>商业类型</v>
      </c>
      <c r="R32" s="774" t="s">
        <v>17</v>
      </c>
      <c r="S32" s="775">
        <f t="shared" si="12"/>
        <v>100</v>
      </c>
      <c r="T32" s="774" t="s">
        <v>17</v>
      </c>
      <c r="U32" s="775">
        <f t="shared" si="13"/>
        <v>100</v>
      </c>
      <c r="V32" s="774" t="s">
        <v>17</v>
      </c>
      <c r="W32" s="775">
        <f t="shared" si="14"/>
        <v>100</v>
      </c>
      <c r="X32" s="1813"/>
      <c r="Y32" s="3217"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5"/>
      <c r="Q34" s="1810" t="str">
        <f t="shared" si="11"/>
        <v>建筑结构</v>
      </c>
      <c r="R34" s="774" t="s">
        <v>17</v>
      </c>
      <c r="S34" s="775">
        <f t="shared" si="12"/>
        <v>100</v>
      </c>
      <c r="T34" s="774" t="s">
        <v>17</v>
      </c>
      <c r="U34" s="775">
        <f t="shared" si="13"/>
        <v>100</v>
      </c>
      <c r="V34" s="774" t="s">
        <v>17</v>
      </c>
      <c r="W34" s="775">
        <f t="shared" si="14"/>
        <v>100</v>
      </c>
      <c r="X34" s="1813"/>
      <c r="Y34" s="3217"/>
      <c r="Z34" s="1814" t="str">
        <f t="shared" si="15"/>
        <v>建筑结构</v>
      </c>
      <c r="AA34" s="1811">
        <f t="shared" si="3"/>
        <v>1</v>
      </c>
      <c r="AB34" s="1811">
        <f t="shared" si="4"/>
        <v>1</v>
      </c>
      <c r="AC34" s="1811">
        <f t="shared" si="5"/>
        <v>1</v>
      </c>
    </row>
    <row r="35" spans="1:29" ht="15">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5"/>
      <c r="Q35" s="1810" t="str">
        <f t="shared" si="11"/>
        <v>公共部分装修</v>
      </c>
      <c r="R35" s="774" t="s">
        <v>17</v>
      </c>
      <c r="S35" s="775">
        <f t="shared" si="12"/>
        <v>100</v>
      </c>
      <c r="T35" s="774" t="s">
        <v>17</v>
      </c>
      <c r="U35" s="775">
        <f t="shared" si="13"/>
        <v>100</v>
      </c>
      <c r="V35" s="774" t="s">
        <v>17</v>
      </c>
      <c r="W35" s="775">
        <f t="shared" si="14"/>
        <v>100</v>
      </c>
      <c r="X35" s="1813"/>
      <c r="Y35" s="3217"/>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5"/>
      <c r="Q36" s="1810" t="str">
        <f t="shared" si="11"/>
        <v>成新度</v>
      </c>
      <c r="R36" s="774" t="s">
        <v>17</v>
      </c>
      <c r="S36" s="775" t="e">
        <f t="shared" si="12"/>
        <v>#N/A</v>
      </c>
      <c r="T36" s="774" t="s">
        <v>17</v>
      </c>
      <c r="U36" s="775" t="e">
        <f t="shared" si="13"/>
        <v>#N/A</v>
      </c>
      <c r="V36" s="774" t="s">
        <v>17</v>
      </c>
      <c r="W36" s="775" t="e">
        <f t="shared" si="14"/>
        <v>#N/A</v>
      </c>
      <c r="X36" s="1813"/>
      <c r="Y36" s="3217"/>
      <c r="Z36" s="1814" t="str">
        <f t="shared" si="15"/>
        <v>成新度</v>
      </c>
      <c r="AA36" s="1811" t="e">
        <f t="shared" si="3"/>
        <v>#N/A</v>
      </c>
      <c r="AB36" s="1811" t="e">
        <f t="shared" si="4"/>
        <v>#N/A</v>
      </c>
      <c r="AC36" s="1811" t="e">
        <f t="shared" si="5"/>
        <v>#N/A</v>
      </c>
    </row>
    <row r="37" spans="1:29" s="117" customFormat="1" ht="15">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5"/>
      <c r="Q37" s="1795"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5" t="s">
        <v>2564</v>
      </c>
      <c r="Q38" s="1810" t="str">
        <f t="shared" si="11"/>
        <v>业态</v>
      </c>
      <c r="R38" s="774" t="s">
        <v>17</v>
      </c>
      <c r="S38" s="775">
        <f t="shared" si="12"/>
        <v>100</v>
      </c>
      <c r="T38" s="774" t="s">
        <v>17</v>
      </c>
      <c r="U38" s="775">
        <f t="shared" si="13"/>
        <v>100</v>
      </c>
      <c r="V38" s="774" t="s">
        <v>17</v>
      </c>
      <c r="W38" s="775">
        <f t="shared" si="14"/>
        <v>100</v>
      </c>
      <c r="X38" s="1813"/>
      <c r="Y38" s="3217" t="s">
        <v>2564</v>
      </c>
      <c r="Z38" s="1814" t="str">
        <f t="shared" si="15"/>
        <v>业态</v>
      </c>
      <c r="AA38" s="1811">
        <f t="shared" si="3"/>
        <v>1</v>
      </c>
      <c r="AB38" s="1811">
        <f t="shared" si="4"/>
        <v>1</v>
      </c>
      <c r="AC38" s="1811">
        <f t="shared" si="5"/>
        <v>1</v>
      </c>
    </row>
    <row r="39" spans="1:29" ht="15">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5"/>
      <c r="Q39" s="1810" t="str">
        <f t="shared" si="11"/>
        <v>层高</v>
      </c>
      <c r="R39" s="774" t="s">
        <v>17</v>
      </c>
      <c r="S39" s="775">
        <f t="shared" si="12"/>
        <v>100</v>
      </c>
      <c r="T39" s="774" t="s">
        <v>17</v>
      </c>
      <c r="U39" s="775">
        <f t="shared" si="13"/>
        <v>100</v>
      </c>
      <c r="V39" s="774" t="s">
        <v>17</v>
      </c>
      <c r="W39" s="775">
        <f t="shared" si="14"/>
        <v>100</v>
      </c>
      <c r="X39" s="1813"/>
      <c r="Y39" s="3217"/>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5"/>
      <c r="Q40" s="1810" t="str">
        <f t="shared" si="11"/>
        <v>单套建筑面积</v>
      </c>
      <c r="R40" s="774" t="s">
        <v>17</v>
      </c>
      <c r="S40" s="775">
        <f t="shared" si="12"/>
        <v>100</v>
      </c>
      <c r="T40" s="774" t="s">
        <v>17</v>
      </c>
      <c r="U40" s="775">
        <f t="shared" si="13"/>
        <v>100</v>
      </c>
      <c r="V40" s="774" t="s">
        <v>17</v>
      </c>
      <c r="W40" s="775">
        <f t="shared" si="14"/>
        <v>100</v>
      </c>
      <c r="X40" s="1813"/>
      <c r="Y40" s="3217"/>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1">
        <f t="shared" si="3"/>
        <v>1</v>
      </c>
      <c r="AB41" s="1811">
        <f t="shared" si="4"/>
        <v>1</v>
      </c>
      <c r="AC41" s="1811">
        <f t="shared" si="5"/>
        <v>1</v>
      </c>
    </row>
    <row r="42" spans="1:29" ht="15">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5"/>
      <c r="Q42" s="1810" t="str">
        <f t="shared" si="11"/>
        <v>内部装修</v>
      </c>
      <c r="R42" s="774" t="s">
        <v>17</v>
      </c>
      <c r="S42" s="775">
        <f t="shared" si="12"/>
        <v>100</v>
      </c>
      <c r="T42" s="774" t="s">
        <v>17</v>
      </c>
      <c r="U42" s="775">
        <f t="shared" si="13"/>
        <v>100</v>
      </c>
      <c r="V42" s="774" t="s">
        <v>17</v>
      </c>
      <c r="W42" s="775">
        <f t="shared" si="14"/>
        <v>100</v>
      </c>
      <c r="X42" s="1813"/>
      <c r="Y42" s="3217"/>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5"/>
      <c r="Q43" s="1810" t="str">
        <f t="shared" si="11"/>
        <v>内部装修维护情况</v>
      </c>
      <c r="R43" s="774" t="s">
        <v>17</v>
      </c>
      <c r="S43" s="775">
        <f t="shared" si="12"/>
        <v>100</v>
      </c>
      <c r="T43" s="774" t="s">
        <v>17</v>
      </c>
      <c r="U43" s="775">
        <f t="shared" si="13"/>
        <v>100</v>
      </c>
      <c r="V43" s="774" t="s">
        <v>17</v>
      </c>
      <c r="W43" s="775">
        <f t="shared" si="14"/>
        <v>100</v>
      </c>
      <c r="X43" s="1813"/>
      <c r="Y43" s="321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5"/>
      <c r="Q44" s="1795">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5"/>
      <c r="Q45" s="1810">
        <f t="shared" si="11"/>
        <v>111</v>
      </c>
      <c r="R45" s="774" t="s">
        <v>17</v>
      </c>
      <c r="S45" s="775">
        <f t="shared" si="12"/>
        <v>100</v>
      </c>
      <c r="T45" s="774" t="s">
        <v>17</v>
      </c>
      <c r="U45" s="775">
        <f t="shared" si="13"/>
        <v>100</v>
      </c>
      <c r="V45" s="774" t="s">
        <v>17</v>
      </c>
      <c r="W45" s="775">
        <f t="shared" si="14"/>
        <v>100</v>
      </c>
      <c r="X45" s="1813"/>
      <c r="Y45" s="3217"/>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6"/>
      <c r="Q46" s="1810">
        <f t="shared" si="11"/>
        <v>111</v>
      </c>
      <c r="R46" s="774" t="s">
        <v>17</v>
      </c>
      <c r="S46" s="775">
        <f t="shared" si="12"/>
        <v>100</v>
      </c>
      <c r="T46" s="774" t="s">
        <v>17</v>
      </c>
      <c r="U46" s="775">
        <f t="shared" si="13"/>
        <v>100</v>
      </c>
      <c r="V46" s="774" t="s">
        <v>17</v>
      </c>
      <c r="W46" s="775">
        <f t="shared" si="14"/>
        <v>100</v>
      </c>
      <c r="X46" s="1813"/>
      <c r="Y46" s="3218"/>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10" t="str">
        <f>A47</f>
        <v>成交单价（元/平方米）</v>
      </c>
      <c r="Q47" s="3210"/>
      <c r="R47" s="3241">
        <f>E47</f>
        <v>0</v>
      </c>
      <c r="S47" s="3241"/>
      <c r="T47" s="3241">
        <f>G47</f>
        <v>0</v>
      </c>
      <c r="U47" s="3241"/>
      <c r="V47" s="3241">
        <f>I47</f>
        <v>0</v>
      </c>
      <c r="W47" s="3241"/>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7" t="str">
        <f>A49</f>
        <v>估价对象XX用房的比较价值（楼面单价，元/平方米）</v>
      </c>
      <c r="Q49" s="3208"/>
      <c r="R49" s="3209" t="e">
        <f>IF(F1="售价",ROUND(AVERAGE(R48:V48),0),ROUND(AVERAGE(R48:V48),1))</f>
        <v>#DIV/0!</v>
      </c>
      <c r="S49" s="3209"/>
      <c r="T49" s="3209"/>
      <c r="U49" s="3209"/>
      <c r="V49" s="3209"/>
      <c r="W49" s="320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6">EDATE(D58,-1)</f>
        <v>43770</v>
      </c>
      <c r="F58" s="1575">
        <f t="shared" si="16"/>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EDATE(N58,-1)</f>
        <v>43466</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2650</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2586</v>
      </c>
      <c r="B63" s="528" t="s">
        <v>2553</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2678</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2562</v>
      </c>
      <c r="B100" s="528" t="s">
        <v>2679</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2612</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2614</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2680</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2681</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2682</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2618</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2684</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64" t="s">
        <v>2649</v>
      </c>
      <c r="Q4" s="3265"/>
      <c r="R4" s="3268" t="s">
        <v>2645</v>
      </c>
      <c r="S4" s="3269"/>
      <c r="T4" s="3268" t="s">
        <v>2646</v>
      </c>
      <c r="U4" s="3269"/>
      <c r="V4" s="3270" t="s">
        <v>2647</v>
      </c>
      <c r="W4" s="3270"/>
      <c r="X4" s="2668"/>
      <c r="Y4" s="3268" t="s">
        <v>2649</v>
      </c>
      <c r="Z4" s="3269"/>
      <c r="AA4" s="3272" t="s">
        <v>2645</v>
      </c>
      <c r="AB4" s="3272" t="s">
        <v>2646</v>
      </c>
      <c r="AC4" s="3261" t="s">
        <v>2647</v>
      </c>
    </row>
    <row r="5" spans="1:29" ht="15">
      <c r="A5" s="404"/>
      <c r="B5" s="405"/>
      <c r="C5" s="3256" t="s">
        <v>2541</v>
      </c>
      <c r="D5" s="3250"/>
      <c r="E5" s="3257" t="s">
        <v>2542</v>
      </c>
      <c r="F5" s="3255"/>
      <c r="G5" s="3256" t="s">
        <v>2543</v>
      </c>
      <c r="H5" s="3250"/>
      <c r="I5" s="3256" t="s">
        <v>2544</v>
      </c>
      <c r="J5" s="3250"/>
      <c r="K5" s="610"/>
      <c r="L5" s="1130"/>
      <c r="M5" s="1131"/>
      <c r="N5" s="1131"/>
      <c r="O5" s="1131"/>
      <c r="P5" s="3266"/>
      <c r="Q5" s="3232"/>
      <c r="R5" s="3237"/>
      <c r="S5" s="3238"/>
      <c r="T5" s="3237"/>
      <c r="U5" s="3238"/>
      <c r="V5" s="3241"/>
      <c r="W5" s="3241"/>
      <c r="X5" s="1813"/>
      <c r="Y5" s="3237"/>
      <c r="Z5" s="3238"/>
      <c r="AA5" s="3223"/>
      <c r="AB5" s="3223"/>
      <c r="AC5" s="3262"/>
    </row>
    <row r="6" spans="1:29" ht="15.75" thickBot="1">
      <c r="A6" s="406"/>
      <c r="B6" s="407"/>
      <c r="C6" s="3242" t="s">
        <v>2545</v>
      </c>
      <c r="D6" s="3243"/>
      <c r="E6" s="3252" t="s">
        <v>2545</v>
      </c>
      <c r="F6" s="3253"/>
      <c r="G6" s="3242" t="s">
        <v>2545</v>
      </c>
      <c r="H6" s="3243"/>
      <c r="I6" s="3242" t="s">
        <v>2545</v>
      </c>
      <c r="J6" s="3243"/>
      <c r="K6" s="610" t="s">
        <v>2546</v>
      </c>
      <c r="L6" s="1130"/>
      <c r="M6" s="1131"/>
      <c r="N6" s="1131"/>
      <c r="O6" s="1131"/>
      <c r="P6" s="3267"/>
      <c r="Q6" s="3234"/>
      <c r="R6" s="3237"/>
      <c r="S6" s="3238"/>
      <c r="T6" s="3239"/>
      <c r="U6" s="3240"/>
      <c r="V6" s="3241"/>
      <c r="W6" s="3241"/>
      <c r="X6" s="1813"/>
      <c r="Y6" s="3239"/>
      <c r="Z6" s="3240"/>
      <c r="AA6" s="3224"/>
      <c r="AB6" s="3224"/>
      <c r="AC6" s="3263"/>
    </row>
    <row r="7" spans="1:29" s="117" customFormat="1" ht="15.75"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1" t="s">
        <v>2548</v>
      </c>
      <c r="Q7" s="3248"/>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2669" t="e">
        <f>D7/J7</f>
        <v>#DIV/0!</v>
      </c>
    </row>
    <row r="8" spans="1:29" s="117" customFormat="1" ht="15.75" thickBot="1">
      <c r="A8" s="408" t="s">
        <v>2549</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1" t="s">
        <v>2551</v>
      </c>
      <c r="Q8" s="3247"/>
      <c r="R8" s="770" t="s">
        <v>17</v>
      </c>
      <c r="S8" s="771">
        <f t="shared" si="0"/>
        <v>0</v>
      </c>
      <c r="T8" s="770" t="s">
        <v>17</v>
      </c>
      <c r="U8" s="771">
        <f t="shared" si="1"/>
        <v>0</v>
      </c>
      <c r="V8" s="770" t="s">
        <v>17</v>
      </c>
      <c r="W8" s="771">
        <f t="shared" si="2"/>
        <v>0</v>
      </c>
      <c r="X8" s="772"/>
      <c r="Y8" s="3246" t="s">
        <v>2551</v>
      </c>
      <c r="Z8" s="3247"/>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1"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1"/>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1"/>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69">
        <f t="shared" si="5"/>
        <v>1</v>
      </c>
    </row>
    <row r="15" spans="1:29" ht="71.25">
      <c r="A15" s="440" t="s">
        <v>2558</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9" t="s">
        <v>2559</v>
      </c>
      <c r="Q15" s="1810" t="str">
        <f t="shared" si="6"/>
        <v>办公集聚程度</v>
      </c>
      <c r="R15" s="774" t="s">
        <v>17</v>
      </c>
      <c r="S15" s="775">
        <f t="shared" si="0"/>
        <v>100</v>
      </c>
      <c r="T15" s="774" t="s">
        <v>17</v>
      </c>
      <c r="U15" s="775">
        <f t="shared" si="1"/>
        <v>100</v>
      </c>
      <c r="V15" s="774" t="s">
        <v>17</v>
      </c>
      <c r="W15" s="775">
        <f t="shared" si="2"/>
        <v>100</v>
      </c>
      <c r="X15" s="1813"/>
      <c r="Y15" s="3212"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0"/>
      <c r="M16" s="1131"/>
      <c r="N16" s="1131"/>
      <c r="O16" s="1131"/>
      <c r="P16" s="3220"/>
      <c r="Q16" s="1810"/>
      <c r="R16" s="774"/>
      <c r="S16" s="775"/>
      <c r="T16" s="774"/>
      <c r="U16" s="775"/>
      <c r="V16" s="774"/>
      <c r="W16" s="775"/>
      <c r="X16" s="1813"/>
      <c r="Y16" s="3213"/>
      <c r="Z16" s="1814"/>
      <c r="AA16" s="1811">
        <v>1</v>
      </c>
      <c r="AB16" s="1811">
        <v>1</v>
      </c>
      <c r="AC16" s="2672">
        <v>1</v>
      </c>
    </row>
    <row r="17" spans="1:29" ht="114">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0"/>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0"/>
      <c r="M18" s="1131"/>
      <c r="N18" s="1131"/>
      <c r="O18" s="1131"/>
      <c r="P18" s="3220"/>
      <c r="Q18" s="1810"/>
      <c r="R18" s="774"/>
      <c r="S18" s="775"/>
      <c r="T18" s="774"/>
      <c r="U18" s="775"/>
      <c r="V18" s="774"/>
      <c r="W18" s="775"/>
      <c r="X18" s="1813"/>
      <c r="Y18" s="3213"/>
      <c r="Z18" s="1814"/>
      <c r="AA18" s="1811">
        <v>1</v>
      </c>
      <c r="AB18" s="1811">
        <v>1</v>
      </c>
      <c r="AC18" s="2672">
        <v>1</v>
      </c>
    </row>
    <row r="19" spans="1:29" ht="42.75">
      <c r="A19" s="428"/>
      <c r="B19" s="631" t="s">
        <v>2686</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0"/>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0"/>
      <c r="M20" s="1131"/>
      <c r="N20" s="1131"/>
      <c r="O20" s="1131"/>
      <c r="P20" s="3220"/>
      <c r="Q20" s="1810"/>
      <c r="R20" s="774"/>
      <c r="S20" s="775"/>
      <c r="T20" s="774"/>
      <c r="U20" s="775"/>
      <c r="V20" s="774"/>
      <c r="W20" s="775"/>
      <c r="X20" s="1813"/>
      <c r="Y20" s="3213"/>
      <c r="Z20" s="1814"/>
      <c r="AA20" s="1811">
        <v>1</v>
      </c>
      <c r="AB20" s="1811">
        <v>1</v>
      </c>
      <c r="AC20" s="2672">
        <v>1</v>
      </c>
    </row>
    <row r="21" spans="1:29" ht="15">
      <c r="A21" s="428"/>
      <c r="B21" s="633" t="s">
        <v>2687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0"/>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220"/>
      <c r="Q22" s="1810"/>
      <c r="R22" s="774"/>
      <c r="S22" s="775"/>
      <c r="T22" s="774"/>
      <c r="U22" s="775"/>
      <c r="V22" s="774"/>
      <c r="W22" s="775"/>
      <c r="X22" s="1813"/>
      <c r="Y22" s="3213"/>
      <c r="Z22" s="1814"/>
      <c r="AA22" s="1811">
        <v>1</v>
      </c>
      <c r="AB22" s="1811">
        <v>1</v>
      </c>
      <c r="AC22" s="2672">
        <v>1</v>
      </c>
    </row>
    <row r="23" spans="1:29" ht="99.75">
      <c r="A23" s="428"/>
      <c r="B23" s="631" t="s">
        <v>2688</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0"/>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0"/>
      <c r="M24" s="1131"/>
      <c r="N24" s="1131"/>
      <c r="O24" s="1131"/>
      <c r="P24" s="3220"/>
      <c r="Q24" s="1810"/>
      <c r="R24" s="774"/>
      <c r="S24" s="775"/>
      <c r="T24" s="774"/>
      <c r="U24" s="775"/>
      <c r="V24" s="774"/>
      <c r="W24" s="775"/>
      <c r="X24" s="1813"/>
      <c r="Y24" s="3213"/>
      <c r="Z24" s="1814"/>
      <c r="AA24" s="1811">
        <v>1</v>
      </c>
      <c r="AB24" s="1811">
        <v>1</v>
      </c>
      <c r="AC24" s="2672">
        <v>1</v>
      </c>
    </row>
    <row r="25" spans="1:29" ht="27">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20"/>
      <c r="Q25" s="1810" t="str">
        <f>B25</f>
        <v>毗邻道路的类型与等级</v>
      </c>
      <c r="R25" s="774" t="s">
        <v>17</v>
      </c>
      <c r="S25" s="775">
        <f>F25</f>
        <v>100</v>
      </c>
      <c r="T25" s="774" t="s">
        <v>17</v>
      </c>
      <c r="U25" s="775">
        <f>H25</f>
        <v>100</v>
      </c>
      <c r="V25" s="774" t="s">
        <v>17</v>
      </c>
      <c r="W25" s="775">
        <f>J25</f>
        <v>100</v>
      </c>
      <c r="X25" s="1813"/>
      <c r="Y25" s="3213"/>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0"/>
      <c r="M26" s="1131"/>
      <c r="N26" s="1131"/>
      <c r="O26" s="1131"/>
      <c r="P26" s="3220"/>
      <c r="Q26" s="1810"/>
      <c r="R26" s="774"/>
      <c r="S26" s="775"/>
      <c r="T26" s="774"/>
      <c r="U26" s="775"/>
      <c r="V26" s="774"/>
      <c r="W26" s="775"/>
      <c r="X26" s="1813"/>
      <c r="Y26" s="3213"/>
      <c r="Z26" s="1814"/>
      <c r="AA26" s="1811">
        <v>1</v>
      </c>
      <c r="AB26" s="1811">
        <v>1</v>
      </c>
      <c r="AC26" s="2672">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0"/>
      <c r="Q27" s="1810" t="str">
        <f t="shared" ref="Q27:Q47" si="11">B27</f>
        <v>楼层</v>
      </c>
      <c r="R27" s="774" t="s">
        <v>17</v>
      </c>
      <c r="S27" s="775">
        <f>F27</f>
        <v>100</v>
      </c>
      <c r="T27" s="774" t="s">
        <v>17</v>
      </c>
      <c r="U27" s="775">
        <f>H27</f>
        <v>100</v>
      </c>
      <c r="V27" s="774" t="s">
        <v>17</v>
      </c>
      <c r="W27" s="775">
        <f>J27</f>
        <v>100</v>
      </c>
      <c r="X27" s="1813"/>
      <c r="Y27" s="3213"/>
      <c r="Z27" s="1814" t="str">
        <f>Q27</f>
        <v>楼层</v>
      </c>
      <c r="AA27" s="1811">
        <f t="shared" si="3"/>
        <v>1</v>
      </c>
      <c r="AB27" s="1811">
        <f t="shared" si="4"/>
        <v>1</v>
      </c>
      <c r="AC27" s="2672">
        <f t="shared" si="5"/>
        <v>1</v>
      </c>
    </row>
    <row r="28" spans="1:29" s="117" customFormat="1" ht="15">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20"/>
      <c r="Q28" s="1795" t="str">
        <f t="shared" si="11"/>
        <v>朝向</v>
      </c>
      <c r="R28" s="770" t="s">
        <v>17</v>
      </c>
      <c r="S28" s="771">
        <f>F28</f>
        <v>100</v>
      </c>
      <c r="T28" s="770" t="s">
        <v>17</v>
      </c>
      <c r="U28" s="771">
        <f>H28</f>
        <v>100</v>
      </c>
      <c r="V28" s="770" t="s">
        <v>17</v>
      </c>
      <c r="W28" s="771">
        <f>J28</f>
        <v>100</v>
      </c>
      <c r="X28" s="772"/>
      <c r="Y28" s="3213"/>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20"/>
      <c r="Q29" s="1810">
        <f t="shared" si="11"/>
        <v>111</v>
      </c>
      <c r="R29" s="774" t="s">
        <v>17</v>
      </c>
      <c r="S29" s="775">
        <f t="shared" ref="S29:S47" si="12">F29</f>
        <v>100</v>
      </c>
      <c r="T29" s="774" t="s">
        <v>17</v>
      </c>
      <c r="U29" s="775">
        <f t="shared" ref="U29:U47" si="13">H29</f>
        <v>100</v>
      </c>
      <c r="V29" s="774" t="s">
        <v>17</v>
      </c>
      <c r="W29" s="775">
        <f t="shared" ref="W29:W47" si="14">J29</f>
        <v>100</v>
      </c>
      <c r="X29" s="1813"/>
      <c r="Y29" s="3213"/>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20"/>
      <c r="Q30" s="1810">
        <f t="shared" si="11"/>
        <v>111</v>
      </c>
      <c r="R30" s="774" t="s">
        <v>17</v>
      </c>
      <c r="S30" s="775">
        <f t="shared" si="12"/>
        <v>100</v>
      </c>
      <c r="T30" s="774" t="s">
        <v>17</v>
      </c>
      <c r="U30" s="775">
        <f t="shared" si="13"/>
        <v>100</v>
      </c>
      <c r="V30" s="774" t="s">
        <v>17</v>
      </c>
      <c r="W30" s="775">
        <f t="shared" si="14"/>
        <v>100</v>
      </c>
      <c r="X30" s="1813"/>
      <c r="Y30" s="3213"/>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20"/>
      <c r="Q31" s="1810">
        <f t="shared" si="11"/>
        <v>111</v>
      </c>
      <c r="R31" s="774" t="s">
        <v>17</v>
      </c>
      <c r="S31" s="775">
        <f t="shared" si="12"/>
        <v>100</v>
      </c>
      <c r="T31" s="774" t="s">
        <v>17</v>
      </c>
      <c r="U31" s="775">
        <f t="shared" si="13"/>
        <v>100</v>
      </c>
      <c r="V31" s="774" t="s">
        <v>17</v>
      </c>
      <c r="W31" s="775">
        <f t="shared" si="14"/>
        <v>100</v>
      </c>
      <c r="X31" s="1813"/>
      <c r="Y31" s="3213"/>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20"/>
      <c r="Q32" s="1810">
        <f t="shared" si="11"/>
        <v>111</v>
      </c>
      <c r="R32" s="774" t="s">
        <v>17</v>
      </c>
      <c r="S32" s="775">
        <f t="shared" si="12"/>
        <v>100</v>
      </c>
      <c r="T32" s="774" t="s">
        <v>17</v>
      </c>
      <c r="U32" s="775">
        <f t="shared" si="13"/>
        <v>100</v>
      </c>
      <c r="V32" s="774" t="s">
        <v>17</v>
      </c>
      <c r="W32" s="775">
        <f t="shared" si="14"/>
        <v>100</v>
      </c>
      <c r="X32" s="1813"/>
      <c r="Y32" s="3213"/>
      <c r="Z32" s="1814">
        <f t="shared" si="15"/>
        <v>111</v>
      </c>
      <c r="AA32" s="1811">
        <f t="shared" si="3"/>
        <v>1</v>
      </c>
      <c r="AB32" s="1811">
        <f t="shared" si="4"/>
        <v>1</v>
      </c>
      <c r="AC32" s="2672">
        <f t="shared" si="5"/>
        <v>1</v>
      </c>
    </row>
    <row r="33" spans="1:29" ht="15">
      <c r="A33" s="440" t="s">
        <v>2562</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14" t="s">
        <v>2564</v>
      </c>
      <c r="Q33" s="1810" t="str">
        <f t="shared" si="11"/>
        <v>建筑类型</v>
      </c>
      <c r="R33" s="774" t="s">
        <v>17</v>
      </c>
      <c r="S33" s="775">
        <f t="shared" si="12"/>
        <v>100</v>
      </c>
      <c r="T33" s="774" t="s">
        <v>17</v>
      </c>
      <c r="U33" s="775">
        <f t="shared" si="13"/>
        <v>100</v>
      </c>
      <c r="V33" s="774" t="s">
        <v>17</v>
      </c>
      <c r="W33" s="775">
        <f t="shared" si="14"/>
        <v>100</v>
      </c>
      <c r="X33" s="1813"/>
      <c r="Y33" s="3217"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5"/>
      <c r="Q35" s="1810" t="str">
        <f t="shared" si="11"/>
        <v>建筑结构</v>
      </c>
      <c r="R35" s="774" t="s">
        <v>17</v>
      </c>
      <c r="S35" s="775">
        <f t="shared" si="12"/>
        <v>100</v>
      </c>
      <c r="T35" s="774" t="s">
        <v>17</v>
      </c>
      <c r="U35" s="775">
        <f t="shared" si="13"/>
        <v>100</v>
      </c>
      <c r="V35" s="774" t="s">
        <v>17</v>
      </c>
      <c r="W35" s="775">
        <f t="shared" si="14"/>
        <v>100</v>
      </c>
      <c r="X35" s="1813"/>
      <c r="Y35" s="3217"/>
      <c r="Z35" s="1814" t="str">
        <f t="shared" si="15"/>
        <v>建筑结构</v>
      </c>
      <c r="AA35" s="1811">
        <f t="shared" si="3"/>
        <v>1</v>
      </c>
      <c r="AB35" s="1811">
        <f t="shared" si="4"/>
        <v>1</v>
      </c>
      <c r="AC35" s="2672">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5"/>
      <c r="Q36" s="1810" t="str">
        <f t="shared" si="11"/>
        <v>公共部分装修</v>
      </c>
      <c r="R36" s="774" t="s">
        <v>17</v>
      </c>
      <c r="S36" s="775">
        <f t="shared" si="12"/>
        <v>100</v>
      </c>
      <c r="T36" s="774" t="s">
        <v>17</v>
      </c>
      <c r="U36" s="775">
        <f t="shared" si="13"/>
        <v>100</v>
      </c>
      <c r="V36" s="774" t="s">
        <v>17</v>
      </c>
      <c r="W36" s="775">
        <f t="shared" si="14"/>
        <v>100</v>
      </c>
      <c r="X36" s="1813"/>
      <c r="Y36" s="3217"/>
      <c r="Z36" s="1814" t="str">
        <f t="shared" si="15"/>
        <v>公共部分装修</v>
      </c>
      <c r="AA36" s="1811">
        <f t="shared" si="3"/>
        <v>1</v>
      </c>
      <c r="AB36" s="1811">
        <f t="shared" si="4"/>
        <v>1</v>
      </c>
      <c r="AC36" s="2672">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5"/>
      <c r="Q37" s="1810" t="str">
        <f t="shared" si="11"/>
        <v>成新度</v>
      </c>
      <c r="R37" s="774" t="s">
        <v>17</v>
      </c>
      <c r="S37" s="775" t="e">
        <f t="shared" si="12"/>
        <v>#N/A</v>
      </c>
      <c r="T37" s="774" t="s">
        <v>17</v>
      </c>
      <c r="U37" s="775" t="e">
        <f t="shared" si="13"/>
        <v>#N/A</v>
      </c>
      <c r="V37" s="774" t="s">
        <v>17</v>
      </c>
      <c r="W37" s="775" t="e">
        <f t="shared" si="14"/>
        <v>#N/A</v>
      </c>
      <c r="X37" s="1813"/>
      <c r="Y37" s="3217"/>
      <c r="Z37" s="1814" t="str">
        <f t="shared" si="15"/>
        <v>成新度</v>
      </c>
      <c r="AA37" s="1811" t="e">
        <f t="shared" si="3"/>
        <v>#N/A</v>
      </c>
      <c r="AB37" s="1811" t="e">
        <f t="shared" si="4"/>
        <v>#N/A</v>
      </c>
      <c r="AC37" s="2672"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5"/>
      <c r="Q38" s="1795"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69">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5" t="s">
        <v>2564</v>
      </c>
      <c r="Q39" s="1810" t="str">
        <f t="shared" si="11"/>
        <v>物业管理</v>
      </c>
      <c r="R39" s="774" t="s">
        <v>17</v>
      </c>
      <c r="S39" s="775">
        <f t="shared" si="12"/>
        <v>100</v>
      </c>
      <c r="T39" s="774" t="s">
        <v>17</v>
      </c>
      <c r="U39" s="775">
        <f t="shared" si="13"/>
        <v>100</v>
      </c>
      <c r="V39" s="774" t="s">
        <v>17</v>
      </c>
      <c r="W39" s="775">
        <f t="shared" si="14"/>
        <v>100</v>
      </c>
      <c r="X39" s="1813"/>
      <c r="Y39" s="3217" t="s">
        <v>2564</v>
      </c>
      <c r="Z39" s="1814" t="str">
        <f t="shared" si="15"/>
        <v>物业管理</v>
      </c>
      <c r="AA39" s="1811">
        <f t="shared" si="3"/>
        <v>1</v>
      </c>
      <c r="AB39" s="1811">
        <f t="shared" si="4"/>
        <v>1</v>
      </c>
      <c r="AC39" s="2672">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5"/>
      <c r="Q40" s="1810" t="str">
        <f t="shared" si="11"/>
        <v>市政基础设施</v>
      </c>
      <c r="R40" s="774" t="s">
        <v>17</v>
      </c>
      <c r="S40" s="775">
        <f t="shared" si="12"/>
        <v>100</v>
      </c>
      <c r="T40" s="774" t="s">
        <v>17</v>
      </c>
      <c r="U40" s="775">
        <f t="shared" si="13"/>
        <v>100</v>
      </c>
      <c r="V40" s="774" t="s">
        <v>17</v>
      </c>
      <c r="W40" s="775">
        <f t="shared" si="14"/>
        <v>100</v>
      </c>
      <c r="X40" s="1813"/>
      <c r="Y40" s="3217"/>
      <c r="Z40" s="1814" t="str">
        <f t="shared" si="15"/>
        <v>市政基础设施</v>
      </c>
      <c r="AA40" s="1811">
        <f t="shared" si="3"/>
        <v>1</v>
      </c>
      <c r="AB40" s="1811">
        <f t="shared" si="4"/>
        <v>1</v>
      </c>
      <c r="AC40" s="2672">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5"/>
      <c r="Q41" s="1810" t="str">
        <f t="shared" si="11"/>
        <v>层高</v>
      </c>
      <c r="R41" s="774" t="s">
        <v>17</v>
      </c>
      <c r="S41" s="775">
        <f t="shared" si="12"/>
        <v>100</v>
      </c>
      <c r="T41" s="774" t="s">
        <v>17</v>
      </c>
      <c r="U41" s="775">
        <f t="shared" si="13"/>
        <v>100</v>
      </c>
      <c r="V41" s="774" t="s">
        <v>17</v>
      </c>
      <c r="W41" s="775">
        <f t="shared" si="14"/>
        <v>100</v>
      </c>
      <c r="X41" s="1813"/>
      <c r="Y41" s="3217"/>
      <c r="Z41" s="1814" t="str">
        <f t="shared" si="15"/>
        <v>层高</v>
      </c>
      <c r="AA41" s="1811">
        <f t="shared" si="3"/>
        <v>1</v>
      </c>
      <c r="AB41" s="1811">
        <f t="shared" si="4"/>
        <v>1</v>
      </c>
      <c r="AC41" s="2672">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1">
        <f t="shared" si="3"/>
        <v>1</v>
      </c>
      <c r="AB42" s="1811">
        <f t="shared" si="4"/>
        <v>1</v>
      </c>
      <c r="AC42" s="2672">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5"/>
      <c r="Q43" s="1810" t="str">
        <f t="shared" si="11"/>
        <v>内部装修</v>
      </c>
      <c r="R43" s="774" t="s">
        <v>17</v>
      </c>
      <c r="S43" s="775">
        <f t="shared" si="12"/>
        <v>100</v>
      </c>
      <c r="T43" s="774" t="s">
        <v>17</v>
      </c>
      <c r="U43" s="775">
        <f t="shared" si="13"/>
        <v>100</v>
      </c>
      <c r="V43" s="774" t="s">
        <v>17</v>
      </c>
      <c r="W43" s="775">
        <f t="shared" si="14"/>
        <v>100</v>
      </c>
      <c r="X43" s="1813"/>
      <c r="Y43" s="3217"/>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15"/>
      <c r="Q44" s="1810" t="str">
        <f t="shared" si="11"/>
        <v>内部装修维护情况</v>
      </c>
      <c r="R44" s="774" t="s">
        <v>17</v>
      </c>
      <c r="S44" s="775">
        <f t="shared" si="12"/>
        <v>100</v>
      </c>
      <c r="T44" s="774" t="s">
        <v>17</v>
      </c>
      <c r="U44" s="775">
        <f t="shared" si="13"/>
        <v>100</v>
      </c>
      <c r="V44" s="774" t="s">
        <v>17</v>
      </c>
      <c r="W44" s="775">
        <f t="shared" si="14"/>
        <v>100</v>
      </c>
      <c r="X44" s="1813"/>
      <c r="Y44" s="3217"/>
      <c r="Z44" s="1814" t="str">
        <f t="shared" si="15"/>
        <v>内部装修维护情况</v>
      </c>
      <c r="AA44" s="1811">
        <f t="shared" si="3"/>
        <v>1</v>
      </c>
      <c r="AB44" s="1811">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5"/>
      <c r="Q45" s="1795">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5"/>
      <c r="Q46" s="1810">
        <f t="shared" si="11"/>
        <v>111</v>
      </c>
      <c r="R46" s="774" t="s">
        <v>17</v>
      </c>
      <c r="S46" s="775">
        <f t="shared" si="12"/>
        <v>100</v>
      </c>
      <c r="T46" s="774" t="s">
        <v>17</v>
      </c>
      <c r="U46" s="775">
        <f t="shared" si="13"/>
        <v>100</v>
      </c>
      <c r="V46" s="774" t="s">
        <v>17</v>
      </c>
      <c r="W46" s="775">
        <f t="shared" si="14"/>
        <v>100</v>
      </c>
      <c r="X46" s="1813"/>
      <c r="Y46" s="3217"/>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6"/>
      <c r="Q47" s="1810">
        <f t="shared" si="11"/>
        <v>111</v>
      </c>
      <c r="R47" s="774" t="s">
        <v>17</v>
      </c>
      <c r="S47" s="775">
        <f t="shared" si="12"/>
        <v>100</v>
      </c>
      <c r="T47" s="774" t="s">
        <v>17</v>
      </c>
      <c r="U47" s="775">
        <f t="shared" si="13"/>
        <v>100</v>
      </c>
      <c r="V47" s="774" t="s">
        <v>17</v>
      </c>
      <c r="W47" s="775">
        <f t="shared" si="14"/>
        <v>100</v>
      </c>
      <c r="X47" s="1813"/>
      <c r="Y47" s="3218"/>
      <c r="Z47" s="1814">
        <f t="shared" si="15"/>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21" t="str">
        <f>A48</f>
        <v>成交单价（元/平方米）</v>
      </c>
      <c r="Q48" s="3210"/>
      <c r="R48" s="3211">
        <f>E48</f>
        <v>0</v>
      </c>
      <c r="S48" s="3211"/>
      <c r="T48" s="3211">
        <f>G48</f>
        <v>0</v>
      </c>
      <c r="U48" s="3211"/>
      <c r="V48" s="3211">
        <f>I48</f>
        <v>0</v>
      </c>
      <c r="W48" s="3211"/>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1"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58" t="str">
        <f>A50</f>
        <v>估价对象XX用房的比较价值（楼面单价，元/平方米）</v>
      </c>
      <c r="Q50" s="3259"/>
      <c r="R50" s="3260" t="e">
        <f>IF(F1="售价",ROUND(AVERAGE(R49:V49),0),ROUND(AVERAGE(R49:V49),1))</f>
        <v>#DIV/0!</v>
      </c>
      <c r="S50" s="3260"/>
      <c r="T50" s="3260"/>
      <c r="U50" s="3260"/>
      <c r="V50" s="3260"/>
      <c r="W50" s="3260"/>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6">EDATE(E59,-1)</f>
        <v>43739</v>
      </c>
      <c r="G59" s="1575">
        <f t="shared" si="16"/>
        <v>43709</v>
      </c>
      <c r="H59" s="1575">
        <f t="shared" si="16"/>
        <v>43678</v>
      </c>
      <c r="I59" s="1575">
        <f t="shared" si="16"/>
        <v>43647</v>
      </c>
      <c r="J59" s="1575">
        <f t="shared" si="16"/>
        <v>43617</v>
      </c>
      <c r="K59" s="1575">
        <f t="shared" si="16"/>
        <v>43586</v>
      </c>
      <c r="L59" s="1575">
        <f t="shared" si="16"/>
        <v>43556</v>
      </c>
      <c r="M59" s="1575">
        <f t="shared" si="16"/>
        <v>43525</v>
      </c>
      <c r="N59" s="1575">
        <f t="shared" si="16"/>
        <v>43497</v>
      </c>
      <c r="O59" s="1575">
        <f t="shared" si="16"/>
        <v>43466</v>
      </c>
      <c r="P59" s="1571"/>
    </row>
    <row r="60" spans="1:29" s="117" customFormat="1" ht="15">
      <c r="A60" s="509"/>
      <c r="B60" s="510"/>
      <c r="C60" s="1573">
        <v>100</v>
      </c>
      <c r="D60" s="512"/>
      <c r="E60" s="512"/>
      <c r="F60" s="512"/>
      <c r="G60" s="512"/>
      <c r="H60" s="512"/>
      <c r="I60" s="512"/>
      <c r="J60" s="512"/>
      <c r="K60" s="512"/>
      <c r="L60" s="512"/>
      <c r="M60" s="513"/>
      <c r="N60" s="512"/>
      <c r="O60" s="513"/>
      <c r="P60" s="2680"/>
    </row>
    <row r="61" spans="1:29" s="117" customFormat="1" ht="15.7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2650</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2586</v>
      </c>
      <c r="B64" s="528" t="s">
        <v>2553</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2556</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2558</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2697</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2562</v>
      </c>
      <c r="B101" s="528" t="s">
        <v>2610</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2612</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2614</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2615</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2616</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2699</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2618</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7" t="s">
        <v>2700</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2642</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23" t="s">
        <v>2646</v>
      </c>
      <c r="AC4" s="3222" t="s">
        <v>2647</v>
      </c>
    </row>
    <row r="5" spans="1:29"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23"/>
      <c r="AC5" s="3223"/>
    </row>
    <row r="6" spans="1:29" ht="15.75" thickBot="1">
      <c r="A6" s="406"/>
      <c r="B6" s="407"/>
      <c r="C6" s="3242" t="s">
        <v>2545</v>
      </c>
      <c r="D6" s="3243"/>
      <c r="E6" s="3252" t="s">
        <v>2545</v>
      </c>
      <c r="F6" s="3253"/>
      <c r="G6" s="3242" t="s">
        <v>2545</v>
      </c>
      <c r="H6" s="3243"/>
      <c r="I6" s="3242" t="s">
        <v>2545</v>
      </c>
      <c r="J6" s="3243"/>
      <c r="K6" s="610" t="s">
        <v>2546</v>
      </c>
      <c r="L6" s="1130"/>
      <c r="M6" s="1131"/>
      <c r="N6" s="1131"/>
      <c r="O6" s="1131"/>
      <c r="P6" s="3233"/>
      <c r="Q6" s="3234"/>
      <c r="R6" s="3237"/>
      <c r="S6" s="3238"/>
      <c r="T6" s="3239"/>
      <c r="U6" s="3240"/>
      <c r="V6" s="3241"/>
      <c r="W6" s="3241"/>
      <c r="X6" s="1813"/>
      <c r="Y6" s="3239"/>
      <c r="Z6" s="3240"/>
      <c r="AA6" s="3224"/>
      <c r="AB6" s="3224"/>
      <c r="AC6" s="3224"/>
    </row>
    <row r="7" spans="1:29" s="117" customFormat="1" ht="15.75"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6" t="s">
        <v>2548</v>
      </c>
      <c r="Q7" s="3248"/>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3"/>
      <c r="Q18" s="1810"/>
      <c r="R18" s="774"/>
      <c r="S18" s="775"/>
      <c r="T18" s="774"/>
      <c r="U18" s="775"/>
      <c r="V18" s="774"/>
      <c r="W18" s="775"/>
      <c r="X18" s="1813"/>
      <c r="Y18" s="3213"/>
      <c r="Z18" s="1814"/>
      <c r="AA18" s="1811">
        <v>1</v>
      </c>
      <c r="AB18" s="1811">
        <v>1</v>
      </c>
      <c r="AC18" s="1811">
        <v>1</v>
      </c>
    </row>
    <row r="19" spans="1:29" ht="42.7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3"/>
      <c r="Q19" s="1810" t="str">
        <f>B19</f>
        <v>公共配套设施</v>
      </c>
      <c r="R19" s="774" t="s">
        <v>17</v>
      </c>
      <c r="S19" s="775">
        <f>F19</f>
        <v>100</v>
      </c>
      <c r="T19" s="774" t="s">
        <v>17</v>
      </c>
      <c r="U19" s="775">
        <f>H19</f>
        <v>100</v>
      </c>
      <c r="V19" s="774" t="s">
        <v>17</v>
      </c>
      <c r="W19" s="775">
        <f>J19</f>
        <v>100</v>
      </c>
      <c r="X19" s="1813"/>
      <c r="Y19" s="3213"/>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3"/>
      <c r="Q20" s="1810"/>
      <c r="R20" s="774"/>
      <c r="S20" s="775"/>
      <c r="T20" s="774"/>
      <c r="U20" s="775"/>
      <c r="V20" s="774"/>
      <c r="W20" s="775"/>
      <c r="X20" s="1813"/>
      <c r="Y20" s="3213"/>
      <c r="Z20" s="1814"/>
      <c r="AA20" s="1811">
        <v>1</v>
      </c>
      <c r="AB20" s="1811">
        <v>1</v>
      </c>
      <c r="AC20" s="1811">
        <v>1</v>
      </c>
    </row>
    <row r="21" spans="1:29" ht="28.5">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3"/>
      <c r="Q21" s="1810" t="str">
        <f>B21</f>
        <v>基础设施水平</v>
      </c>
      <c r="R21" s="774" t="s">
        <v>17</v>
      </c>
      <c r="S21" s="775">
        <f>F21</f>
        <v>100</v>
      </c>
      <c r="T21" s="774" t="s">
        <v>17</v>
      </c>
      <c r="U21" s="775">
        <f>H21</f>
        <v>100</v>
      </c>
      <c r="V21" s="774" t="s">
        <v>17</v>
      </c>
      <c r="W21" s="775">
        <f>J21</f>
        <v>100</v>
      </c>
      <c r="X21" s="1813"/>
      <c r="Y21" s="3213"/>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3"/>
      <c r="Q22" s="1810"/>
      <c r="R22" s="774"/>
      <c r="S22" s="775"/>
      <c r="T22" s="774"/>
      <c r="U22" s="775"/>
      <c r="V22" s="774"/>
      <c r="W22" s="775"/>
      <c r="X22" s="1813"/>
      <c r="Y22" s="3213"/>
      <c r="Z22" s="1814"/>
      <c r="AA22" s="1811">
        <v>1</v>
      </c>
      <c r="AB22" s="1811">
        <v>1</v>
      </c>
      <c r="AC22" s="1811">
        <v>1</v>
      </c>
    </row>
    <row r="23" spans="1:29" ht="71.2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3"/>
      <c r="Q23" s="1810" t="str">
        <f>B23</f>
        <v>环境质量</v>
      </c>
      <c r="R23" s="774" t="s">
        <v>17</v>
      </c>
      <c r="S23" s="775">
        <f>F23</f>
        <v>100</v>
      </c>
      <c r="T23" s="774" t="s">
        <v>17</v>
      </c>
      <c r="U23" s="775">
        <f>H23</f>
        <v>100</v>
      </c>
      <c r="V23" s="774" t="s">
        <v>17</v>
      </c>
      <c r="W23" s="775">
        <f>J23</f>
        <v>100</v>
      </c>
      <c r="X23" s="1813"/>
      <c r="Y23" s="3213"/>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3"/>
      <c r="Q24" s="1810"/>
      <c r="R24" s="774"/>
      <c r="S24" s="775"/>
      <c r="T24" s="774"/>
      <c r="U24" s="775"/>
      <c r="V24" s="774"/>
      <c r="W24" s="775"/>
      <c r="X24" s="1813"/>
      <c r="Y24" s="3213"/>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3"/>
      <c r="Q25" s="1810">
        <f>B25</f>
        <v>111</v>
      </c>
      <c r="R25" s="774" t="s">
        <v>17</v>
      </c>
      <c r="S25" s="775">
        <f>F25</f>
        <v>100</v>
      </c>
      <c r="T25" s="774" t="s">
        <v>17</v>
      </c>
      <c r="U25" s="775">
        <f>H25</f>
        <v>100</v>
      </c>
      <c r="V25" s="774" t="s">
        <v>17</v>
      </c>
      <c r="W25" s="775">
        <f>J25</f>
        <v>100</v>
      </c>
      <c r="X25" s="1813"/>
      <c r="Y25" s="3213"/>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3"/>
      <c r="Q26" s="1810">
        <f t="shared" ref="Q26:Q40" si="11">B26</f>
        <v>111</v>
      </c>
      <c r="R26" s="774" t="s">
        <v>17</v>
      </c>
      <c r="S26" s="775">
        <f>F26</f>
        <v>100</v>
      </c>
      <c r="T26" s="774" t="s">
        <v>17</v>
      </c>
      <c r="U26" s="775">
        <f>H26</f>
        <v>100</v>
      </c>
      <c r="V26" s="774" t="s">
        <v>17</v>
      </c>
      <c r="W26" s="775">
        <f>J26</f>
        <v>100</v>
      </c>
      <c r="X26" s="1813"/>
      <c r="Y26" s="3213"/>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3"/>
      <c r="Q27" s="1795">
        <f t="shared" si="11"/>
        <v>111</v>
      </c>
      <c r="R27" s="770" t="s">
        <v>17</v>
      </c>
      <c r="S27" s="771">
        <f>F27</f>
        <v>100</v>
      </c>
      <c r="T27" s="770" t="s">
        <v>17</v>
      </c>
      <c r="U27" s="771">
        <f>H27</f>
        <v>100</v>
      </c>
      <c r="V27" s="770" t="s">
        <v>17</v>
      </c>
      <c r="W27" s="771">
        <f>J27</f>
        <v>100</v>
      </c>
      <c r="X27" s="772"/>
      <c r="Y27" s="3213"/>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3"/>
      <c r="Q28" s="1810">
        <f t="shared" si="11"/>
        <v>111</v>
      </c>
      <c r="R28" s="774" t="s">
        <v>17</v>
      </c>
      <c r="S28" s="775">
        <f t="shared" ref="S28:S40" si="12">F28</f>
        <v>100</v>
      </c>
      <c r="T28" s="774" t="s">
        <v>17</v>
      </c>
      <c r="U28" s="775">
        <f t="shared" ref="U28:U40" si="13">H28</f>
        <v>100</v>
      </c>
      <c r="V28" s="774" t="s">
        <v>17</v>
      </c>
      <c r="W28" s="775">
        <f t="shared" ref="W28:W40" si="14">J28</f>
        <v>100</v>
      </c>
      <c r="X28" s="1813"/>
      <c r="Y28" s="3213"/>
      <c r="Z28" s="1814">
        <f t="shared" ref="Z28:Z40" si="15">Q28</f>
        <v>111</v>
      </c>
      <c r="AA28" s="1811">
        <f t="shared" si="3"/>
        <v>1</v>
      </c>
      <c r="AB28" s="1811">
        <f t="shared" si="4"/>
        <v>1</v>
      </c>
      <c r="AC28" s="1811">
        <f t="shared" si="5"/>
        <v>1</v>
      </c>
    </row>
    <row r="29" spans="1:29" ht="29.25">
      <c r="A29" s="466" t="s">
        <v>2562</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73" t="s">
        <v>2564</v>
      </c>
      <c r="Q29" s="1810" t="str">
        <f t="shared" si="11"/>
        <v>建筑类型</v>
      </c>
      <c r="R29" s="774" t="s">
        <v>17</v>
      </c>
      <c r="S29" s="775">
        <f t="shared" si="12"/>
        <v>100</v>
      </c>
      <c r="T29" s="774" t="s">
        <v>17</v>
      </c>
      <c r="U29" s="775">
        <f t="shared" si="13"/>
        <v>100</v>
      </c>
      <c r="V29" s="774" t="s">
        <v>17</v>
      </c>
      <c r="W29" s="775">
        <f t="shared" si="14"/>
        <v>100</v>
      </c>
      <c r="X29" s="1813"/>
      <c r="Y29" s="3217"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10" t="str">
        <f t="shared" si="11"/>
        <v>建筑结构</v>
      </c>
      <c r="R31" s="774" t="s">
        <v>17</v>
      </c>
      <c r="S31" s="775">
        <f t="shared" si="12"/>
        <v>100</v>
      </c>
      <c r="T31" s="774" t="s">
        <v>17</v>
      </c>
      <c r="U31" s="775">
        <f t="shared" si="13"/>
        <v>100</v>
      </c>
      <c r="V31" s="774" t="s">
        <v>17</v>
      </c>
      <c r="W31" s="775">
        <f t="shared" si="14"/>
        <v>100</v>
      </c>
      <c r="X31" s="1813"/>
      <c r="Y31" s="3217"/>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10" t="str">
        <f t="shared" si="11"/>
        <v>公共部分装修</v>
      </c>
      <c r="R32" s="774" t="s">
        <v>17</v>
      </c>
      <c r="S32" s="775">
        <f t="shared" si="12"/>
        <v>100</v>
      </c>
      <c r="T32" s="774" t="s">
        <v>17</v>
      </c>
      <c r="U32" s="775">
        <f t="shared" si="13"/>
        <v>100</v>
      </c>
      <c r="V32" s="774" t="s">
        <v>17</v>
      </c>
      <c r="W32" s="775">
        <f t="shared" si="14"/>
        <v>100</v>
      </c>
      <c r="X32" s="1813"/>
      <c r="Y32" s="3217"/>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10" t="str">
        <f t="shared" si="11"/>
        <v>成新度</v>
      </c>
      <c r="R33" s="774" t="s">
        <v>17</v>
      </c>
      <c r="S33" s="775" t="e">
        <f t="shared" si="12"/>
        <v>#N/A</v>
      </c>
      <c r="T33" s="774" t="s">
        <v>17</v>
      </c>
      <c r="U33" s="775" t="e">
        <f t="shared" si="13"/>
        <v>#N/A</v>
      </c>
      <c r="V33" s="774" t="s">
        <v>17</v>
      </c>
      <c r="W33" s="775" t="e">
        <f t="shared" si="14"/>
        <v>#N/A</v>
      </c>
      <c r="X33" s="1813"/>
      <c r="Y33" s="3217"/>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5"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2564</v>
      </c>
      <c r="Q35" s="1810" t="str">
        <f t="shared" si="11"/>
        <v>市政基础设施</v>
      </c>
      <c r="R35" s="774" t="s">
        <v>17</v>
      </c>
      <c r="S35" s="775">
        <f t="shared" si="12"/>
        <v>100</v>
      </c>
      <c r="T35" s="774" t="s">
        <v>17</v>
      </c>
      <c r="U35" s="775">
        <f t="shared" si="13"/>
        <v>100</v>
      </c>
      <c r="V35" s="774" t="s">
        <v>17</v>
      </c>
      <c r="W35" s="775">
        <f t="shared" si="14"/>
        <v>100</v>
      </c>
      <c r="X35" s="1813"/>
      <c r="Y35" s="3217" t="s">
        <v>2564</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10" t="str">
        <f t="shared" si="11"/>
        <v>内部装修</v>
      </c>
      <c r="R36" s="774" t="s">
        <v>17</v>
      </c>
      <c r="S36" s="775">
        <f t="shared" si="12"/>
        <v>100</v>
      </c>
      <c r="T36" s="774" t="s">
        <v>17</v>
      </c>
      <c r="U36" s="775">
        <f t="shared" si="13"/>
        <v>100</v>
      </c>
      <c r="V36" s="774" t="s">
        <v>17</v>
      </c>
      <c r="W36" s="775">
        <f t="shared" si="14"/>
        <v>100</v>
      </c>
      <c r="X36" s="1813"/>
      <c r="Y36" s="3217"/>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10" t="str">
        <f t="shared" si="11"/>
        <v>内部装修状况</v>
      </c>
      <c r="R37" s="774" t="s">
        <v>17</v>
      </c>
      <c r="S37" s="775">
        <f t="shared" si="12"/>
        <v>100</v>
      </c>
      <c r="T37" s="774" t="s">
        <v>17</v>
      </c>
      <c r="U37" s="775">
        <f t="shared" si="13"/>
        <v>100</v>
      </c>
      <c r="V37" s="774" t="s">
        <v>17</v>
      </c>
      <c r="W37" s="775">
        <f t="shared" si="14"/>
        <v>100</v>
      </c>
      <c r="X37" s="1813"/>
      <c r="Y37" s="321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10">
        <f t="shared" si="11"/>
        <v>111</v>
      </c>
      <c r="R39" s="774" t="s">
        <v>17</v>
      </c>
      <c r="S39" s="775">
        <f t="shared" si="12"/>
        <v>100</v>
      </c>
      <c r="T39" s="774" t="s">
        <v>17</v>
      </c>
      <c r="U39" s="775">
        <f t="shared" si="13"/>
        <v>100</v>
      </c>
      <c r="V39" s="774" t="s">
        <v>17</v>
      </c>
      <c r="W39" s="775">
        <f t="shared" si="14"/>
        <v>100</v>
      </c>
      <c r="X39" s="1813"/>
      <c r="Y39" s="3217"/>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8"/>
      <c r="Q40" s="1810">
        <f t="shared" si="11"/>
        <v>111</v>
      </c>
      <c r="R40" s="774" t="s">
        <v>17</v>
      </c>
      <c r="S40" s="775">
        <f t="shared" si="12"/>
        <v>100</v>
      </c>
      <c r="T40" s="774" t="s">
        <v>17</v>
      </c>
      <c r="U40" s="775">
        <f t="shared" si="13"/>
        <v>100</v>
      </c>
      <c r="V40" s="774" t="s">
        <v>17</v>
      </c>
      <c r="W40" s="775">
        <f t="shared" si="14"/>
        <v>100</v>
      </c>
      <c r="X40" s="1813"/>
      <c r="Y40" s="3218"/>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10" t="str">
        <f>A41</f>
        <v>成交单价（元/平方米）</v>
      </c>
      <c r="Q41" s="3210"/>
      <c r="R41" s="3211">
        <f>E41</f>
        <v>0</v>
      </c>
      <c r="S41" s="3211"/>
      <c r="T41" s="3211">
        <f>G41</f>
        <v>0</v>
      </c>
      <c r="U41" s="3211"/>
      <c r="V41" s="3211">
        <f>I41</f>
        <v>0</v>
      </c>
      <c r="W41" s="3211"/>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7" t="str">
        <f>A43</f>
        <v>估价对象XX用房的比较价值（楼面单价，元/平方米）</v>
      </c>
      <c r="Q43" s="3208"/>
      <c r="R43" s="3209" t="e">
        <f>IF(F1="售价",ROUND(AVERAGE(R42:V42),0),ROUND(AVERAGE(R42:V42),1))</f>
        <v>#DIV/0!</v>
      </c>
      <c r="S43" s="3209"/>
      <c r="T43" s="3209"/>
      <c r="U43" s="3209"/>
      <c r="V43" s="3209"/>
      <c r="W43" s="320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6">EDATE(D52,-1)</f>
        <v>43770</v>
      </c>
      <c r="F52" s="1575">
        <f t="shared" si="16"/>
        <v>43739</v>
      </c>
      <c r="G52" s="1575">
        <f t="shared" si="16"/>
        <v>43709</v>
      </c>
      <c r="H52" s="1575">
        <f t="shared" si="16"/>
        <v>43678</v>
      </c>
      <c r="I52" s="1575">
        <f t="shared" si="16"/>
        <v>43647</v>
      </c>
      <c r="J52" s="1575">
        <f t="shared" si="16"/>
        <v>43617</v>
      </c>
      <c r="K52" s="1575">
        <f t="shared" si="16"/>
        <v>43586</v>
      </c>
      <c r="L52" s="1575">
        <f t="shared" si="16"/>
        <v>43556</v>
      </c>
      <c r="M52" s="1575">
        <f t="shared" si="16"/>
        <v>43525</v>
      </c>
      <c r="N52" s="1575">
        <f t="shared" si="16"/>
        <v>43497</v>
      </c>
      <c r="O52" s="1575">
        <f t="shared" si="16"/>
        <v>43466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2562</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北京博大新元房地产开发有限公司：</v>
      </c>
    </row>
    <row r="4" spans="1:1" ht="36">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75">
      <c r="A5" s="1948" t="s">
        <v>1606</v>
      </c>
    </row>
    <row r="6" spans="1:1" ht="18.75">
      <c r="A6" s="1949" t="s">
        <v>1607</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7.75">
      <c r="A8" s="1950" t="s">
        <v>1608</v>
      </c>
    </row>
    <row r="9" spans="1:1" ht="18.75">
      <c r="A9" s="1949" t="s">
        <v>1609</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2020年1月17日（评估专业人员实地查勘之日）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本次评估采用的主估价方法为比较法和比较法。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23" t="s">
        <v>2646</v>
      </c>
      <c r="AC4" s="3222" t="s">
        <v>2647</v>
      </c>
    </row>
    <row r="5" spans="1:29"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23"/>
      <c r="AC5" s="3223"/>
    </row>
    <row r="6" spans="1:29" ht="15.75" thickBot="1">
      <c r="A6" s="406"/>
      <c r="B6" s="407"/>
      <c r="C6" s="3242" t="s">
        <v>2545</v>
      </c>
      <c r="D6" s="3243"/>
      <c r="E6" s="3252" t="s">
        <v>2545</v>
      </c>
      <c r="F6" s="3253"/>
      <c r="G6" s="3242" t="s">
        <v>2545</v>
      </c>
      <c r="H6" s="3243"/>
      <c r="I6" s="3242" t="s">
        <v>2545</v>
      </c>
      <c r="J6" s="3243"/>
      <c r="K6" s="610" t="s">
        <v>2546</v>
      </c>
      <c r="L6" s="1130"/>
      <c r="M6" s="1131"/>
      <c r="N6" s="1131"/>
      <c r="O6" s="1131"/>
      <c r="P6" s="3233"/>
      <c r="Q6" s="3234"/>
      <c r="R6" s="3237"/>
      <c r="S6" s="3238"/>
      <c r="T6" s="3239"/>
      <c r="U6" s="3240"/>
      <c r="V6" s="3241"/>
      <c r="W6" s="3241"/>
      <c r="X6" s="1813"/>
      <c r="Y6" s="3239"/>
      <c r="Z6" s="3240"/>
      <c r="AA6" s="3224"/>
      <c r="AB6" s="3224"/>
      <c r="AC6" s="3224"/>
    </row>
    <row r="7" spans="1:29" s="117" customFormat="1" ht="15.75"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6" t="s">
        <v>2548</v>
      </c>
      <c r="Q7" s="3248"/>
      <c r="R7" s="770" t="s">
        <v>17</v>
      </c>
      <c r="S7" s="771">
        <f t="shared" ref="S7:S14" si="0">F7</f>
        <v>0</v>
      </c>
      <c r="T7" s="770" t="s">
        <v>17</v>
      </c>
      <c r="U7" s="771">
        <f t="shared" ref="U7:U14" si="1">H7</f>
        <v>0</v>
      </c>
      <c r="V7" s="770" t="s">
        <v>17</v>
      </c>
      <c r="W7" s="771">
        <f t="shared" ref="W7:W14" si="2">J7</f>
        <v>0</v>
      </c>
      <c r="X7" s="772"/>
      <c r="Y7" s="3246" t="s">
        <v>2548</v>
      </c>
      <c r="Z7" s="3247"/>
      <c r="AA7" s="773" t="e">
        <f>D7/F7</f>
        <v>#DIV/0!</v>
      </c>
      <c r="AB7" s="773" t="e">
        <f>D7/H7</f>
        <v>#DIV/0!</v>
      </c>
      <c r="AC7" s="773" t="e">
        <f>D7/J7</f>
        <v>#DIV/0!</v>
      </c>
    </row>
    <row r="8" spans="1:29" s="117" customFormat="1" ht="15.75" thickBot="1">
      <c r="A8" s="408" t="s">
        <v>2549</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0" t="s">
        <v>2554</v>
      </c>
      <c r="Q9" s="1795"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0"/>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0"/>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0"/>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0"/>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28.25">
      <c r="A14" s="401" t="s">
        <v>2558</v>
      </c>
      <c r="B14" s="62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3"/>
      <c r="Q15" s="1810"/>
      <c r="R15" s="774"/>
      <c r="S15" s="775"/>
      <c r="T15" s="774"/>
      <c r="U15" s="775"/>
      <c r="V15" s="774"/>
      <c r="W15" s="775"/>
      <c r="X15" s="1813"/>
      <c r="Y15" s="3213"/>
      <c r="Z15" s="1814"/>
      <c r="AA15" s="1811">
        <v>1</v>
      </c>
      <c r="AB15" s="1811">
        <v>1</v>
      </c>
      <c r="AC15" s="1811">
        <v>1</v>
      </c>
    </row>
    <row r="16" spans="1:29" ht="42.75">
      <c r="A16" s="404"/>
      <c r="B16" s="631" t="s">
        <v>2686</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3"/>
      <c r="Q17" s="1810"/>
      <c r="R17" s="774"/>
      <c r="S17" s="775"/>
      <c r="T17" s="774"/>
      <c r="U17" s="775"/>
      <c r="V17" s="774"/>
      <c r="W17" s="775"/>
      <c r="X17" s="1813"/>
      <c r="Y17" s="3213"/>
      <c r="Z17" s="1814"/>
      <c r="AA17" s="1811">
        <v>1</v>
      </c>
      <c r="AB17" s="1811">
        <v>1</v>
      </c>
      <c r="AC17" s="1811">
        <v>1</v>
      </c>
    </row>
    <row r="18" spans="1:29" ht="15">
      <c r="A18" s="404"/>
      <c r="B18" s="633" t="s">
        <v>2687</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3"/>
      <c r="Q19" s="1810"/>
      <c r="R19" s="774"/>
      <c r="S19" s="775"/>
      <c r="T19" s="774"/>
      <c r="U19" s="775"/>
      <c r="V19" s="774"/>
      <c r="W19" s="775"/>
      <c r="X19" s="1813"/>
      <c r="Y19" s="3213"/>
      <c r="Z19" s="1814"/>
      <c r="AA19" s="1811">
        <v>1</v>
      </c>
      <c r="AB19" s="1811">
        <v>1</v>
      </c>
      <c r="AC19" s="1811">
        <v>1</v>
      </c>
    </row>
    <row r="20" spans="1:29" ht="114">
      <c r="A20" s="404"/>
      <c r="B20" s="63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3"/>
      <c r="Q21" s="1810"/>
      <c r="R21" s="774"/>
      <c r="S21" s="775"/>
      <c r="T21" s="774"/>
      <c r="U21" s="775"/>
      <c r="V21" s="774"/>
      <c r="W21" s="775"/>
      <c r="X21" s="1813"/>
      <c r="Y21" s="3213"/>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3"/>
      <c r="Q24" s="1810">
        <f t="shared" ref="Q24:Q36"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9.25">
      <c r="A26" s="652" t="s">
        <v>2562</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7" t="s">
        <v>2564</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10" t="str">
        <f t="shared" si="11"/>
        <v>公共部分装修</v>
      </c>
      <c r="R28" s="774" t="s">
        <v>17</v>
      </c>
      <c r="S28" s="775">
        <f t="shared" si="12"/>
        <v>100</v>
      </c>
      <c r="T28" s="774" t="s">
        <v>17</v>
      </c>
      <c r="U28" s="775">
        <f t="shared" si="13"/>
        <v>100</v>
      </c>
      <c r="V28" s="774" t="s">
        <v>17</v>
      </c>
      <c r="W28" s="775">
        <f t="shared" si="14"/>
        <v>100</v>
      </c>
      <c r="X28" s="1813"/>
      <c r="Y28" s="3217"/>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10" t="str">
        <f t="shared" si="11"/>
        <v>成新率</v>
      </c>
      <c r="R29" s="774" t="s">
        <v>17</v>
      </c>
      <c r="S29" s="775" t="e">
        <f t="shared" si="12"/>
        <v>#N/A</v>
      </c>
      <c r="T29" s="774" t="s">
        <v>17</v>
      </c>
      <c r="U29" s="775" t="e">
        <f t="shared" si="13"/>
        <v>#N/A</v>
      </c>
      <c r="V29" s="774" t="s">
        <v>17</v>
      </c>
      <c r="W29" s="775" t="e">
        <f t="shared" si="14"/>
        <v>#N/A</v>
      </c>
      <c r="X29" s="1813"/>
      <c r="Y29" s="3217"/>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10" t="str">
        <f t="shared" si="11"/>
        <v>物业等级</v>
      </c>
      <c r="R30" s="774" t="s">
        <v>17</v>
      </c>
      <c r="S30" s="775">
        <f t="shared" si="12"/>
        <v>100</v>
      </c>
      <c r="T30" s="774" t="s">
        <v>17</v>
      </c>
      <c r="U30" s="775">
        <f t="shared" si="13"/>
        <v>100</v>
      </c>
      <c r="V30" s="774" t="s">
        <v>17</v>
      </c>
      <c r="W30" s="775">
        <f t="shared" si="14"/>
        <v>100</v>
      </c>
      <c r="X30" s="1813"/>
      <c r="Y30" s="3217"/>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5"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2564</v>
      </c>
      <c r="Q32" s="1810" t="str">
        <f t="shared" si="11"/>
        <v>车位类型</v>
      </c>
      <c r="R32" s="774" t="s">
        <v>17</v>
      </c>
      <c r="S32" s="775">
        <f t="shared" si="12"/>
        <v>100</v>
      </c>
      <c r="T32" s="774" t="s">
        <v>17</v>
      </c>
      <c r="U32" s="775">
        <f t="shared" si="13"/>
        <v>100</v>
      </c>
      <c r="V32" s="774" t="s">
        <v>17</v>
      </c>
      <c r="W32" s="775">
        <f t="shared" si="14"/>
        <v>100</v>
      </c>
      <c r="X32" s="1813"/>
      <c r="Y32" s="3217" t="s">
        <v>2564</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10" t="str">
        <f t="shared" si="11"/>
        <v>是否直接入户</v>
      </c>
      <c r="R33" s="774" t="s">
        <v>17</v>
      </c>
      <c r="S33" s="775">
        <f t="shared" si="12"/>
        <v>100</v>
      </c>
      <c r="T33" s="774" t="s">
        <v>17</v>
      </c>
      <c r="U33" s="775">
        <f t="shared" si="13"/>
        <v>100</v>
      </c>
      <c r="V33" s="774" t="s">
        <v>17</v>
      </c>
      <c r="W33" s="775">
        <f t="shared" si="14"/>
        <v>100</v>
      </c>
      <c r="X33" s="1813"/>
      <c r="Y33" s="321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10">
        <f t="shared" si="11"/>
        <v>111</v>
      </c>
      <c r="R36" s="774" t="s">
        <v>17</v>
      </c>
      <c r="S36" s="775">
        <f t="shared" si="12"/>
        <v>100</v>
      </c>
      <c r="T36" s="774" t="s">
        <v>17</v>
      </c>
      <c r="U36" s="775">
        <f t="shared" si="13"/>
        <v>100</v>
      </c>
      <c r="V36" s="774" t="s">
        <v>17</v>
      </c>
      <c r="W36" s="775">
        <f t="shared" si="14"/>
        <v>100</v>
      </c>
      <c r="X36" s="1813"/>
      <c r="Y36" s="3217"/>
      <c r="Z36" s="1814">
        <f t="shared" si="15"/>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10" t="str">
        <f>A37</f>
        <v>成交单价</v>
      </c>
      <c r="Q37" s="3210"/>
      <c r="R37" s="3211">
        <f>E37</f>
        <v>0</v>
      </c>
      <c r="S37" s="3211"/>
      <c r="T37" s="3211">
        <f>G37</f>
        <v>0</v>
      </c>
      <c r="U37" s="3211"/>
      <c r="V37" s="3211">
        <f>I37</f>
        <v>0</v>
      </c>
      <c r="W37" s="3211"/>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7" t="str">
        <f>A39</f>
        <v>估价对象XX用房的比较价值（楼面单价，元/平方米）</v>
      </c>
      <c r="Q39" s="3208"/>
      <c r="R39" s="3209" t="e">
        <f>IF(F1="售价",ROUND(AVERAGE(R38:V38),0),ROUND(AVERAGE(R38:V38),1))</f>
        <v>#DIV/0!</v>
      </c>
      <c r="S39" s="3209"/>
      <c r="T39" s="3209"/>
      <c r="U39" s="3209"/>
      <c r="V39" s="3209"/>
      <c r="W39" s="320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2020-1</v>
      </c>
      <c r="D48" s="1575">
        <f>EDATE(C48,-1)</f>
        <v>43800</v>
      </c>
      <c r="E48" s="1575">
        <f t="shared" ref="E48:O48" si="16">EDATE(D48,-1)</f>
        <v>43770</v>
      </c>
      <c r="F48" s="1575">
        <f t="shared" si="16"/>
        <v>43739</v>
      </c>
      <c r="G48" s="1575">
        <f t="shared" si="16"/>
        <v>43709</v>
      </c>
      <c r="H48" s="1575">
        <f t="shared" si="16"/>
        <v>43678</v>
      </c>
      <c r="I48" s="1575">
        <f t="shared" si="16"/>
        <v>43647</v>
      </c>
      <c r="J48" s="1575">
        <f t="shared" si="16"/>
        <v>43617</v>
      </c>
      <c r="K48" s="1575">
        <f t="shared" si="16"/>
        <v>43586</v>
      </c>
      <c r="L48" s="1575">
        <f t="shared" si="16"/>
        <v>43556</v>
      </c>
      <c r="M48" s="1575">
        <f t="shared" si="16"/>
        <v>43525</v>
      </c>
      <c r="N48" s="1575">
        <f t="shared" si="16"/>
        <v>43497</v>
      </c>
      <c r="O48" s="1575">
        <f t="shared" si="16"/>
        <v>43466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23" t="s">
        <v>2646</v>
      </c>
      <c r="AC4" s="3222" t="s">
        <v>2647</v>
      </c>
    </row>
    <row r="5" spans="1:29"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23"/>
      <c r="AC5" s="3223"/>
    </row>
    <row r="6" spans="1:29" ht="15.75" thickBot="1">
      <c r="A6" s="406"/>
      <c r="B6" s="407"/>
      <c r="C6" s="3242" t="s">
        <v>2545</v>
      </c>
      <c r="D6" s="3243"/>
      <c r="E6" s="3252" t="s">
        <v>2545</v>
      </c>
      <c r="F6" s="3253"/>
      <c r="G6" s="3242" t="s">
        <v>2545</v>
      </c>
      <c r="H6" s="3243"/>
      <c r="I6" s="3242" t="s">
        <v>2545</v>
      </c>
      <c r="J6" s="3243"/>
      <c r="K6" s="610" t="s">
        <v>2546</v>
      </c>
      <c r="L6" s="1130"/>
      <c r="M6" s="1131"/>
      <c r="N6" s="1131"/>
      <c r="O6" s="1131"/>
      <c r="P6" s="3233"/>
      <c r="Q6" s="3234"/>
      <c r="R6" s="3237"/>
      <c r="S6" s="3238"/>
      <c r="T6" s="3239"/>
      <c r="U6" s="3240"/>
      <c r="V6" s="3241"/>
      <c r="W6" s="3241"/>
      <c r="X6" s="1813"/>
      <c r="Y6" s="3239"/>
      <c r="Z6" s="3240"/>
      <c r="AA6" s="3224"/>
      <c r="AB6" s="3224"/>
      <c r="AC6" s="3224"/>
    </row>
    <row r="7" spans="1:29" s="117" customFormat="1" ht="15.75"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46" t="s">
        <v>2548</v>
      </c>
      <c r="Q7" s="3248"/>
      <c r="R7" s="770" t="s">
        <v>17</v>
      </c>
      <c r="S7" s="771">
        <f t="shared" ref="S7:S14" si="0">F7</f>
        <v>0</v>
      </c>
      <c r="T7" s="770" t="s">
        <v>17</v>
      </c>
      <c r="U7" s="771">
        <f t="shared" ref="U7:U14" si="1">H7</f>
        <v>0</v>
      </c>
      <c r="V7" s="770" t="s">
        <v>17</v>
      </c>
      <c r="W7" s="771">
        <f t="shared" ref="W7:W14" si="2">J7</f>
        <v>0</v>
      </c>
      <c r="X7" s="772"/>
      <c r="Y7" s="3246" t="s">
        <v>2548</v>
      </c>
      <c r="Z7" s="3247"/>
      <c r="AA7" s="773" t="e">
        <f>D7/F7</f>
        <v>#DIV/0!</v>
      </c>
      <c r="AB7" s="773" t="e">
        <f>D7/H7</f>
        <v>#DIV/0!</v>
      </c>
      <c r="AC7" s="773" t="e">
        <f>D7/J7</f>
        <v>#DIV/0!</v>
      </c>
    </row>
    <row r="8" spans="1:29" s="117" customFormat="1" ht="15.75" thickBot="1">
      <c r="A8" s="408" t="s">
        <v>2549</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0" t="s">
        <v>2554</v>
      </c>
      <c r="Q9" s="1795" t="str">
        <f t="shared" ref="Q9:Q14" si="6">B9</f>
        <v>用途</v>
      </c>
      <c r="R9" s="770" t="s">
        <v>17</v>
      </c>
      <c r="S9" s="771">
        <f t="shared" si="0"/>
        <v>100</v>
      </c>
      <c r="T9" s="770" t="s">
        <v>17</v>
      </c>
      <c r="U9" s="771">
        <f t="shared" si="1"/>
        <v>100</v>
      </c>
      <c r="V9" s="770" t="s">
        <v>17</v>
      </c>
      <c r="W9" s="771">
        <f t="shared" si="2"/>
        <v>100</v>
      </c>
      <c r="X9" s="772"/>
      <c r="Y9" s="303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0"/>
      <c r="Q10" s="1795"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0"/>
      <c r="Q11" s="1795">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28.25">
      <c r="A14" s="440" t="s">
        <v>2558</v>
      </c>
      <c r="B14" s="6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2" t="s">
        <v>2559</v>
      </c>
      <c r="Q14" s="1810" t="str">
        <f t="shared" si="6"/>
        <v>交通便捷度</v>
      </c>
      <c r="R14" s="774" t="s">
        <v>17</v>
      </c>
      <c r="S14" s="775">
        <f t="shared" si="0"/>
        <v>100</v>
      </c>
      <c r="T14" s="774" t="s">
        <v>17</v>
      </c>
      <c r="U14" s="775">
        <f t="shared" si="1"/>
        <v>100</v>
      </c>
      <c r="V14" s="774" t="s">
        <v>17</v>
      </c>
      <c r="W14" s="775">
        <f t="shared" si="2"/>
        <v>100</v>
      </c>
      <c r="X14" s="1813"/>
      <c r="Y14" s="3212"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3"/>
      <c r="Q15" s="1810"/>
      <c r="R15" s="774"/>
      <c r="S15" s="775"/>
      <c r="T15" s="774"/>
      <c r="U15" s="775"/>
      <c r="V15" s="774"/>
      <c r="W15" s="775"/>
      <c r="X15" s="1813"/>
      <c r="Y15" s="3213"/>
      <c r="Z15" s="1814"/>
      <c r="AA15" s="1811">
        <v>1</v>
      </c>
      <c r="AB15" s="1811">
        <v>1</v>
      </c>
      <c r="AC15" s="1811">
        <v>1</v>
      </c>
    </row>
    <row r="16" spans="1:29" ht="42.75">
      <c r="A16" s="428"/>
      <c r="B16" s="451" t="s">
        <v>2686</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3"/>
      <c r="Q16" s="1810" t="str">
        <f>B16</f>
        <v>公共配套设施</v>
      </c>
      <c r="R16" s="774" t="s">
        <v>17</v>
      </c>
      <c r="S16" s="775">
        <f>F16</f>
        <v>100</v>
      </c>
      <c r="T16" s="774" t="s">
        <v>17</v>
      </c>
      <c r="U16" s="775">
        <f>H16</f>
        <v>100</v>
      </c>
      <c r="V16" s="774" t="s">
        <v>17</v>
      </c>
      <c r="W16" s="775">
        <f>J16</f>
        <v>100</v>
      </c>
      <c r="X16" s="1813"/>
      <c r="Y16" s="3213"/>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3"/>
      <c r="Q17" s="1810"/>
      <c r="R17" s="774"/>
      <c r="S17" s="775"/>
      <c r="T17" s="774"/>
      <c r="U17" s="775"/>
      <c r="V17" s="774"/>
      <c r="W17" s="775"/>
      <c r="X17" s="1813"/>
      <c r="Y17" s="3213"/>
      <c r="Z17" s="1814"/>
      <c r="AA17" s="1811">
        <v>1</v>
      </c>
      <c r="AB17" s="1811">
        <v>1</v>
      </c>
      <c r="AC17" s="1811">
        <v>1</v>
      </c>
    </row>
    <row r="18" spans="1:29" ht="15">
      <c r="A18" s="428"/>
      <c r="B18" s="1384" t="s">
        <v>2687</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3"/>
      <c r="Q18" s="1810" t="str">
        <f>B18</f>
        <v>基础设施水平</v>
      </c>
      <c r="R18" s="774" t="s">
        <v>17</v>
      </c>
      <c r="S18" s="775">
        <f>F18</f>
        <v>100</v>
      </c>
      <c r="T18" s="774" t="s">
        <v>17</v>
      </c>
      <c r="U18" s="775">
        <f>H18</f>
        <v>100</v>
      </c>
      <c r="V18" s="774" t="s">
        <v>17</v>
      </c>
      <c r="W18" s="775">
        <f>J18</f>
        <v>100</v>
      </c>
      <c r="X18" s="1813"/>
      <c r="Y18" s="3213"/>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3"/>
      <c r="Q19" s="1810"/>
      <c r="R19" s="774"/>
      <c r="S19" s="775"/>
      <c r="T19" s="774"/>
      <c r="U19" s="775"/>
      <c r="V19" s="774"/>
      <c r="W19" s="775"/>
      <c r="X19" s="1813"/>
      <c r="Y19" s="3213"/>
      <c r="Z19" s="1814"/>
      <c r="AA19" s="1811">
        <v>1</v>
      </c>
      <c r="AB19" s="1811">
        <v>1</v>
      </c>
      <c r="AC19" s="1811">
        <v>1</v>
      </c>
    </row>
    <row r="20" spans="1:29" ht="114">
      <c r="A20" s="428"/>
      <c r="B20" s="45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3"/>
      <c r="Q20" s="1810" t="str">
        <f>B20</f>
        <v>自然及人文环境</v>
      </c>
      <c r="R20" s="774" t="s">
        <v>17</v>
      </c>
      <c r="S20" s="775">
        <f>F20</f>
        <v>100</v>
      </c>
      <c r="T20" s="774" t="s">
        <v>17</v>
      </c>
      <c r="U20" s="775">
        <f>H20</f>
        <v>100</v>
      </c>
      <c r="V20" s="774" t="s">
        <v>17</v>
      </c>
      <c r="W20" s="775">
        <f>J20</f>
        <v>100</v>
      </c>
      <c r="X20" s="1813"/>
      <c r="Y20" s="3213"/>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3"/>
      <c r="Q21" s="1810"/>
      <c r="R21" s="774"/>
      <c r="S21" s="775"/>
      <c r="T21" s="774"/>
      <c r="U21" s="775"/>
      <c r="V21" s="774"/>
      <c r="W21" s="775"/>
      <c r="X21" s="1813"/>
      <c r="Y21" s="3213"/>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3"/>
      <c r="Q22" s="1810" t="str">
        <f>B22</f>
        <v>楼层</v>
      </c>
      <c r="R22" s="774" t="s">
        <v>17</v>
      </c>
      <c r="S22" s="775">
        <f>F22</f>
        <v>100</v>
      </c>
      <c r="T22" s="774" t="s">
        <v>17</v>
      </c>
      <c r="U22" s="775">
        <f>H22</f>
        <v>100</v>
      </c>
      <c r="V22" s="774" t="s">
        <v>17</v>
      </c>
      <c r="W22" s="775">
        <f>J22</f>
        <v>100</v>
      </c>
      <c r="X22" s="1813"/>
      <c r="Y22" s="3213"/>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3"/>
      <c r="Q23" s="1810">
        <f>B23</f>
        <v>111</v>
      </c>
      <c r="R23" s="774" t="s">
        <v>17</v>
      </c>
      <c r="S23" s="775">
        <f>F23</f>
        <v>100</v>
      </c>
      <c r="T23" s="774" t="s">
        <v>17</v>
      </c>
      <c r="U23" s="775">
        <f>H23</f>
        <v>100</v>
      </c>
      <c r="V23" s="774" t="s">
        <v>17</v>
      </c>
      <c r="W23" s="775">
        <f>J23</f>
        <v>100</v>
      </c>
      <c r="X23" s="1813"/>
      <c r="Y23" s="3213"/>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3"/>
      <c r="Q24" s="1810">
        <f t="shared" ref="Q24:Q34" si="11">B24</f>
        <v>111</v>
      </c>
      <c r="R24" s="774" t="s">
        <v>17</v>
      </c>
      <c r="S24" s="775">
        <f>F24</f>
        <v>100</v>
      </c>
      <c r="T24" s="774" t="s">
        <v>17</v>
      </c>
      <c r="U24" s="775">
        <f>H24</f>
        <v>100</v>
      </c>
      <c r="V24" s="774" t="s">
        <v>17</v>
      </c>
      <c r="W24" s="775">
        <f>J24</f>
        <v>100</v>
      </c>
      <c r="X24" s="1813"/>
      <c r="Y24" s="3213"/>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3"/>
      <c r="Q25" s="1795">
        <f t="shared" si="11"/>
        <v>111</v>
      </c>
      <c r="R25" s="770" t="s">
        <v>17</v>
      </c>
      <c r="S25" s="771">
        <f>F25</f>
        <v>100</v>
      </c>
      <c r="T25" s="770" t="s">
        <v>17</v>
      </c>
      <c r="U25" s="771">
        <f>H25</f>
        <v>100</v>
      </c>
      <c r="V25" s="770" t="s">
        <v>17</v>
      </c>
      <c r="W25" s="771">
        <f>J25</f>
        <v>100</v>
      </c>
      <c r="X25" s="772"/>
      <c r="Y25" s="3213"/>
      <c r="Z25" s="55">
        <f>Q25</f>
        <v>111</v>
      </c>
      <c r="AA25" s="1811">
        <f>D25/F25</f>
        <v>1</v>
      </c>
      <c r="AB25" s="1811">
        <f>D25/H25</f>
        <v>1</v>
      </c>
      <c r="AC25" s="1811">
        <f>D25/J25</f>
        <v>1</v>
      </c>
    </row>
    <row r="26" spans="1:29" ht="29.25">
      <c r="A26" s="466" t="s">
        <v>2562</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7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7" t="s">
        <v>2564</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10" t="str">
        <f t="shared" si="11"/>
        <v>物业等级</v>
      </c>
      <c r="R28" s="774" t="s">
        <v>17</v>
      </c>
      <c r="S28" s="775">
        <f t="shared" si="12"/>
        <v>100</v>
      </c>
      <c r="T28" s="774" t="s">
        <v>17</v>
      </c>
      <c r="U28" s="775">
        <f t="shared" si="13"/>
        <v>100</v>
      </c>
      <c r="V28" s="774" t="s">
        <v>17</v>
      </c>
      <c r="W28" s="775">
        <f t="shared" si="14"/>
        <v>100</v>
      </c>
      <c r="X28" s="1813"/>
      <c r="Y28" s="3217"/>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10" t="str">
        <f t="shared" si="11"/>
        <v>有无电梯</v>
      </c>
      <c r="R29" s="774" t="s">
        <v>17</v>
      </c>
      <c r="S29" s="775">
        <f t="shared" si="12"/>
        <v>100</v>
      </c>
      <c r="T29" s="774" t="s">
        <v>17</v>
      </c>
      <c r="U29" s="775">
        <f t="shared" si="13"/>
        <v>100</v>
      </c>
      <c r="V29" s="774" t="s">
        <v>17</v>
      </c>
      <c r="W29" s="775">
        <f t="shared" si="14"/>
        <v>100</v>
      </c>
      <c r="X29" s="1813"/>
      <c r="Y29" s="3217"/>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10" t="str">
        <f t="shared" si="11"/>
        <v>建筑面积</v>
      </c>
      <c r="R30" s="774" t="s">
        <v>17</v>
      </c>
      <c r="S30" s="775" t="e">
        <f t="shared" si="12"/>
        <v>#N/A</v>
      </c>
      <c r="T30" s="774" t="s">
        <v>17</v>
      </c>
      <c r="U30" s="775" t="e">
        <f t="shared" si="13"/>
        <v>#N/A</v>
      </c>
      <c r="V30" s="774" t="s">
        <v>17</v>
      </c>
      <c r="W30" s="775" t="e">
        <f t="shared" si="14"/>
        <v>#N/A</v>
      </c>
      <c r="X30" s="1813"/>
      <c r="Y30" s="3217"/>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5"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2564</v>
      </c>
      <c r="Q32" s="1810">
        <f t="shared" si="11"/>
        <v>111</v>
      </c>
      <c r="R32" s="774" t="s">
        <v>17</v>
      </c>
      <c r="S32" s="775">
        <f t="shared" si="12"/>
        <v>100</v>
      </c>
      <c r="T32" s="774" t="s">
        <v>17</v>
      </c>
      <c r="U32" s="775">
        <f t="shared" si="13"/>
        <v>100</v>
      </c>
      <c r="V32" s="774" t="s">
        <v>17</v>
      </c>
      <c r="W32" s="775">
        <f t="shared" si="14"/>
        <v>100</v>
      </c>
      <c r="X32" s="1813"/>
      <c r="Y32" s="3217"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10">
        <f t="shared" si="11"/>
        <v>111</v>
      </c>
      <c r="R33" s="774" t="s">
        <v>17</v>
      </c>
      <c r="S33" s="775">
        <f t="shared" si="12"/>
        <v>100</v>
      </c>
      <c r="T33" s="774" t="s">
        <v>17</v>
      </c>
      <c r="U33" s="775">
        <f t="shared" si="13"/>
        <v>100</v>
      </c>
      <c r="V33" s="774" t="s">
        <v>17</v>
      </c>
      <c r="W33" s="775">
        <f t="shared" si="14"/>
        <v>100</v>
      </c>
      <c r="X33" s="1813"/>
      <c r="Y33" s="3217"/>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7"/>
      <c r="Q34" s="1810">
        <f t="shared" si="11"/>
        <v>111</v>
      </c>
      <c r="R34" s="774" t="s">
        <v>17</v>
      </c>
      <c r="S34" s="775">
        <f t="shared" si="12"/>
        <v>100</v>
      </c>
      <c r="T34" s="774" t="s">
        <v>17</v>
      </c>
      <c r="U34" s="775">
        <f t="shared" si="13"/>
        <v>100</v>
      </c>
      <c r="V34" s="774" t="s">
        <v>17</v>
      </c>
      <c r="W34" s="775">
        <f t="shared" si="14"/>
        <v>100</v>
      </c>
      <c r="X34" s="1813"/>
      <c r="Y34" s="3217"/>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10" t="str">
        <f>A35</f>
        <v>成交单价（元/平方米）</v>
      </c>
      <c r="Q35" s="3210"/>
      <c r="R35" s="3211">
        <f>E35</f>
        <v>0</v>
      </c>
      <c r="S35" s="3211"/>
      <c r="T35" s="3211">
        <f>G35</f>
        <v>0</v>
      </c>
      <c r="U35" s="3211"/>
      <c r="V35" s="3211">
        <f>I35</f>
        <v>0</v>
      </c>
      <c r="W35" s="3211"/>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7" t="str">
        <f>A37</f>
        <v>估价对象XX用房的比较价值（楼面单价，元/平方米）</v>
      </c>
      <c r="Q37" s="3208"/>
      <c r="R37" s="3209" t="e">
        <f>IF(F1="售价",ROUND(AVERAGE(R36:V36),0),ROUND(AVERAGE(R36:V36),1))</f>
        <v>#DIV/0!</v>
      </c>
      <c r="S37" s="3209"/>
      <c r="T37" s="3209"/>
      <c r="U37" s="3209"/>
      <c r="V37" s="3209"/>
      <c r="W37" s="320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6">EDATE(D46,-1)</f>
        <v>43770</v>
      </c>
      <c r="F46" s="1575">
        <f t="shared" si="16"/>
        <v>43739</v>
      </c>
      <c r="G46" s="1575">
        <f t="shared" si="16"/>
        <v>43709</v>
      </c>
      <c r="H46" s="1575">
        <f t="shared" si="16"/>
        <v>43678</v>
      </c>
      <c r="I46" s="1575">
        <f t="shared" si="16"/>
        <v>43647</v>
      </c>
      <c r="J46" s="1575">
        <f t="shared" si="16"/>
        <v>43617</v>
      </c>
      <c r="K46" s="1575">
        <f t="shared" si="16"/>
        <v>43586</v>
      </c>
      <c r="L46" s="1575">
        <f t="shared" si="16"/>
        <v>43556</v>
      </c>
      <c r="M46" s="1575">
        <f t="shared" si="16"/>
        <v>43525</v>
      </c>
      <c r="N46" s="1575">
        <f t="shared" si="16"/>
        <v>43497</v>
      </c>
      <c r="O46" s="1575">
        <f t="shared" si="16"/>
        <v>43466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23" t="s">
        <v>2646</v>
      </c>
      <c r="AC4" s="3222" t="s">
        <v>2647</v>
      </c>
    </row>
    <row r="5" spans="1:30"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23"/>
      <c r="AC5" s="3223"/>
    </row>
    <row r="6" spans="1:30" ht="15.75" thickBot="1">
      <c r="A6" s="406"/>
      <c r="B6" s="407"/>
      <c r="C6" s="3242" t="s">
        <v>2545</v>
      </c>
      <c r="D6" s="3243"/>
      <c r="E6" s="3252" t="s">
        <v>2545</v>
      </c>
      <c r="F6" s="3253"/>
      <c r="G6" s="3242" t="s">
        <v>2545</v>
      </c>
      <c r="H6" s="3243"/>
      <c r="I6" s="3242" t="s">
        <v>2545</v>
      </c>
      <c r="J6" s="3243"/>
      <c r="K6" s="610" t="s">
        <v>2546</v>
      </c>
      <c r="L6" s="1130"/>
      <c r="M6" s="1131"/>
      <c r="N6" s="1131"/>
      <c r="O6" s="1131"/>
      <c r="P6" s="3233"/>
      <c r="Q6" s="3234"/>
      <c r="R6" s="3237"/>
      <c r="S6" s="3238"/>
      <c r="T6" s="3239"/>
      <c r="U6" s="3240"/>
      <c r="V6" s="3241"/>
      <c r="W6" s="3241"/>
      <c r="X6" s="1813"/>
      <c r="Y6" s="3239"/>
      <c r="Z6" s="3240"/>
      <c r="AA6" s="3224"/>
      <c r="AB6" s="3224"/>
      <c r="AC6" s="3224"/>
    </row>
    <row r="7" spans="1:30" s="117" customFormat="1" ht="15.75"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46" t="s">
        <v>2548</v>
      </c>
      <c r="Q7" s="3248"/>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45" si="3">D8/F8</f>
        <v>#DIV/0!</v>
      </c>
      <c r="AB8" s="773" t="e">
        <f t="shared" ref="AB8:AB45" si="4">D8/H8</f>
        <v>#DIV/0!</v>
      </c>
      <c r="AC8" s="773" t="e">
        <f t="shared" ref="AC8:AC45" si="5">D8/J8</f>
        <v>#DIV/0!</v>
      </c>
    </row>
    <row r="9" spans="1:30" s="117" customFormat="1">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10"/>
      <c r="Q10" s="1795" t="str">
        <f t="shared" si="6"/>
        <v>土地使用年限（年）</v>
      </c>
      <c r="R10" s="770" t="s">
        <v>17</v>
      </c>
      <c r="S10" s="771" t="e">
        <f t="shared" si="0"/>
        <v>#DIV/0!</v>
      </c>
      <c r="T10" s="770" t="s">
        <v>17</v>
      </c>
      <c r="U10" s="771" t="e">
        <f t="shared" si="1"/>
        <v>#DIV/0!</v>
      </c>
      <c r="V10" s="770" t="s">
        <v>17</v>
      </c>
      <c r="W10" s="771" t="e">
        <f t="shared" si="2"/>
        <v>#DIV/0!</v>
      </c>
      <c r="X10" s="772"/>
      <c r="Y10" s="3030"/>
      <c r="Z10" s="55" t="str">
        <f t="shared" si="7"/>
        <v>土地使用年限（年）</v>
      </c>
      <c r="AA10" s="773" t="e">
        <f t="shared" si="3"/>
        <v>#DIV/0!</v>
      </c>
      <c r="AB10" s="773" t="e">
        <f t="shared" si="4"/>
        <v>#DIV/0!</v>
      </c>
      <c r="AC10" s="773"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0"/>
      <c r="Q12" s="1795"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199.5">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2" t="s">
        <v>2559</v>
      </c>
      <c r="Q15" s="1810" t="str">
        <f t="shared" si="6"/>
        <v>居住社区成熟度</v>
      </c>
      <c r="R15" s="774" t="s">
        <v>17</v>
      </c>
      <c r="S15" s="775">
        <f t="shared" si="0"/>
        <v>100</v>
      </c>
      <c r="T15" s="774" t="s">
        <v>17</v>
      </c>
      <c r="U15" s="775">
        <f t="shared" si="1"/>
        <v>100</v>
      </c>
      <c r="V15" s="774" t="s">
        <v>17</v>
      </c>
      <c r="W15" s="775">
        <f t="shared" si="2"/>
        <v>100</v>
      </c>
      <c r="X15" s="1813"/>
      <c r="Y15" s="3212"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71.2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3"/>
      <c r="Q17" s="1810" t="str">
        <f>B17</f>
        <v>商业繁华度</v>
      </c>
      <c r="R17" s="774" t="s">
        <v>17</v>
      </c>
      <c r="S17" s="775">
        <f>F17</f>
        <v>100</v>
      </c>
      <c r="T17" s="774" t="s">
        <v>17</v>
      </c>
      <c r="U17" s="775">
        <f>H17</f>
        <v>100</v>
      </c>
      <c r="V17" s="774" t="s">
        <v>17</v>
      </c>
      <c r="W17" s="775">
        <f>J17</f>
        <v>100</v>
      </c>
      <c r="X17" s="1813"/>
      <c r="Y17" s="3213"/>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71.2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3"/>
      <c r="Q19" s="1810" t="str">
        <f>B19</f>
        <v>办公集聚程度</v>
      </c>
      <c r="R19" s="774" t="s">
        <v>17</v>
      </c>
      <c r="S19" s="775">
        <f>F19</f>
        <v>100</v>
      </c>
      <c r="T19" s="774" t="s">
        <v>17</v>
      </c>
      <c r="U19" s="775">
        <f>H19</f>
        <v>100</v>
      </c>
      <c r="V19" s="774" t="s">
        <v>17</v>
      </c>
      <c r="W19" s="775">
        <f>J19</f>
        <v>100</v>
      </c>
      <c r="X19" s="1813"/>
      <c r="Y19" s="3213"/>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3"/>
      <c r="Q20" s="1810"/>
      <c r="R20" s="774"/>
      <c r="S20" s="775"/>
      <c r="T20" s="774"/>
      <c r="U20" s="775"/>
      <c r="V20" s="774"/>
      <c r="W20" s="775"/>
      <c r="X20" s="1813"/>
      <c r="Y20" s="3213"/>
      <c r="Z20" s="1814"/>
      <c r="AA20" s="1811">
        <v>1</v>
      </c>
      <c r="AB20" s="1811">
        <v>1</v>
      </c>
      <c r="AC20" s="1811">
        <v>1</v>
      </c>
    </row>
    <row r="21" spans="1:29" ht="128.25">
      <c r="A21" s="428"/>
      <c r="B21" s="451" t="s">
        <v>2707</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3"/>
      <c r="Q21" s="1810" t="str">
        <f>B21</f>
        <v>交通便捷度</v>
      </c>
      <c r="R21" s="774" t="s">
        <v>17</v>
      </c>
      <c r="S21" s="775">
        <f>F21</f>
        <v>100</v>
      </c>
      <c r="T21" s="774" t="s">
        <v>17</v>
      </c>
      <c r="U21" s="775">
        <f>H21</f>
        <v>100</v>
      </c>
      <c r="V21" s="774" t="s">
        <v>17</v>
      </c>
      <c r="W21" s="775">
        <f>J21</f>
        <v>100</v>
      </c>
      <c r="X21" s="1813"/>
      <c r="Y21" s="3213"/>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3"/>
      <c r="Q23" s="1810" t="str">
        <f t="shared" ref="Q23:Q37" si="8">B23</f>
        <v>区域土地利用方向</v>
      </c>
      <c r="R23" s="774" t="s">
        <v>17</v>
      </c>
      <c r="S23" s="775">
        <f>F23</f>
        <v>100</v>
      </c>
      <c r="T23" s="774" t="s">
        <v>17</v>
      </c>
      <c r="U23" s="775">
        <f>H23</f>
        <v>100</v>
      </c>
      <c r="V23" s="774" t="s">
        <v>17</v>
      </c>
      <c r="W23" s="775">
        <f>J23</f>
        <v>100</v>
      </c>
      <c r="X23" s="1813"/>
      <c r="Y23" s="3213"/>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3"/>
      <c r="Q24" s="1810"/>
      <c r="R24" s="774"/>
      <c r="S24" s="775"/>
      <c r="T24" s="774"/>
      <c r="U24" s="775"/>
      <c r="V24" s="774"/>
      <c r="W24" s="775"/>
      <c r="X24" s="1813"/>
      <c r="Y24" s="3213"/>
      <c r="Z24" s="1814"/>
      <c r="AA24" s="1811"/>
      <c r="AB24" s="1811"/>
      <c r="AC24" s="1811"/>
    </row>
    <row r="25" spans="1:29" ht="114">
      <c r="A25" s="404"/>
      <c r="B25" s="1384" t="s">
        <v>2747</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3"/>
      <c r="Q25" s="1810" t="str">
        <f t="shared" si="8"/>
        <v>自然及人文环境状况</v>
      </c>
      <c r="R25" s="774" t="s">
        <v>17</v>
      </c>
      <c r="S25" s="775">
        <f>F25</f>
        <v>100</v>
      </c>
      <c r="T25" s="774" t="s">
        <v>17</v>
      </c>
      <c r="U25" s="775">
        <f>H25</f>
        <v>100</v>
      </c>
      <c r="V25" s="774" t="s">
        <v>17</v>
      </c>
      <c r="W25" s="775">
        <f>J25</f>
        <v>100</v>
      </c>
      <c r="X25" s="1813"/>
      <c r="Y25" s="3213"/>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3"/>
      <c r="Q26" s="1810"/>
      <c r="R26" s="774"/>
      <c r="S26" s="775"/>
      <c r="T26" s="774"/>
      <c r="U26" s="775"/>
      <c r="V26" s="774"/>
      <c r="W26" s="775"/>
      <c r="X26" s="1813"/>
      <c r="Y26" s="3213"/>
      <c r="Z26" s="1814"/>
      <c r="AA26" s="1811">
        <v>1</v>
      </c>
      <c r="AB26" s="1811">
        <v>1</v>
      </c>
      <c r="AC26" s="1811">
        <v>1</v>
      </c>
    </row>
    <row r="27" spans="1:29" s="117" customFormat="1" ht="42.75">
      <c r="A27" s="649"/>
      <c r="B27" s="1384" t="s">
        <v>2652</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3"/>
      <c r="Q27" s="1795" t="str">
        <f t="shared" si="8"/>
        <v>公共配套设施</v>
      </c>
      <c r="R27" s="770" t="s">
        <v>17</v>
      </c>
      <c r="S27" s="771">
        <f>F27</f>
        <v>100</v>
      </c>
      <c r="T27" s="770" t="s">
        <v>17</v>
      </c>
      <c r="U27" s="771">
        <f>H27</f>
        <v>100</v>
      </c>
      <c r="V27" s="770" t="s">
        <v>17</v>
      </c>
      <c r="W27" s="771">
        <f>J27</f>
        <v>100</v>
      </c>
      <c r="X27" s="772"/>
      <c r="Y27" s="3213"/>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3"/>
      <c r="Q28" s="1795"/>
      <c r="R28" s="770"/>
      <c r="S28" s="771"/>
      <c r="T28" s="770"/>
      <c r="U28" s="771"/>
      <c r="V28" s="770"/>
      <c r="W28" s="771"/>
      <c r="X28" s="772"/>
      <c r="Y28" s="3213"/>
      <c r="Z28" s="55"/>
      <c r="AA28" s="1811">
        <v>1</v>
      </c>
      <c r="AB28" s="1811">
        <v>1</v>
      </c>
      <c r="AC28" s="1811">
        <v>1</v>
      </c>
    </row>
    <row r="29" spans="1:29" s="117" customFormat="1" ht="15">
      <c r="A29" s="649"/>
      <c r="B29" s="1384" t="s">
        <v>2653</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3"/>
      <c r="Q29" s="1795" t="str">
        <f t="shared" ref="Q29" si="9">B29</f>
        <v>基础设施水平</v>
      </c>
      <c r="R29" s="770" t="s">
        <v>17</v>
      </c>
      <c r="S29" s="771">
        <f>F29</f>
        <v>100</v>
      </c>
      <c r="T29" s="770" t="s">
        <v>17</v>
      </c>
      <c r="U29" s="771">
        <f>H29</f>
        <v>100</v>
      </c>
      <c r="V29" s="770" t="s">
        <v>17</v>
      </c>
      <c r="W29" s="771">
        <f>J29</f>
        <v>100</v>
      </c>
      <c r="X29" s="772"/>
      <c r="Y29" s="3213"/>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3"/>
      <c r="Q30" s="1795"/>
      <c r="R30" s="770"/>
      <c r="S30" s="771"/>
      <c r="T30" s="770"/>
      <c r="U30" s="771"/>
      <c r="V30" s="770"/>
      <c r="W30" s="771"/>
      <c r="X30" s="772"/>
      <c r="Y30" s="3213"/>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3"/>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3"/>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3"/>
      <c r="Q32" s="1810" t="str">
        <f t="shared" si="8"/>
        <v>毗邻道路的类型与等级</v>
      </c>
      <c r="R32" s="774" t="s">
        <v>17</v>
      </c>
      <c r="S32" s="775">
        <f t="shared" si="10"/>
        <v>100</v>
      </c>
      <c r="T32" s="774" t="s">
        <v>17</v>
      </c>
      <c r="U32" s="775">
        <f t="shared" si="11"/>
        <v>100</v>
      </c>
      <c r="V32" s="774" t="s">
        <v>17</v>
      </c>
      <c r="W32" s="775">
        <f t="shared" si="12"/>
        <v>100</v>
      </c>
      <c r="X32" s="1813"/>
      <c r="Y32" s="3213"/>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3"/>
      <c r="Q33" s="1810"/>
      <c r="R33" s="774"/>
      <c r="S33" s="775"/>
      <c r="T33" s="774"/>
      <c r="U33" s="775"/>
      <c r="V33" s="774"/>
      <c r="W33" s="775"/>
      <c r="X33" s="1813"/>
      <c r="Y33" s="3213"/>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3"/>
      <c r="Q34" s="1810" t="str">
        <f t="shared" si="8"/>
        <v>土地级别</v>
      </c>
      <c r="R34" s="774" t="s">
        <v>17</v>
      </c>
      <c r="S34" s="775">
        <f t="shared" si="10"/>
        <v>100</v>
      </c>
      <c r="T34" s="774" t="s">
        <v>17</v>
      </c>
      <c r="U34" s="775">
        <f t="shared" si="11"/>
        <v>100</v>
      </c>
      <c r="V34" s="774" t="s">
        <v>17</v>
      </c>
      <c r="W34" s="775">
        <f t="shared" si="12"/>
        <v>100</v>
      </c>
      <c r="X34" s="1813"/>
      <c r="Y34" s="3213"/>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3"/>
      <c r="Q35" s="1810">
        <f t="shared" si="8"/>
        <v>111</v>
      </c>
      <c r="R35" s="774" t="s">
        <v>17</v>
      </c>
      <c r="S35" s="775">
        <f t="shared" si="10"/>
        <v>100</v>
      </c>
      <c r="T35" s="774" t="s">
        <v>17</v>
      </c>
      <c r="U35" s="775">
        <f t="shared" si="11"/>
        <v>100</v>
      </c>
      <c r="V35" s="774" t="s">
        <v>17</v>
      </c>
      <c r="W35" s="775">
        <f t="shared" si="12"/>
        <v>100</v>
      </c>
      <c r="X35" s="1813"/>
      <c r="Y35" s="3213"/>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2564</v>
      </c>
      <c r="Q36" s="1810">
        <f t="shared" si="8"/>
        <v>111</v>
      </c>
      <c r="R36" s="774" t="s">
        <v>17</v>
      </c>
      <c r="S36" s="775">
        <f t="shared" si="10"/>
        <v>100</v>
      </c>
      <c r="T36" s="774" t="s">
        <v>17</v>
      </c>
      <c r="U36" s="775">
        <f t="shared" si="11"/>
        <v>100</v>
      </c>
      <c r="V36" s="774" t="s">
        <v>17</v>
      </c>
      <c r="W36" s="775">
        <f t="shared" si="12"/>
        <v>100</v>
      </c>
      <c r="X36" s="1813"/>
      <c r="Y36" s="3217"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10">
        <f t="shared" si="8"/>
        <v>111</v>
      </c>
      <c r="R37" s="777" t="s">
        <v>17</v>
      </c>
      <c r="S37" s="778">
        <f t="shared" si="10"/>
        <v>100</v>
      </c>
      <c r="T37" s="777" t="s">
        <v>17</v>
      </c>
      <c r="U37" s="778">
        <f t="shared" si="11"/>
        <v>100</v>
      </c>
      <c r="V37" s="777" t="s">
        <v>17</v>
      </c>
      <c r="W37" s="778">
        <f t="shared" si="12"/>
        <v>100</v>
      </c>
      <c r="X37" s="779"/>
      <c r="Y37" s="3217"/>
      <c r="Z37" s="780">
        <f t="shared" si="13"/>
        <v>111</v>
      </c>
      <c r="AA37" s="1811">
        <f t="shared" si="3"/>
        <v>1</v>
      </c>
      <c r="AB37" s="1811">
        <f t="shared" si="4"/>
        <v>1</v>
      </c>
      <c r="AC37" s="1811">
        <f t="shared" si="5"/>
        <v>1</v>
      </c>
    </row>
    <row r="38" spans="1:29" ht="15">
      <c r="A38" s="472" t="s">
        <v>2562</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7"/>
      <c r="Q38" s="1810" t="str">
        <f>B38</f>
        <v>宗地面积</v>
      </c>
      <c r="R38" s="774" t="s">
        <v>17</v>
      </c>
      <c r="S38" s="775" t="e">
        <f t="shared" si="10"/>
        <v>#N/A</v>
      </c>
      <c r="T38" s="774" t="s">
        <v>17</v>
      </c>
      <c r="U38" s="775" t="e">
        <f t="shared" si="11"/>
        <v>#N/A</v>
      </c>
      <c r="V38" s="774" t="s">
        <v>17</v>
      </c>
      <c r="W38" s="775" t="e">
        <f t="shared" si="12"/>
        <v>#N/A</v>
      </c>
      <c r="X38" s="1813"/>
      <c r="Y38" s="3217"/>
      <c r="Z38" s="1814" t="str">
        <f t="shared" si="13"/>
        <v>宗地面积</v>
      </c>
      <c r="AA38" s="1811" t="e">
        <f t="shared" si="3"/>
        <v>#N/A</v>
      </c>
      <c r="AB38" s="1811" t="e">
        <f t="shared" si="4"/>
        <v>#N/A</v>
      </c>
      <c r="AC38" s="1811" t="e">
        <f t="shared" si="5"/>
        <v>#N/A</v>
      </c>
    </row>
    <row r="39" spans="1:29" ht="15">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7"/>
      <c r="Q39" s="1810" t="str">
        <f t="shared" ref="Q39:Q45" si="14">B39</f>
        <v>宗地形状</v>
      </c>
      <c r="R39" s="774" t="s">
        <v>17</v>
      </c>
      <c r="S39" s="775">
        <f t="shared" si="10"/>
        <v>100</v>
      </c>
      <c r="T39" s="774" t="s">
        <v>17</v>
      </c>
      <c r="U39" s="775">
        <f t="shared" si="11"/>
        <v>100</v>
      </c>
      <c r="V39" s="774" t="s">
        <v>17</v>
      </c>
      <c r="W39" s="775">
        <f t="shared" si="12"/>
        <v>100</v>
      </c>
      <c r="X39" s="1813"/>
      <c r="Y39" s="3217"/>
      <c r="Z39" s="1814" t="str">
        <f t="shared" si="13"/>
        <v>宗地形状</v>
      </c>
      <c r="AA39" s="1811">
        <f t="shared" si="3"/>
        <v>1</v>
      </c>
      <c r="AB39" s="1811">
        <f t="shared" si="4"/>
        <v>1</v>
      </c>
      <c r="AC39" s="1811">
        <f t="shared" si="5"/>
        <v>1</v>
      </c>
    </row>
    <row r="40" spans="1:29" ht="15">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7"/>
      <c r="Q40" s="1810" t="str">
        <f t="shared" si="14"/>
        <v>临街宽度及深度</v>
      </c>
      <c r="R40" s="774" t="s">
        <v>17</v>
      </c>
      <c r="S40" s="775">
        <f t="shared" si="10"/>
        <v>100</v>
      </c>
      <c r="T40" s="774" t="s">
        <v>17</v>
      </c>
      <c r="U40" s="775">
        <f t="shared" si="11"/>
        <v>100</v>
      </c>
      <c r="V40" s="774" t="s">
        <v>17</v>
      </c>
      <c r="W40" s="775">
        <f t="shared" si="12"/>
        <v>100</v>
      </c>
      <c r="X40" s="1813"/>
      <c r="Y40" s="3217"/>
      <c r="Z40" s="1814" t="str">
        <f t="shared" si="13"/>
        <v>临街宽度及深度</v>
      </c>
      <c r="AA40" s="1811">
        <f t="shared" si="3"/>
        <v>1</v>
      </c>
      <c r="AB40" s="1811">
        <f t="shared" si="4"/>
        <v>1</v>
      </c>
      <c r="AC40" s="1811">
        <f t="shared" si="5"/>
        <v>1</v>
      </c>
    </row>
    <row r="41" spans="1:29" s="117" customFormat="1" ht="15">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7"/>
      <c r="Q41" s="1810"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7" t="s">
        <v>2564</v>
      </c>
      <c r="Q42" s="1810" t="str">
        <f t="shared" si="14"/>
        <v>工程地质条件</v>
      </c>
      <c r="R42" s="774" t="s">
        <v>17</v>
      </c>
      <c r="S42" s="775">
        <f t="shared" si="10"/>
        <v>100</v>
      </c>
      <c r="T42" s="774" t="s">
        <v>17</v>
      </c>
      <c r="U42" s="775">
        <f t="shared" si="11"/>
        <v>100</v>
      </c>
      <c r="V42" s="774" t="s">
        <v>17</v>
      </c>
      <c r="W42" s="775">
        <f t="shared" si="12"/>
        <v>100</v>
      </c>
      <c r="X42" s="1813"/>
      <c r="Y42" s="3217"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10">
        <f t="shared" si="14"/>
        <v>111</v>
      </c>
      <c r="R43" s="774" t="s">
        <v>17</v>
      </c>
      <c r="S43" s="775">
        <f t="shared" si="10"/>
        <v>100</v>
      </c>
      <c r="T43" s="774" t="s">
        <v>17</v>
      </c>
      <c r="U43" s="775">
        <f t="shared" si="11"/>
        <v>100</v>
      </c>
      <c r="V43" s="774" t="s">
        <v>17</v>
      </c>
      <c r="W43" s="775">
        <f t="shared" si="12"/>
        <v>100</v>
      </c>
      <c r="X43" s="1813"/>
      <c r="Y43" s="3217"/>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10">
        <f t="shared" si="14"/>
        <v>111</v>
      </c>
      <c r="R44" s="774" t="s">
        <v>17</v>
      </c>
      <c r="S44" s="775">
        <f t="shared" si="10"/>
        <v>100</v>
      </c>
      <c r="T44" s="774" t="s">
        <v>17</v>
      </c>
      <c r="U44" s="775">
        <f t="shared" si="11"/>
        <v>100</v>
      </c>
      <c r="V44" s="774" t="s">
        <v>17</v>
      </c>
      <c r="W44" s="775">
        <f t="shared" si="12"/>
        <v>100</v>
      </c>
      <c r="X44" s="1813"/>
      <c r="Y44" s="3217"/>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10">
        <f t="shared" si="14"/>
        <v>111</v>
      </c>
      <c r="R45" s="777" t="s">
        <v>17</v>
      </c>
      <c r="S45" s="778">
        <f t="shared" si="10"/>
        <v>100</v>
      </c>
      <c r="T45" s="777" t="s">
        <v>17</v>
      </c>
      <c r="U45" s="778">
        <f t="shared" si="11"/>
        <v>100</v>
      </c>
      <c r="V45" s="777" t="s">
        <v>17</v>
      </c>
      <c r="W45" s="778">
        <f t="shared" si="12"/>
        <v>100</v>
      </c>
      <c r="X45" s="779"/>
      <c r="Y45" s="3217"/>
      <c r="Z45" s="780">
        <f t="shared" si="13"/>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10" t="str">
        <f>A46</f>
        <v>成交单价</v>
      </c>
      <c r="Q46" s="3210"/>
      <c r="R46" s="3241">
        <f>E46</f>
        <v>0</v>
      </c>
      <c r="S46" s="3241"/>
      <c r="T46" s="3241">
        <f>G46</f>
        <v>0</v>
      </c>
      <c r="U46" s="3241"/>
      <c r="V46" s="3241">
        <f>I46</f>
        <v>0</v>
      </c>
      <c r="W46" s="3241"/>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10" t="str">
        <f>A47</f>
        <v>比较价值（元/平方米）</v>
      </c>
      <c r="Q47" s="3210"/>
      <c r="R47" s="3274" t="e">
        <f>ROUND(PRODUCT(R46,AA7:AA45),0)</f>
        <v>#DIV/0!</v>
      </c>
      <c r="S47" s="3274"/>
      <c r="T47" s="3274" t="e">
        <f>ROUND(PRODUCT(T46,AB7:AB45),0)</f>
        <v>#DIV/0!</v>
      </c>
      <c r="U47" s="3274"/>
      <c r="V47" s="3274" t="e">
        <f>ROUND(PRODUCT(V46,AC7:AC45),0)</f>
        <v>#DIV/0!</v>
      </c>
      <c r="W47" s="3274"/>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3"/>
      <c r="M48" s="1144"/>
      <c r="N48" s="1144"/>
      <c r="O48" s="1144"/>
      <c r="P48" s="3207" t="str">
        <f>A48</f>
        <v>估价对象XX用房的比较价值（楼面单价，元/平方米）</v>
      </c>
      <c r="Q48" s="3208"/>
      <c r="R48" s="3275" t="e">
        <f>ROUND(AVERAGE(R47:V47),0)</f>
        <v>#DIV/0!</v>
      </c>
      <c r="S48" s="3275"/>
      <c r="T48" s="3275"/>
      <c r="U48" s="3275"/>
      <c r="V48" s="3275"/>
      <c r="W48" s="327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225" t="s">
        <v>2762</v>
      </c>
      <c r="H55" s="3276"/>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86971.4</v>
      </c>
      <c r="F56" s="1103" t="e">
        <f t="shared" ref="F56:F65" si="15">ROUND(B56*E56/10000,0)</f>
        <v>#DIV/0!</v>
      </c>
      <c r="G56" s="3221"/>
      <c r="H56" s="3210"/>
      <c r="I56" s="1108">
        <v>1</v>
      </c>
      <c r="J56" s="1111">
        <v>1</v>
      </c>
      <c r="K56" s="1145"/>
      <c r="L56" s="941"/>
      <c r="M56" s="941"/>
      <c r="N56" s="941"/>
      <c r="O56" s="941"/>
    </row>
    <row r="57" spans="1:15" s="692" customFormat="1">
      <c r="A57" s="693" t="s">
        <v>2766</v>
      </c>
      <c r="B57" s="262" t="e">
        <f>ROUND($C$48*C57*D57,0)</f>
        <v>#DIV/0!</v>
      </c>
      <c r="C57" s="200">
        <f t="shared" ref="C57:C65" si="16">IF($C$55="北京市系数",I57,J57)</f>
        <v>0</v>
      </c>
      <c r="D57" s="1164">
        <v>0.25</v>
      </c>
      <c r="E57" s="694"/>
      <c r="F57" s="1103" t="e">
        <f t="shared" si="15"/>
        <v>#DIV/0!</v>
      </c>
      <c r="G57" s="3277"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7">ROUND($C$48*C58*D58,0)</f>
        <v>#DIV/0!</v>
      </c>
      <c r="C58" s="200">
        <f t="shared" si="16"/>
        <v>0</v>
      </c>
      <c r="D58" s="1164">
        <v>0.25</v>
      </c>
      <c r="E58" s="694"/>
      <c r="F58" s="1103" t="e">
        <f t="shared" si="15"/>
        <v>#DIV/0!</v>
      </c>
      <c r="G58" s="3277"/>
      <c r="H58" s="1104">
        <f>项目基本情况!B37</f>
        <v>0</v>
      </c>
      <c r="I58" s="1108">
        <f>SUMIF(修正!A45:A56,H58,修正!C45:C56)</f>
        <v>0</v>
      </c>
      <c r="J58" s="1112"/>
      <c r="K58" s="1145"/>
      <c r="L58" s="941"/>
      <c r="M58" s="941"/>
      <c r="N58" s="941"/>
      <c r="O58" s="941"/>
    </row>
    <row r="59" spans="1:15" s="692" customFormat="1">
      <c r="A59" s="693" t="s">
        <v>2769</v>
      </c>
      <c r="B59" s="262" t="e">
        <f t="shared" si="17"/>
        <v>#DIV/0!</v>
      </c>
      <c r="C59" s="200">
        <f t="shared" si="16"/>
        <v>0</v>
      </c>
      <c r="D59" s="1164">
        <v>0.25</v>
      </c>
      <c r="E59" s="694"/>
      <c r="F59" s="1103" t="e">
        <f t="shared" si="15"/>
        <v>#DIV/0!</v>
      </c>
      <c r="G59" s="3277"/>
      <c r="H59" s="1104">
        <f>项目基本情况!B37</f>
        <v>0</v>
      </c>
      <c r="I59" s="1108">
        <f>SUMIF(修正!A45:A56,H59,修正!D45:D56)</f>
        <v>0</v>
      </c>
      <c r="J59" s="1112"/>
      <c r="K59" s="1144"/>
      <c r="L59" s="941"/>
      <c r="M59" s="941"/>
      <c r="N59" s="941"/>
      <c r="O59" s="941"/>
    </row>
    <row r="60" spans="1:15" s="692" customFormat="1">
      <c r="A60" s="693" t="s">
        <v>2770</v>
      </c>
      <c r="B60" s="262" t="e">
        <f t="shared" si="17"/>
        <v>#DIV/0!</v>
      </c>
      <c r="C60" s="200">
        <f t="shared" si="16"/>
        <v>0</v>
      </c>
      <c r="D60" s="1164">
        <v>0.25</v>
      </c>
      <c r="E60" s="694"/>
      <c r="F60" s="1103" t="e">
        <f t="shared" si="15"/>
        <v>#DIV/0!</v>
      </c>
      <c r="G60" s="3277"/>
      <c r="H60" s="1104">
        <f>项目基本情况!B37</f>
        <v>0</v>
      </c>
      <c r="I60" s="1108">
        <f>SUMIF(修正!A45:A56,H60,修正!E45:E56)</f>
        <v>0</v>
      </c>
      <c r="J60" s="1112"/>
      <c r="K60" s="1145"/>
      <c r="L60" s="941"/>
      <c r="M60" s="941"/>
      <c r="N60" s="941"/>
      <c r="O60" s="941"/>
    </row>
    <row r="61" spans="1:15" s="692" customFormat="1">
      <c r="A61" s="693" t="s">
        <v>2771</v>
      </c>
      <c r="B61" s="262" t="e">
        <f t="shared" si="17"/>
        <v>#DIV/0!</v>
      </c>
      <c r="C61" s="200">
        <f t="shared" si="16"/>
        <v>0</v>
      </c>
      <c r="D61" s="1164">
        <v>0.25</v>
      </c>
      <c r="E61" s="261">
        <f>'数据-汇总表'!E11</f>
        <v>0</v>
      </c>
      <c r="F61" s="1103" t="e">
        <f t="shared" si="15"/>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7"/>
        <v>#DIV/0!</v>
      </c>
      <c r="C64" s="200">
        <f t="shared" si="16"/>
        <v>0</v>
      </c>
      <c r="D64" s="1164">
        <v>0.25</v>
      </c>
      <c r="E64" s="261">
        <f>'数据-汇总表'!E14</f>
        <v>0</v>
      </c>
      <c r="F64" s="1103" t="e">
        <f t="shared" si="15"/>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7"/>
        <v>#DIV/0!</v>
      </c>
      <c r="C65" s="200">
        <f t="shared" si="16"/>
        <v>0</v>
      </c>
      <c r="D65" s="1164">
        <v>0.25</v>
      </c>
      <c r="E65" s="261">
        <f>'数据-汇总表'!E15</f>
        <v>0</v>
      </c>
      <c r="F65" s="1103" t="e">
        <f t="shared" si="15"/>
        <v>#DIV/0!</v>
      </c>
      <c r="G65" s="2708"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5" t="s">
        <v>2644</v>
      </c>
      <c r="D4" s="3226"/>
      <c r="E4" s="3227" t="s">
        <v>2645</v>
      </c>
      <c r="F4" s="3228"/>
      <c r="G4" s="3225" t="s">
        <v>2646</v>
      </c>
      <c r="H4" s="3226"/>
      <c r="I4" s="3225" t="s">
        <v>2647</v>
      </c>
      <c r="J4" s="3226"/>
      <c r="K4" s="610" t="s">
        <v>2648</v>
      </c>
      <c r="L4" s="1130"/>
      <c r="M4" s="1131"/>
      <c r="N4" s="1131"/>
      <c r="O4" s="1131"/>
      <c r="P4" s="3229" t="s">
        <v>2649</v>
      </c>
      <c r="Q4" s="3230"/>
      <c r="R4" s="3235" t="s">
        <v>2645</v>
      </c>
      <c r="S4" s="3236"/>
      <c r="T4" s="3235" t="s">
        <v>2646</v>
      </c>
      <c r="U4" s="3236"/>
      <c r="V4" s="3241" t="s">
        <v>2647</v>
      </c>
      <c r="W4" s="3241"/>
      <c r="X4" s="1813"/>
      <c r="Y4" s="3235" t="s">
        <v>2649</v>
      </c>
      <c r="Z4" s="3236"/>
      <c r="AA4" s="3222" t="s">
        <v>2645</v>
      </c>
      <c r="AB4" s="3223" t="s">
        <v>2646</v>
      </c>
      <c r="AC4" s="3222" t="s">
        <v>2647</v>
      </c>
    </row>
    <row r="5" spans="1:29" ht="15">
      <c r="A5" s="404"/>
      <c r="B5" s="405"/>
      <c r="C5" s="3256" t="s">
        <v>2541</v>
      </c>
      <c r="D5" s="3250"/>
      <c r="E5" s="3257" t="s">
        <v>2542</v>
      </c>
      <c r="F5" s="3255"/>
      <c r="G5" s="3256" t="s">
        <v>2543</v>
      </c>
      <c r="H5" s="3250"/>
      <c r="I5" s="3256" t="s">
        <v>2544</v>
      </c>
      <c r="J5" s="3250"/>
      <c r="K5" s="610"/>
      <c r="L5" s="1130"/>
      <c r="M5" s="1131"/>
      <c r="N5" s="1131"/>
      <c r="O5" s="1131"/>
      <c r="P5" s="3231"/>
      <c r="Q5" s="3232"/>
      <c r="R5" s="3237"/>
      <c r="S5" s="3238"/>
      <c r="T5" s="3237"/>
      <c r="U5" s="3238"/>
      <c r="V5" s="3241"/>
      <c r="W5" s="3241"/>
      <c r="X5" s="1813"/>
      <c r="Y5" s="3237"/>
      <c r="Z5" s="3238"/>
      <c r="AA5" s="3223"/>
      <c r="AB5" s="3223"/>
      <c r="AC5" s="3223"/>
    </row>
    <row r="6" spans="1:29" ht="15.75" thickBot="1">
      <c r="A6" s="406"/>
      <c r="B6" s="407"/>
      <c r="C6" s="3278" t="s">
        <v>2795</v>
      </c>
      <c r="D6" s="3279"/>
      <c r="E6" s="3280" t="s">
        <v>2795</v>
      </c>
      <c r="F6" s="3281"/>
      <c r="G6" s="3278" t="s">
        <v>2795</v>
      </c>
      <c r="H6" s="3279"/>
      <c r="I6" s="3278" t="s">
        <v>2795</v>
      </c>
      <c r="J6" s="3279"/>
      <c r="K6" s="610" t="s">
        <v>2546</v>
      </c>
      <c r="L6" s="1130"/>
      <c r="M6" s="1131"/>
      <c r="N6" s="1131"/>
      <c r="O6" s="1131"/>
      <c r="P6" s="3233"/>
      <c r="Q6" s="3234"/>
      <c r="R6" s="3237"/>
      <c r="S6" s="3238"/>
      <c r="T6" s="3239"/>
      <c r="U6" s="3240"/>
      <c r="V6" s="3241"/>
      <c r="W6" s="3241"/>
      <c r="X6" s="1813"/>
      <c r="Y6" s="3239"/>
      <c r="Z6" s="3240"/>
      <c r="AA6" s="3224"/>
      <c r="AB6" s="3224"/>
      <c r="AC6" s="3224"/>
    </row>
    <row r="7" spans="1:29" s="117" customFormat="1" ht="15.75"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46" t="s">
        <v>2548</v>
      </c>
      <c r="Q7" s="3248"/>
      <c r="R7" s="770" t="s">
        <v>17</v>
      </c>
      <c r="S7" s="771">
        <f t="shared" ref="S7:S15" si="0">F7</f>
        <v>0</v>
      </c>
      <c r="T7" s="770" t="s">
        <v>17</v>
      </c>
      <c r="U7" s="771">
        <f t="shared" ref="U7:U15" si="1">H7</f>
        <v>0</v>
      </c>
      <c r="V7" s="770" t="s">
        <v>17</v>
      </c>
      <c r="W7" s="771">
        <f t="shared" ref="W7:W15" si="2">J7</f>
        <v>0</v>
      </c>
      <c r="X7" s="772"/>
      <c r="Y7" s="3246" t="s">
        <v>2548</v>
      </c>
      <c r="Z7" s="324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6" t="s">
        <v>2551</v>
      </c>
      <c r="Q8" s="3247"/>
      <c r="R8" s="770" t="s">
        <v>17</v>
      </c>
      <c r="S8" s="771">
        <f t="shared" si="0"/>
        <v>0</v>
      </c>
      <c r="T8" s="770" t="s">
        <v>17</v>
      </c>
      <c r="U8" s="771">
        <f t="shared" si="1"/>
        <v>0</v>
      </c>
      <c r="V8" s="770" t="s">
        <v>17</v>
      </c>
      <c r="W8" s="771">
        <f t="shared" si="2"/>
        <v>0</v>
      </c>
      <c r="X8" s="772"/>
      <c r="Y8" s="3246" t="s">
        <v>2551</v>
      </c>
      <c r="Z8" s="3247"/>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10" t="s">
        <v>2554</v>
      </c>
      <c r="Q9" s="1795" t="str">
        <f t="shared" ref="Q9:Q15" si="6">B9</f>
        <v>用途</v>
      </c>
      <c r="R9" s="770" t="s">
        <v>17</v>
      </c>
      <c r="S9" s="771">
        <f t="shared" si="0"/>
        <v>100</v>
      </c>
      <c r="T9" s="770" t="s">
        <v>17</v>
      </c>
      <c r="U9" s="771">
        <f t="shared" si="1"/>
        <v>100</v>
      </c>
      <c r="V9" s="770" t="s">
        <v>17</v>
      </c>
      <c r="W9" s="771">
        <f t="shared" si="2"/>
        <v>100</v>
      </c>
      <c r="X9" s="772"/>
      <c r="Y9" s="303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10"/>
      <c r="Q10" s="1795" t="str">
        <f t="shared" si="6"/>
        <v>土地使用年限（年）</v>
      </c>
      <c r="R10" s="770" t="s">
        <v>17</v>
      </c>
      <c r="S10" s="771" t="e">
        <f t="shared" si="0"/>
        <v>#DIV/0!</v>
      </c>
      <c r="T10" s="770" t="s">
        <v>17</v>
      </c>
      <c r="U10" s="771" t="e">
        <f t="shared" si="1"/>
        <v>#DIV/0!</v>
      </c>
      <c r="V10" s="770" t="s">
        <v>17</v>
      </c>
      <c r="W10" s="771" t="e">
        <f t="shared" si="2"/>
        <v>#DIV/0!</v>
      </c>
      <c r="X10" s="772"/>
      <c r="Y10" s="3030"/>
      <c r="Z10" s="55" t="str">
        <f t="shared" si="7"/>
        <v>土地使用年限（年）</v>
      </c>
      <c r="AA10" s="773" t="e">
        <f t="shared" si="3"/>
        <v>#DIV/0!</v>
      </c>
      <c r="AB10" s="773" t="e">
        <f t="shared" si="4"/>
        <v>#DIV/0!</v>
      </c>
      <c r="AC10" s="773"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0"/>
      <c r="Q11" s="1795"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0"/>
      <c r="Q12" s="1795">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0"/>
      <c r="Q13" s="1795">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0"/>
      <c r="Q14" s="1795">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2" t="s">
        <v>2559</v>
      </c>
      <c r="Q15" s="1810" t="str">
        <f t="shared" si="6"/>
        <v>产业集聚程度</v>
      </c>
      <c r="R15" s="774" t="s">
        <v>17</v>
      </c>
      <c r="S15" s="775">
        <f t="shared" si="0"/>
        <v>100</v>
      </c>
      <c r="T15" s="774" t="s">
        <v>17</v>
      </c>
      <c r="U15" s="775">
        <f t="shared" si="1"/>
        <v>100</v>
      </c>
      <c r="V15" s="774" t="s">
        <v>17</v>
      </c>
      <c r="W15" s="775">
        <f t="shared" si="2"/>
        <v>100</v>
      </c>
      <c r="X15" s="1813"/>
      <c r="Y15" s="3212"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3"/>
      <c r="Q16" s="1810"/>
      <c r="R16" s="774"/>
      <c r="S16" s="775"/>
      <c r="T16" s="774"/>
      <c r="U16" s="775"/>
      <c r="V16" s="774"/>
      <c r="W16" s="775"/>
      <c r="X16" s="1813"/>
      <c r="Y16" s="3213"/>
      <c r="Z16" s="1814"/>
      <c r="AA16" s="1811">
        <v>1</v>
      </c>
      <c r="AB16" s="1811">
        <v>1</v>
      </c>
      <c r="AC16" s="1811">
        <v>1</v>
      </c>
    </row>
    <row r="17" spans="1:29" ht="85.5">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3"/>
      <c r="Q17" s="1810" t="str">
        <f>B17</f>
        <v>交通便捷度</v>
      </c>
      <c r="R17" s="774" t="s">
        <v>17</v>
      </c>
      <c r="S17" s="775">
        <f>F17</f>
        <v>100</v>
      </c>
      <c r="T17" s="774" t="s">
        <v>17</v>
      </c>
      <c r="U17" s="775">
        <f>H17</f>
        <v>100</v>
      </c>
      <c r="V17" s="774" t="s">
        <v>17</v>
      </c>
      <c r="W17" s="775">
        <f>J17</f>
        <v>100</v>
      </c>
      <c r="X17" s="1813"/>
      <c r="Y17" s="3213"/>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3"/>
      <c r="Q18" s="1810"/>
      <c r="R18" s="774"/>
      <c r="S18" s="775"/>
      <c r="T18" s="774"/>
      <c r="U18" s="775"/>
      <c r="V18" s="774"/>
      <c r="W18" s="775"/>
      <c r="X18" s="1813"/>
      <c r="Y18" s="3213"/>
      <c r="Z18" s="1814"/>
      <c r="AA18" s="1811">
        <v>1</v>
      </c>
      <c r="AB18" s="1811">
        <v>1</v>
      </c>
      <c r="AC18" s="1811">
        <v>1</v>
      </c>
    </row>
    <row r="19" spans="1:29" ht="15">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3"/>
      <c r="Q19" s="1810" t="str">
        <f t="shared" ref="Q19:Q33" si="8">B19</f>
        <v>区域土地利用方向</v>
      </c>
      <c r="R19" s="774" t="s">
        <v>17</v>
      </c>
      <c r="S19" s="775">
        <f>F19</f>
        <v>100</v>
      </c>
      <c r="T19" s="774" t="s">
        <v>17</v>
      </c>
      <c r="U19" s="775">
        <f>H19</f>
        <v>100</v>
      </c>
      <c r="V19" s="774" t="s">
        <v>17</v>
      </c>
      <c r="W19" s="775">
        <f>J19</f>
        <v>100</v>
      </c>
      <c r="X19" s="1813"/>
      <c r="Y19" s="3213"/>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3"/>
      <c r="Q20" s="1810"/>
      <c r="R20" s="774"/>
      <c r="S20" s="775"/>
      <c r="T20" s="774"/>
      <c r="U20" s="775"/>
      <c r="V20" s="774"/>
      <c r="W20" s="775"/>
      <c r="X20" s="1813"/>
      <c r="Y20" s="3213"/>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3"/>
      <c r="Q21" s="1810" t="str">
        <f t="shared" si="8"/>
        <v>环境状况</v>
      </c>
      <c r="R21" s="774" t="s">
        <v>17</v>
      </c>
      <c r="S21" s="775">
        <f>F21</f>
        <v>100</v>
      </c>
      <c r="T21" s="774" t="s">
        <v>17</v>
      </c>
      <c r="U21" s="775">
        <f>H21</f>
        <v>100</v>
      </c>
      <c r="V21" s="774" t="s">
        <v>17</v>
      </c>
      <c r="W21" s="775">
        <f>J21</f>
        <v>100</v>
      </c>
      <c r="X21" s="1813"/>
      <c r="Y21" s="3213"/>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3"/>
      <c r="Q22" s="1810"/>
      <c r="R22" s="774"/>
      <c r="S22" s="775"/>
      <c r="T22" s="774"/>
      <c r="U22" s="775"/>
      <c r="V22" s="774"/>
      <c r="W22" s="775"/>
      <c r="X22" s="1813"/>
      <c r="Y22" s="3213"/>
      <c r="Z22" s="1814"/>
      <c r="AA22" s="1811">
        <v>1</v>
      </c>
      <c r="AB22" s="1811">
        <v>1</v>
      </c>
      <c r="AC22" s="1811">
        <v>1</v>
      </c>
    </row>
    <row r="23" spans="1:29" s="117" customFormat="1" ht="42.7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3"/>
      <c r="Q23" s="1795" t="str">
        <f t="shared" si="8"/>
        <v>公共配套设施</v>
      </c>
      <c r="R23" s="770" t="s">
        <v>17</v>
      </c>
      <c r="S23" s="771">
        <f>F23</f>
        <v>100</v>
      </c>
      <c r="T23" s="770" t="s">
        <v>17</v>
      </c>
      <c r="U23" s="771">
        <f>H23</f>
        <v>100</v>
      </c>
      <c r="V23" s="770" t="s">
        <v>17</v>
      </c>
      <c r="W23" s="771">
        <f>J23</f>
        <v>100</v>
      </c>
      <c r="X23" s="772"/>
      <c r="Y23" s="3213"/>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3"/>
      <c r="Q24" s="1795"/>
      <c r="R24" s="770"/>
      <c r="S24" s="771"/>
      <c r="T24" s="770"/>
      <c r="U24" s="771"/>
      <c r="V24" s="770"/>
      <c r="W24" s="771"/>
      <c r="X24" s="772"/>
      <c r="Y24" s="3213"/>
      <c r="Z24" s="55"/>
      <c r="AA24" s="773">
        <v>1</v>
      </c>
      <c r="AB24" s="773">
        <v>1</v>
      </c>
      <c r="AC24" s="773">
        <v>1</v>
      </c>
    </row>
    <row r="25" spans="1:29" s="117" customFormat="1" ht="28.5">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3"/>
      <c r="Q25" s="1795" t="str">
        <f t="shared" ref="Q25" si="9">B25</f>
        <v>基础设施水平</v>
      </c>
      <c r="R25" s="770" t="s">
        <v>17</v>
      </c>
      <c r="S25" s="771">
        <f>F25</f>
        <v>100</v>
      </c>
      <c r="T25" s="770" t="s">
        <v>17</v>
      </c>
      <c r="U25" s="771">
        <f>H25</f>
        <v>100</v>
      </c>
      <c r="V25" s="770" t="s">
        <v>17</v>
      </c>
      <c r="W25" s="771">
        <f>J25</f>
        <v>100</v>
      </c>
      <c r="X25" s="772"/>
      <c r="Y25" s="3213"/>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3"/>
      <c r="Q26" s="1795"/>
      <c r="R26" s="770"/>
      <c r="S26" s="771"/>
      <c r="T26" s="770"/>
      <c r="U26" s="771"/>
      <c r="V26" s="770"/>
      <c r="W26" s="771"/>
      <c r="X26" s="772"/>
      <c r="Y26" s="3213"/>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3"/>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3"/>
      <c r="Z27" s="1814" t="str">
        <f t="shared" ref="Z27:Z40" si="13">Q27</f>
        <v>临街状况</v>
      </c>
      <c r="AA27" s="1811">
        <f t="shared" si="3"/>
        <v>1</v>
      </c>
      <c r="AB27" s="1811">
        <f t="shared" si="4"/>
        <v>1</v>
      </c>
      <c r="AC27" s="1811">
        <f t="shared" si="5"/>
        <v>1</v>
      </c>
    </row>
    <row r="28" spans="1:29" ht="27">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3"/>
      <c r="Q28" s="1810" t="str">
        <f t="shared" si="8"/>
        <v>毗邻道路的类型与等级</v>
      </c>
      <c r="R28" s="774" t="s">
        <v>17</v>
      </c>
      <c r="S28" s="775">
        <f t="shared" si="10"/>
        <v>100</v>
      </c>
      <c r="T28" s="774" t="s">
        <v>17</v>
      </c>
      <c r="U28" s="775">
        <f t="shared" si="11"/>
        <v>100</v>
      </c>
      <c r="V28" s="774" t="s">
        <v>17</v>
      </c>
      <c r="W28" s="775">
        <f t="shared" si="12"/>
        <v>100</v>
      </c>
      <c r="X28" s="1813"/>
      <c r="Y28" s="3213"/>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3"/>
      <c r="Q29" s="1810"/>
      <c r="R29" s="774"/>
      <c r="S29" s="775"/>
      <c r="T29" s="774"/>
      <c r="U29" s="775"/>
      <c r="V29" s="774"/>
      <c r="W29" s="775"/>
      <c r="X29" s="1813"/>
      <c r="Y29" s="3213"/>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3"/>
      <c r="Q30" s="1810" t="str">
        <f t="shared" si="8"/>
        <v>土地级别</v>
      </c>
      <c r="R30" s="774" t="s">
        <v>17</v>
      </c>
      <c r="S30" s="775">
        <f t="shared" si="10"/>
        <v>100</v>
      </c>
      <c r="T30" s="774" t="s">
        <v>17</v>
      </c>
      <c r="U30" s="775">
        <f t="shared" si="11"/>
        <v>100</v>
      </c>
      <c r="V30" s="774" t="s">
        <v>17</v>
      </c>
      <c r="W30" s="775">
        <f t="shared" si="12"/>
        <v>100</v>
      </c>
      <c r="X30" s="1813"/>
      <c r="Y30" s="3213"/>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3"/>
      <c r="Q31" s="1810">
        <f t="shared" si="8"/>
        <v>111</v>
      </c>
      <c r="R31" s="774" t="s">
        <v>17</v>
      </c>
      <c r="S31" s="775">
        <f t="shared" si="10"/>
        <v>100</v>
      </c>
      <c r="T31" s="774" t="s">
        <v>17</v>
      </c>
      <c r="U31" s="775">
        <f t="shared" si="11"/>
        <v>100</v>
      </c>
      <c r="V31" s="774" t="s">
        <v>17</v>
      </c>
      <c r="W31" s="775">
        <f t="shared" si="12"/>
        <v>100</v>
      </c>
      <c r="X31" s="1813"/>
      <c r="Y31" s="3213"/>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2564</v>
      </c>
      <c r="Q32" s="1810">
        <f t="shared" si="8"/>
        <v>111</v>
      </c>
      <c r="R32" s="774" t="s">
        <v>17</v>
      </c>
      <c r="S32" s="775">
        <f t="shared" si="10"/>
        <v>100</v>
      </c>
      <c r="T32" s="774" t="s">
        <v>17</v>
      </c>
      <c r="U32" s="775">
        <f t="shared" si="11"/>
        <v>100</v>
      </c>
      <c r="V32" s="774" t="s">
        <v>17</v>
      </c>
      <c r="W32" s="775">
        <f t="shared" si="12"/>
        <v>100</v>
      </c>
      <c r="X32" s="1813"/>
      <c r="Y32" s="3217"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10">
        <f t="shared" si="8"/>
        <v>111</v>
      </c>
      <c r="R33" s="777" t="s">
        <v>17</v>
      </c>
      <c r="S33" s="778">
        <f t="shared" si="10"/>
        <v>100</v>
      </c>
      <c r="T33" s="777" t="s">
        <v>17</v>
      </c>
      <c r="U33" s="778">
        <f t="shared" si="11"/>
        <v>100</v>
      </c>
      <c r="V33" s="777" t="s">
        <v>17</v>
      </c>
      <c r="W33" s="778">
        <f t="shared" si="12"/>
        <v>100</v>
      </c>
      <c r="X33" s="779"/>
      <c r="Y33" s="3217"/>
      <c r="Z33" s="780">
        <f t="shared" si="13"/>
        <v>111</v>
      </c>
      <c r="AA33" s="1811">
        <f t="shared" si="3"/>
        <v>1</v>
      </c>
      <c r="AB33" s="1811">
        <f t="shared" si="4"/>
        <v>1</v>
      </c>
      <c r="AC33" s="1811">
        <f t="shared" si="5"/>
        <v>1</v>
      </c>
    </row>
    <row r="34" spans="1:29" ht="15">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10" t="str">
        <f>B34</f>
        <v>宗地面积</v>
      </c>
      <c r="R34" s="774" t="s">
        <v>17</v>
      </c>
      <c r="S34" s="775" t="e">
        <f t="shared" si="10"/>
        <v>#N/A</v>
      </c>
      <c r="T34" s="774" t="s">
        <v>17</v>
      </c>
      <c r="U34" s="775" t="e">
        <f t="shared" si="11"/>
        <v>#N/A</v>
      </c>
      <c r="V34" s="774" t="s">
        <v>17</v>
      </c>
      <c r="W34" s="775" t="e">
        <f t="shared" si="12"/>
        <v>#N/A</v>
      </c>
      <c r="X34" s="1813"/>
      <c r="Y34" s="3217"/>
      <c r="Z34" s="1814" t="str">
        <f t="shared" si="13"/>
        <v>宗地面积</v>
      </c>
      <c r="AA34" s="1811" t="e">
        <f t="shared" si="3"/>
        <v>#N/A</v>
      </c>
      <c r="AB34" s="1811" t="e">
        <f t="shared" si="4"/>
        <v>#N/A</v>
      </c>
      <c r="AC34" s="1811" t="e">
        <f t="shared" si="5"/>
        <v>#N/A</v>
      </c>
    </row>
    <row r="35" spans="1:29" ht="15">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7"/>
      <c r="Q35" s="1810" t="str">
        <f t="shared" ref="Q35:Q40" si="14">B35</f>
        <v>宗地形状</v>
      </c>
      <c r="R35" s="774" t="s">
        <v>17</v>
      </c>
      <c r="S35" s="775">
        <f t="shared" si="10"/>
        <v>100</v>
      </c>
      <c r="T35" s="774" t="s">
        <v>17</v>
      </c>
      <c r="U35" s="775">
        <f t="shared" si="11"/>
        <v>100</v>
      </c>
      <c r="V35" s="774" t="s">
        <v>17</v>
      </c>
      <c r="W35" s="775">
        <f t="shared" si="12"/>
        <v>100</v>
      </c>
      <c r="X35" s="1813"/>
      <c r="Y35" s="3217"/>
      <c r="Z35" s="1814" t="str">
        <f t="shared" si="13"/>
        <v>宗地形状</v>
      </c>
      <c r="AA35" s="1811">
        <f t="shared" si="3"/>
        <v>1</v>
      </c>
      <c r="AB35" s="1811">
        <f t="shared" si="4"/>
        <v>1</v>
      </c>
      <c r="AC35" s="1811">
        <f t="shared" si="5"/>
        <v>1</v>
      </c>
    </row>
    <row r="36" spans="1:29" s="117" customFormat="1" ht="15">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7"/>
      <c r="Q36" s="1810"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7" t="s">
        <v>2564</v>
      </c>
      <c r="Q37" s="1810" t="str">
        <f t="shared" si="14"/>
        <v>工程地质条件</v>
      </c>
      <c r="R37" s="774" t="s">
        <v>17</v>
      </c>
      <c r="S37" s="775">
        <f t="shared" si="10"/>
        <v>100</v>
      </c>
      <c r="T37" s="774" t="s">
        <v>17</v>
      </c>
      <c r="U37" s="775">
        <f t="shared" si="11"/>
        <v>100</v>
      </c>
      <c r="V37" s="774" t="s">
        <v>17</v>
      </c>
      <c r="W37" s="775">
        <f t="shared" si="12"/>
        <v>100</v>
      </c>
      <c r="X37" s="1813"/>
      <c r="Y37" s="3217"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10">
        <f t="shared" si="14"/>
        <v>111</v>
      </c>
      <c r="R38" s="774" t="s">
        <v>17</v>
      </c>
      <c r="S38" s="775">
        <f t="shared" si="10"/>
        <v>100</v>
      </c>
      <c r="T38" s="774" t="s">
        <v>17</v>
      </c>
      <c r="U38" s="775">
        <f t="shared" si="11"/>
        <v>100</v>
      </c>
      <c r="V38" s="774" t="s">
        <v>17</v>
      </c>
      <c r="W38" s="775">
        <f t="shared" si="12"/>
        <v>100</v>
      </c>
      <c r="X38" s="1813"/>
      <c r="Y38" s="321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10">
        <f t="shared" si="14"/>
        <v>111</v>
      </c>
      <c r="R39" s="774" t="s">
        <v>17</v>
      </c>
      <c r="S39" s="775">
        <f t="shared" si="10"/>
        <v>100</v>
      </c>
      <c r="T39" s="774" t="s">
        <v>17</v>
      </c>
      <c r="U39" s="775">
        <f t="shared" si="11"/>
        <v>100</v>
      </c>
      <c r="V39" s="774" t="s">
        <v>17</v>
      </c>
      <c r="W39" s="775">
        <f t="shared" si="12"/>
        <v>100</v>
      </c>
      <c r="X39" s="1813"/>
      <c r="Y39" s="3217"/>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10">
        <f t="shared" si="14"/>
        <v>111</v>
      </c>
      <c r="R40" s="777" t="s">
        <v>17</v>
      </c>
      <c r="S40" s="778">
        <f t="shared" si="10"/>
        <v>100</v>
      </c>
      <c r="T40" s="777" t="s">
        <v>17</v>
      </c>
      <c r="U40" s="778">
        <f t="shared" si="11"/>
        <v>100</v>
      </c>
      <c r="V40" s="777" t="s">
        <v>17</v>
      </c>
      <c r="W40" s="778">
        <f t="shared" si="12"/>
        <v>100</v>
      </c>
      <c r="X40" s="779"/>
      <c r="Y40" s="3217"/>
      <c r="Z40" s="780">
        <f t="shared" si="13"/>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10" t="str">
        <f>A41</f>
        <v>成交单价</v>
      </c>
      <c r="Q41" s="3210"/>
      <c r="R41" s="3241">
        <f>E41</f>
        <v>0</v>
      </c>
      <c r="S41" s="3241"/>
      <c r="T41" s="3241">
        <f>G41</f>
        <v>0</v>
      </c>
      <c r="U41" s="3241"/>
      <c r="V41" s="3241">
        <f>I41</f>
        <v>0</v>
      </c>
      <c r="W41" s="3241"/>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10" t="str">
        <f>A42</f>
        <v>比较价值（元/平方米）</v>
      </c>
      <c r="Q42" s="3210"/>
      <c r="R42" s="3274" t="e">
        <f>ROUND(PRODUCT(R41,AA7:AA40),0)</f>
        <v>#DIV/0!</v>
      </c>
      <c r="S42" s="3274"/>
      <c r="T42" s="3274" t="e">
        <f>ROUND(PRODUCT(T41,AB7:AB40),0)</f>
        <v>#DIV/0!</v>
      </c>
      <c r="U42" s="3274"/>
      <c r="V42" s="3274" t="e">
        <f>ROUND(PRODUCT(V41,AC7:AC40),0)</f>
        <v>#DIV/0!</v>
      </c>
      <c r="W42" s="3274"/>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7" t="str">
        <f>A43</f>
        <v>估价对象XX用房的比较价值（楼面单价，元/平方米）</v>
      </c>
      <c r="Q43" s="3208"/>
      <c r="R43" s="3275" t="e">
        <f>ROUND(AVERAGE(R42:V42),0)</f>
        <v>#DIV/0!</v>
      </c>
      <c r="S43" s="3275"/>
      <c r="T43" s="3275"/>
      <c r="U43" s="3275"/>
      <c r="V43" s="3275"/>
      <c r="W43" s="327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3" t="s">
        <v>2758</v>
      </c>
      <c r="D50" s="2704" t="s">
        <v>2759</v>
      </c>
      <c r="E50" s="686" t="s">
        <v>2760</v>
      </c>
      <c r="F50" s="687" t="s">
        <v>2761</v>
      </c>
      <c r="G50" s="3225" t="s">
        <v>2762</v>
      </c>
      <c r="H50" s="3276"/>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86971.4</v>
      </c>
      <c r="F51" s="691" t="e">
        <f t="shared" ref="F51:F60" si="15">ROUND(B51*E51/10000,0)</f>
        <v>#DIV/0!</v>
      </c>
      <c r="G51" s="3221"/>
      <c r="H51" s="3210"/>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77"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77"/>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77"/>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77"/>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19" t="s">
        <v>2817</v>
      </c>
      <c r="D3" s="2720" t="s">
        <v>2818</v>
      </c>
      <c r="E3" s="2725"/>
      <c r="F3" s="2726" t="s">
        <v>2819</v>
      </c>
      <c r="G3" s="916">
        <f>IF(F3="宗地容积率",'数据-汇总表'!I4,IF(F3="估价对象容积率",'数据-汇总表'!I6,'数据-汇总表'!I7))</f>
        <v>1.99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5"/>
      <c r="B4" s="3286"/>
      <c r="C4" s="3286"/>
      <c r="D4" s="3287"/>
      <c r="E4" s="3287"/>
      <c r="F4" s="3287"/>
      <c r="G4" s="3287"/>
      <c r="H4" s="3287"/>
      <c r="I4" s="3287"/>
      <c r="J4" s="3288"/>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2824</v>
      </c>
      <c r="C5" s="917" t="e">
        <f>ROUND(IF(E2="商业",C6*C7+C16,(IF(E2="住宅",C6*C12+C16,C6+C16))),0)</f>
        <v>#DIV/0!</v>
      </c>
      <c r="D5" s="1787" t="e">
        <f>ROUND(C6+C16,0)</f>
        <v>#DIV/0!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24">
      <c r="A7" s="3289"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1.99</v>
      </c>
      <c r="AA7" s="1606"/>
      <c r="AB7" s="1606"/>
      <c r="AC7" s="1607"/>
      <c r="AD7" s="1608"/>
      <c r="AE7" s="1608"/>
      <c r="AF7" s="1608"/>
      <c r="AG7" s="1608"/>
      <c r="AH7" s="1608"/>
      <c r="AI7" s="1608"/>
      <c r="AJ7" s="1609"/>
    </row>
    <row r="8" spans="1:36" ht="15">
      <c r="A8" s="3290"/>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82" t="s">
        <v>2838</v>
      </c>
      <c r="X8" s="3283"/>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90"/>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4"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0"/>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0"/>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4" t="s">
        <v>2862</v>
      </c>
      <c r="X11" s="1614" t="s">
        <v>2863</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25.5" thickBot="1">
      <c r="A12" s="3289"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4"/>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1"/>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284"/>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5">
      <c r="A14" s="3291"/>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2"/>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9" t="s">
        <v>2881</v>
      </c>
      <c r="B16" s="2743" t="s">
        <v>2882</v>
      </c>
      <c r="C16" s="2930" t="e">
        <f>ROUND(IF(F17="与级别开发程度一致",0,(G17-E17)/C17),0)</f>
        <v>#DIV/0!</v>
      </c>
      <c r="D16" s="3303" t="s">
        <v>2886</v>
      </c>
      <c r="E16" s="3304"/>
      <c r="F16" s="3303" t="s">
        <v>2883</v>
      </c>
      <c r="G16" s="3304"/>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3"/>
      <c r="B17" s="2941" t="s">
        <v>2885</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808</v>
      </c>
      <c r="B18" s="2936" t="s">
        <v>2888</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7.75" thickBot="1">
      <c r="A19" s="2782" t="s">
        <v>809</v>
      </c>
      <c r="B19" s="2783" t="s">
        <v>2889</v>
      </c>
      <c r="C19" s="924" t="e">
        <f>ROUND(IF(H19="按公示增长率计算",SUMPRODUCT((地价!A3:A29=YEAR(G19)&amp;"-"&amp;ROUNDUP(MONTH(G19)/3,0))*(地价!X2:AB2=E2)*(地价!X3:AB29)),IF(H19="地价指数",M20/M19,(1+I19)^O19)),4)</f>
        <v>#VALUE!</v>
      </c>
      <c r="D19" s="2787" t="s">
        <v>2890</v>
      </c>
      <c r="E19" s="925">
        <v>41640</v>
      </c>
      <c r="F19" s="2787" t="s">
        <v>2891</v>
      </c>
      <c r="G19" s="926">
        <f>'数据-取费表'!B2</f>
        <v>43847</v>
      </c>
      <c r="H19" s="2788"/>
      <c r="I19" s="927" t="str">
        <f>IF(H19="季度增幅（自定义）",SUMIF(N21:N24,E2,O21:O24),"")</f>
        <v/>
      </c>
      <c r="J19" s="2785"/>
      <c r="K19" s="1377"/>
      <c r="L19" s="2789" t="s">
        <v>2892</v>
      </c>
      <c r="M19" s="1734">
        <f>ROUND(SUMIF(地价!B2:F2,E2,地价!B29:F29),0)</f>
        <v>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2894</v>
      </c>
      <c r="C20" s="929" t="e">
        <f>ROUND(POWER(1+G20,J20-I20)*(POWER(1+G20,I20)-1)/(POWER(1+G20,J20)-1),4)</f>
        <v>#DIV/0!</v>
      </c>
      <c r="D20" s="2796" t="s">
        <v>2895</v>
      </c>
      <c r="E20" s="1768">
        <f ca="1">存贷款利率!D4/100</f>
        <v>4.3499999999999997E-2</v>
      </c>
      <c r="F20" s="2796" t="s">
        <v>2887</v>
      </c>
      <c r="G20" s="934">
        <f>SUMIF(M26:P26,E2,M28:P28)</f>
        <v>0</v>
      </c>
      <c r="H20" s="2796" t="s">
        <v>2896</v>
      </c>
      <c r="I20" s="935" t="e">
        <f>SUMIF('数据-取费表'!C6:C15,E2,'数据-取费表'!F6:F15)/COUNTIF('数据-取费表'!C6:C15,E2)</f>
        <v>#DIV/0!</v>
      </c>
      <c r="J20" s="936">
        <f>IF(E2="住宅",70,IF(E2="商业",40,50))</f>
        <v>50</v>
      </c>
      <c r="K20" s="1377"/>
      <c r="L20" s="2797" t="s">
        <v>2897</v>
      </c>
      <c r="M20" s="1735">
        <f>ROUND(SUMPRODUCT((地价!A4:A29=YEAR(G19)&amp;"-"&amp;ROUNDUP(MONTH(G19)/3,0))*(地价!B2:F2=E2)*(地价!B4:F29)),0)</f>
        <v>0</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2901</v>
      </c>
      <c r="C21" s="937">
        <f>IF(B21="容积率修正",IF(G3&lt;=10,D22,J22),C23)</f>
        <v>0</v>
      </c>
      <c r="D21" s="2803"/>
      <c r="E21" s="2803"/>
      <c r="F21" s="2803"/>
      <c r="G21" s="2803"/>
      <c r="H21" s="2803"/>
      <c r="I21" s="2803"/>
      <c r="J21" s="2804"/>
      <c r="K21" s="1377"/>
      <c r="N21" s="2805"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4.25">
      <c r="A22" s="2662" t="s">
        <v>2903</v>
      </c>
      <c r="B22" s="2806" t="s">
        <v>2904</v>
      </c>
      <c r="C22" s="1810" t="s">
        <v>2905</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27.75" thickBot="1">
      <c r="A23" s="2662" t="s">
        <v>2907</v>
      </c>
      <c r="B23" s="2807" t="s">
        <v>2908</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2910</v>
      </c>
      <c r="C24" s="924">
        <f>SUMIF(A45:A88,E2,B45:B88)</f>
        <v>0</v>
      </c>
      <c r="D24" s="2784"/>
      <c r="E24" s="2813"/>
      <c r="F24" s="2813"/>
      <c r="G24" s="2813"/>
      <c r="H24" s="2813"/>
      <c r="I24" s="2813"/>
      <c r="J24" s="2814"/>
      <c r="K24" s="1377"/>
      <c r="N24" s="2815"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2912</v>
      </c>
      <c r="C25" s="930"/>
      <c r="D25" s="2746"/>
      <c r="E25" s="2746"/>
      <c r="F25" s="2817"/>
      <c r="G25" s="2746"/>
      <c r="H25" s="2746"/>
      <c r="I25" s="2746"/>
      <c r="J25" s="2747"/>
      <c r="K25" s="1370"/>
      <c r="N25" s="2818"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2914</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5.75" thickBot="1">
      <c r="A27" s="2819"/>
      <c r="B27" s="2823" t="s">
        <v>2915</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2916</v>
      </c>
      <c r="C28" s="2830" t="s">
        <v>2917</v>
      </c>
      <c r="D28" s="2830" t="s">
        <v>2918</v>
      </c>
      <c r="E28" s="2831" t="s">
        <v>2919</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2920</v>
      </c>
      <c r="C29" s="206" t="e">
        <f>ROUND(C5*C18*C19*C20*C21*C24,0)</f>
        <v>#DIV/0!</v>
      </c>
      <c r="D29" s="2835"/>
      <c r="E29" s="942" t="e">
        <f>ROUND(C29*D29/10000,0)</f>
        <v>#DIV/0!</v>
      </c>
      <c r="F29" s="2836" t="s">
        <v>2921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2922</v>
      </c>
      <c r="C30" s="229" t="e">
        <f>ROUND(IF(E2="工业",C29*M39,C29*M38),0)</f>
        <v>#DIV/0!</v>
      </c>
      <c r="D30" s="2841"/>
      <c r="E30" s="942" t="e">
        <f>ROUND(C30*D30/10000,0)</f>
        <v>#DIV/0!</v>
      </c>
      <c r="F30" s="2842" t="s">
        <v>2923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2924</v>
      </c>
      <c r="C31" s="2847" t="s">
        <v>2925</v>
      </c>
      <c r="D31" s="2759"/>
      <c r="E31" s="2847"/>
      <c r="F31" s="2847"/>
      <c r="G31" s="2757" t="s">
        <v>2926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2917</v>
      </c>
      <c r="D32" s="498" t="s">
        <v>2918</v>
      </c>
      <c r="E32" s="498" t="s">
        <v>2919</v>
      </c>
      <c r="F32" s="388" t="s">
        <v>2927</v>
      </c>
      <c r="G32" s="2850" t="s">
        <v>2917</v>
      </c>
      <c r="H32" s="2850" t="s">
        <v>2918</v>
      </c>
      <c r="I32" s="2850"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300" t="s">
        <v>2928</v>
      </c>
      <c r="B33" s="2851" t="s">
        <v>2929</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1"/>
      <c r="B34" s="2763" t="s">
        <v>2930</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1"/>
      <c r="B35" s="2763" t="s">
        <v>2931</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70"/>
      <c r="L35" s="1370"/>
      <c r="M35" s="1370"/>
      <c r="N35" s="1370"/>
      <c r="O35" s="1370"/>
      <c r="P35" s="1370"/>
      <c r="Q35" s="1370"/>
      <c r="R35" s="1370"/>
      <c r="S35" s="1370"/>
      <c r="T35" s="1370"/>
      <c r="U35" s="1370"/>
      <c r="V35" s="1370"/>
      <c r="W35" s="1370"/>
      <c r="X35" s="1370"/>
      <c r="Y35" s="1370"/>
      <c r="Z35" s="1371"/>
    </row>
    <row r="36" spans="1:37" ht="13.5" thickBot="1">
      <c r="A36" s="3302"/>
      <c r="B36" s="2763" t="s">
        <v>2932</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2933</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70"/>
      <c r="L37" s="2854" t="s">
        <v>2934</v>
      </c>
      <c r="M37" s="2855"/>
      <c r="N37" s="1370"/>
      <c r="O37" s="1370"/>
      <c r="P37" s="1370"/>
      <c r="Q37" s="1370"/>
      <c r="R37" s="1370"/>
      <c r="S37" s="1370"/>
      <c r="T37" s="1370"/>
      <c r="U37" s="1370"/>
      <c r="V37" s="1370"/>
      <c r="W37" s="1370"/>
      <c r="X37" s="1370"/>
      <c r="Y37" s="1370"/>
      <c r="Z37" s="1371"/>
    </row>
    <row r="38" spans="1:37">
      <c r="A38" s="2853"/>
      <c r="B38" s="2763" t="s">
        <v>2935</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70"/>
      <c r="L38" s="1887" t="s">
        <v>2936</v>
      </c>
      <c r="M38" s="2856">
        <v>0.25</v>
      </c>
      <c r="N38" s="1370"/>
      <c r="O38" s="1370"/>
      <c r="P38" s="1370"/>
      <c r="Q38" s="1370"/>
      <c r="R38" s="1370"/>
      <c r="S38" s="1370"/>
      <c r="T38" s="1370"/>
      <c r="U38" s="1370"/>
      <c r="V38" s="1370"/>
      <c r="W38" s="1370"/>
      <c r="X38" s="1370"/>
      <c r="Y38" s="1370"/>
      <c r="Z38" s="1371"/>
    </row>
    <row r="39" spans="1:37" ht="13.5" thickBot="1">
      <c r="A39" s="2839"/>
      <c r="B39" s="2857" t="s">
        <v>2937</v>
      </c>
      <c r="C39" s="229" t="e">
        <f>ROUND(D5*C19*C41*C24*F39,0)</f>
        <v>#DIV/0!</v>
      </c>
      <c r="D39" s="2841"/>
      <c r="E39" s="229" t="e">
        <f t="shared" si="7"/>
        <v>#DIV/0!</v>
      </c>
      <c r="F39" s="932">
        <f>SUMIF(修正!A45:A56,G2,修正!H45:H56)</f>
        <v>0</v>
      </c>
      <c r="G39" s="229" t="e">
        <f>ROUND(IF(E2="工业",C39*$M$39,C39*$M$38),0)</f>
        <v>#DIV/0!</v>
      </c>
      <c r="H39" s="229">
        <f t="shared" si="8"/>
        <v>0</v>
      </c>
      <c r="I39" s="229" t="e">
        <f t="shared" si="9"/>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3045</v>
      </c>
      <c r="C41" s="388" t="e">
        <f>ROUND(POWER(1+E41,H41-G41)*(POWER(1+E41,G41)-1)/(POWER(1+E41,H41)-1),4)</f>
        <v>#DIV/0!</v>
      </c>
      <c r="D41" s="200" t="s">
        <v>2887</v>
      </c>
      <c r="E41" s="2927">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2939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2940</v>
      </c>
      <c r="B47" s="1809" t="s">
        <v>2941</v>
      </c>
      <c r="C47" s="1809" t="s">
        <v>2942</v>
      </c>
      <c r="D47" s="1809" t="s">
        <v>2943</v>
      </c>
      <c r="E47" s="819" t="s">
        <v>2944</v>
      </c>
      <c r="F47" s="2869" t="s">
        <v>2945</v>
      </c>
      <c r="G47" s="1809" t="s">
        <v>754</v>
      </c>
      <c r="H47" s="2870"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68" t="s">
        <v>2948</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2949</v>
      </c>
      <c r="B49" s="2872" t="str">
        <f>估价对象房地状况!C18</f>
        <v>估价对象周边有开发区3路、快速直达专线181路、578路多条公交线路，距地铁8号线（瀛海站）约4公里，综合评价交通便捷度一般。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2950</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2951</v>
      </c>
      <c r="B51" s="2873" t="s">
        <v>2952</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2953</v>
      </c>
      <c r="B52" s="2872" t="str">
        <f>估价对象房地状况!C24</f>
        <v>城市次干道——兴海路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2954</v>
      </c>
      <c r="B53" s="2874" t="s">
        <v>2955</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2956</v>
      </c>
      <c r="B54" s="1725"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5" t="s">
        <v>2957</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6" t="s">
        <v>2958</v>
      </c>
      <c r="B56" s="2877" t="str">
        <f>估价对象房地状况!C20</f>
        <v>区域自然环境：体育公园、南海子公园、凉水河；人文环境：北京电子科技职业学院(亦庄校区)；综合评价环境状况一般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2940</v>
      </c>
      <c r="B58" s="1809"/>
      <c r="C58" s="1809" t="s">
        <v>2942</v>
      </c>
      <c r="D58" s="1809" t="s">
        <v>2943</v>
      </c>
      <c r="E58" s="819" t="s">
        <v>2944</v>
      </c>
      <c r="F58" s="2869" t="s">
        <v>2960</v>
      </c>
      <c r="G58" s="1809" t="s">
        <v>754</v>
      </c>
      <c r="H58" s="2870"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68" t="s">
        <v>2961</v>
      </c>
      <c r="B59" s="2871" t="str">
        <f>估价对象房地状况!C17</f>
        <v>估价对象位于XX商圈，周边办公楼项目较多，入驻率高，办公集聚程度较好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2949</v>
      </c>
      <c r="B60" s="2872" t="str">
        <f>估价对象房地状况!C18</f>
        <v>估价对象周边有开发区3路、快速直达专线181路、578路多条公交线路，距地铁8号线（瀛海站）约4公里，综合评价交通便捷度一般。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2950</v>
      </c>
      <c r="B61" s="2872">
        <f>估价对象房地状况!C19</f>
        <v>0</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2951</v>
      </c>
      <c r="B62" s="2873" t="s">
        <v>2952</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2953</v>
      </c>
      <c r="B63" s="2872" t="str">
        <f>估价对象房地状况!C24</f>
        <v>城市次干道——兴海路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2954</v>
      </c>
      <c r="B64" s="2874" t="s">
        <v>2955</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2956</v>
      </c>
      <c r="B65" s="1725"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8" t="s">
        <v>2957</v>
      </c>
      <c r="B66" s="1725" t="str">
        <f>估价对象房地状况!C22</f>
        <v>七通</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6" t="s">
        <v>2958</v>
      </c>
      <c r="B67" s="2878" t="str">
        <f>估价对象房地状况!C20</f>
        <v>区域自然环境：体育公园、南海子公园、凉水河；人文环境：北京电子科技职业学院(亦庄校区)；综合评价环境状况一般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2962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2940</v>
      </c>
      <c r="B69" s="1809"/>
      <c r="C69" s="1809" t="s">
        <v>2942</v>
      </c>
      <c r="D69" s="1809" t="s">
        <v>2943</v>
      </c>
      <c r="E69" s="819" t="s">
        <v>2944</v>
      </c>
      <c r="F69" s="2869" t="s">
        <v>2960</v>
      </c>
      <c r="G69" s="1809" t="s">
        <v>754</v>
      </c>
      <c r="H69" s="2870"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114.75">
      <c r="A70" s="2868" t="s">
        <v>2963</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68" t="s">
        <v>2949</v>
      </c>
      <c r="B71" s="2872" t="str">
        <f>估价对象房地状况!C18</f>
        <v>估价对象周边有开发区3路、快速直达专线181路、578路多条公交线路，距地铁8号线（瀛海站）约4公里，综合评价交通便捷度一般。</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2950</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2964</v>
      </c>
      <c r="B73" s="2872" t="str">
        <f>估价对象房地状况!C24</f>
        <v>城市次干道——兴海路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2956</v>
      </c>
      <c r="B74" s="1725" t="str">
        <f>估价对象房地状况!C21</f>
        <v>估价对象所在区域公共配套设施齐备情况一般</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2957</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2954</v>
      </c>
      <c r="B76" s="2874" t="s">
        <v>2955</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63.75">
      <c r="A77" s="2868" t="s">
        <v>2958</v>
      </c>
      <c r="B77" s="2871" t="str">
        <f>估价对象房地状况!C20</f>
        <v>区域自然环境：体育公园、南海子公园、凉水河；人文环境：北京电子科技职业学院(亦庄校区)；综合评价环境状况一般</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2965</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2966</v>
      </c>
      <c r="B79" s="2865">
        <f>1+E81</f>
        <v>1</v>
      </c>
      <c r="C79" s="814"/>
      <c r="D79" s="814"/>
      <c r="E79" s="815"/>
      <c r="F79" s="2867"/>
      <c r="G79" s="6"/>
      <c r="H79" s="6"/>
      <c r="I79" s="6"/>
      <c r="J79" s="7"/>
      <c r="K79" s="7"/>
      <c r="L79" s="7"/>
      <c r="M79" s="7"/>
      <c r="N79" s="7"/>
      <c r="Z79" s="2718"/>
      <c r="AA79" s="2786"/>
      <c r="AG79" s="1372"/>
      <c r="AK79" s="2786"/>
    </row>
    <row r="80" spans="1:37" ht="24.75">
      <c r="A80" s="2868" t="s">
        <v>2940</v>
      </c>
      <c r="B80" s="1809"/>
      <c r="C80" s="1809" t="s">
        <v>2942</v>
      </c>
      <c r="D80" s="1809" t="s">
        <v>2943</v>
      </c>
      <c r="E80" s="819" t="s">
        <v>2944</v>
      </c>
      <c r="F80" s="2869" t="s">
        <v>2960</v>
      </c>
      <c r="G80" s="1809" t="s">
        <v>754</v>
      </c>
      <c r="H80" s="2870" t="s">
        <v>2946</v>
      </c>
      <c r="I80" s="1809" t="s">
        <v>2947</v>
      </c>
      <c r="J80" s="603" t="s">
        <v>2595</v>
      </c>
      <c r="K80" s="603" t="s">
        <v>2596</v>
      </c>
      <c r="L80" s="603" t="s">
        <v>2597</v>
      </c>
      <c r="M80" s="603" t="s">
        <v>2598</v>
      </c>
      <c r="N80" s="603" t="s">
        <v>2599</v>
      </c>
      <c r="Z80" s="2718"/>
      <c r="AA80" s="2786"/>
      <c r="AG80" s="1372"/>
      <c r="AK80" s="2786"/>
    </row>
    <row r="81" spans="1:37" ht="38.25">
      <c r="A81" s="2868" t="s">
        <v>2967</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2949</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2950</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2964</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2956</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2957</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2954</v>
      </c>
      <c r="B87" s="2874" t="s">
        <v>2968</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2969</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94" t="s">
        <v>2970</v>
      </c>
      <c r="B90" s="3294"/>
      <c r="C90" s="3294"/>
      <c r="D90" s="3294"/>
      <c r="E90" s="3294"/>
      <c r="F90" s="3294"/>
      <c r="G90" s="3294"/>
      <c r="H90" s="3294"/>
      <c r="I90" s="3294"/>
      <c r="J90" s="3294"/>
      <c r="K90" s="2882"/>
      <c r="L90" s="2882"/>
      <c r="M90" s="2882"/>
      <c r="N90" s="2882"/>
    </row>
    <row r="91" spans="1:37">
      <c r="A91" s="3296" t="s">
        <v>2971</v>
      </c>
      <c r="B91" s="3296" t="s">
        <v>2972</v>
      </c>
      <c r="C91" s="2836" t="s">
        <v>2973</v>
      </c>
      <c r="D91" s="2837"/>
      <c r="E91" s="2837"/>
      <c r="F91" s="2837"/>
      <c r="G91" s="2837"/>
      <c r="H91" s="2837"/>
      <c r="I91" s="2837"/>
      <c r="J91" s="2883"/>
      <c r="K91" s="2884"/>
      <c r="L91" s="2884"/>
      <c r="M91" s="2884"/>
      <c r="N91" s="2884"/>
    </row>
    <row r="92" spans="1:37">
      <c r="A92" s="3296"/>
      <c r="B92" s="3296"/>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7"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8"/>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8"/>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8"/>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8"/>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8"/>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98"/>
      <c r="B99" s="2885" t="s">
        <v>2855</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99"/>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97" t="s">
        <v>2975</v>
      </c>
      <c r="B101" s="2889" t="s">
        <v>2976</v>
      </c>
      <c r="C101" s="2890">
        <f>$G$3</f>
        <v>1.99</v>
      </c>
      <c r="D101" s="2890">
        <f t="shared" ref="D101:N101" si="31">$G$3</f>
        <v>1.99</v>
      </c>
      <c r="E101" s="2890">
        <f t="shared" si="31"/>
        <v>1.99</v>
      </c>
      <c r="F101" s="2890">
        <f t="shared" si="31"/>
        <v>1.99</v>
      </c>
      <c r="G101" s="2890">
        <f t="shared" si="31"/>
        <v>1.99</v>
      </c>
      <c r="H101" s="2890">
        <f t="shared" si="31"/>
        <v>1.99</v>
      </c>
      <c r="I101" s="2890">
        <f t="shared" si="31"/>
        <v>1.99</v>
      </c>
      <c r="J101" s="2890">
        <f t="shared" si="31"/>
        <v>1.99</v>
      </c>
      <c r="K101" s="2890">
        <f t="shared" si="31"/>
        <v>1.99</v>
      </c>
      <c r="L101" s="2890">
        <f t="shared" si="31"/>
        <v>1.99</v>
      </c>
      <c r="M101" s="2890">
        <f t="shared" si="31"/>
        <v>1.99</v>
      </c>
      <c r="N101" s="2890">
        <f t="shared" si="31"/>
        <v>1.99</v>
      </c>
    </row>
    <row r="102" spans="1:14">
      <c r="A102" s="3298"/>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98"/>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98"/>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98"/>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98"/>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98"/>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98"/>
      <c r="B108" s="3145" t="s">
        <v>2977</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99"/>
      <c r="B109" s="3146"/>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c r="A110" s="3295" t="s">
        <v>2978</v>
      </c>
      <c r="B110" s="3295"/>
      <c r="C110" s="3295"/>
      <c r="D110" s="3295"/>
      <c r="E110" s="3295"/>
      <c r="F110" s="3295"/>
      <c r="G110" s="3295"/>
      <c r="H110" s="3295"/>
      <c r="I110" s="3295"/>
      <c r="J110" s="3295"/>
      <c r="K110" s="2891"/>
      <c r="L110" s="2891"/>
      <c r="M110" s="2891"/>
      <c r="N110" s="2891"/>
    </row>
    <row r="112" spans="1:14" ht="13.5" thickBot="1"/>
    <row r="113" spans="1:13" ht="25.5" thickBot="1">
      <c r="A113" s="903" t="s">
        <v>2979</v>
      </c>
      <c r="B113" s="1287">
        <f>G3</f>
        <v>1.99</v>
      </c>
      <c r="C113" s="904" t="s">
        <v>2980</v>
      </c>
      <c r="D113" s="905">
        <f>SUMPRODUCT((A115:A118=F113)*(B114:M114=H113)*B115:M118)</f>
        <v>0</v>
      </c>
      <c r="E113" s="2722" t="s">
        <v>2812</v>
      </c>
      <c r="F113" s="2893">
        <f>E2</f>
        <v>0</v>
      </c>
      <c r="G113" s="2722" t="s">
        <v>2813</v>
      </c>
      <c r="H113" s="2893">
        <f>G2</f>
        <v>0</v>
      </c>
      <c r="I113" s="2722"/>
      <c r="J113" s="2894"/>
      <c r="K113" s="2894"/>
      <c r="L113" s="2894"/>
      <c r="M113" s="2894"/>
    </row>
    <row r="114" spans="1:13">
      <c r="A114" s="908"/>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c r="A115" s="909" t="s">
        <v>2877</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3">I115</f>
        <v>0.65820000000000001</v>
      </c>
      <c r="K115" s="910">
        <f t="shared" si="33"/>
        <v>0.65820000000000001</v>
      </c>
      <c r="L115" s="910">
        <f t="shared" si="33"/>
        <v>0.65820000000000001</v>
      </c>
      <c r="M115" s="911">
        <f t="shared" si="33"/>
        <v>0.65820000000000001</v>
      </c>
    </row>
    <row r="116" spans="1:13">
      <c r="A116" s="909" t="s">
        <v>2878</v>
      </c>
      <c r="B116" s="910">
        <f>ROUND(0.949-0.012*B113,4)</f>
        <v>0.92510000000000003</v>
      </c>
      <c r="C116" s="910">
        <f>B116</f>
        <v>0.92510000000000003</v>
      </c>
      <c r="D116" s="910">
        <f>ROUND(0.8567-0.013*B113,4)</f>
        <v>0.83079999999999998</v>
      </c>
      <c r="E116" s="910">
        <f t="shared" ref="E116:H117" si="34">D116</f>
        <v>0.83079999999999998</v>
      </c>
      <c r="F116" s="910">
        <f t="shared" si="34"/>
        <v>0.83079999999999998</v>
      </c>
      <c r="G116" s="910">
        <f t="shared" si="34"/>
        <v>0.83079999999999998</v>
      </c>
      <c r="H116" s="910">
        <f t="shared" si="34"/>
        <v>0.83079999999999998</v>
      </c>
      <c r="I116" s="910">
        <f>ROUND(0.7694-0.014*B113,4)</f>
        <v>0.74150000000000005</v>
      </c>
      <c r="J116" s="910">
        <f t="shared" si="33"/>
        <v>0.74150000000000005</v>
      </c>
      <c r="K116" s="910">
        <f t="shared" si="33"/>
        <v>0.74150000000000005</v>
      </c>
      <c r="L116" s="910">
        <f t="shared" si="33"/>
        <v>0.74150000000000005</v>
      </c>
      <c r="M116" s="911">
        <f t="shared" si="33"/>
        <v>0.74150000000000005</v>
      </c>
    </row>
    <row r="117" spans="1:13">
      <c r="A117" s="909" t="s">
        <v>2879</v>
      </c>
      <c r="B117" s="910">
        <f>ROUND(0.8808-0.006*B113,4)</f>
        <v>0.86890000000000001</v>
      </c>
      <c r="C117" s="910">
        <f>B117</f>
        <v>0.86890000000000001</v>
      </c>
      <c r="D117" s="910">
        <f>ROUND(0.8748-0.008*B113,4)</f>
        <v>0.8589</v>
      </c>
      <c r="E117" s="910">
        <f t="shared" si="34"/>
        <v>0.8589</v>
      </c>
      <c r="F117" s="910">
        <f t="shared" si="34"/>
        <v>0.8589</v>
      </c>
      <c r="G117" s="910">
        <f t="shared" si="34"/>
        <v>0.8589</v>
      </c>
      <c r="H117" s="910">
        <f t="shared" si="34"/>
        <v>0.8589</v>
      </c>
      <c r="I117" s="910">
        <f>ROUND(0.7412-0.0095*B113,4)</f>
        <v>0.72230000000000005</v>
      </c>
      <c r="J117" s="910">
        <f t="shared" si="33"/>
        <v>0.72230000000000005</v>
      </c>
      <c r="K117" s="910">
        <f t="shared" si="33"/>
        <v>0.72230000000000005</v>
      </c>
      <c r="L117" s="910">
        <f t="shared" si="33"/>
        <v>0.72230000000000005</v>
      </c>
      <c r="M117" s="911">
        <f t="shared" si="33"/>
        <v>0.72230000000000005</v>
      </c>
    </row>
    <row r="118" spans="1:13" ht="13.5" thickBot="1">
      <c r="A118" s="714" t="s">
        <v>2880</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3"/>
        <v>0.53959999999999997</v>
      </c>
      <c r="K118" s="912">
        <f t="shared" si="33"/>
        <v>0.53959999999999997</v>
      </c>
      <c r="L118" s="912">
        <f t="shared" si="33"/>
        <v>0.53959999999999997</v>
      </c>
      <c r="M118" s="913">
        <f t="shared" si="33"/>
        <v>0.53959999999999997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5" t="s">
        <v>183</v>
      </c>
      <c r="B18" s="882" t="s">
        <v>560</v>
      </c>
      <c r="C18" s="883" t="s">
        <v>561</v>
      </c>
      <c r="D18" s="884"/>
      <c r="E18" s="882">
        <v>1</v>
      </c>
      <c r="F18" s="885" t="s">
        <v>562</v>
      </c>
      <c r="G18" s="886"/>
      <c r="H18" s="878"/>
      <c r="I18" s="878"/>
    </row>
    <row r="19" spans="1:9" s="887" customFormat="1" ht="19.5" customHeight="1">
      <c r="A19" s="3305"/>
      <c r="B19" s="3305" t="s">
        <v>563</v>
      </c>
      <c r="C19" s="883" t="s">
        <v>564</v>
      </c>
      <c r="D19" s="884"/>
      <c r="E19" s="882">
        <v>0.9</v>
      </c>
      <c r="F19" s="885" t="s">
        <v>565</v>
      </c>
      <c r="G19" s="886"/>
      <c r="H19" s="878"/>
      <c r="I19" s="878"/>
    </row>
    <row r="20" spans="1:9" s="887" customFormat="1" ht="19.5" customHeight="1">
      <c r="A20" s="3305"/>
      <c r="B20" s="3305"/>
      <c r="C20" s="883" t="s">
        <v>566</v>
      </c>
      <c r="D20" s="884"/>
      <c r="E20" s="882">
        <v>1.1000000000000001</v>
      </c>
      <c r="F20" s="885" t="s">
        <v>567</v>
      </c>
      <c r="G20" s="886"/>
      <c r="H20" s="878"/>
      <c r="I20" s="878"/>
    </row>
    <row r="21" spans="1:9" s="887" customFormat="1" ht="19.5" customHeight="1">
      <c r="A21" s="3305"/>
      <c r="B21" s="3305"/>
      <c r="C21" s="883" t="s">
        <v>568</v>
      </c>
      <c r="D21" s="884"/>
      <c r="E21" s="882">
        <v>0.8</v>
      </c>
      <c r="F21" s="885" t="s">
        <v>569</v>
      </c>
      <c r="G21" s="886"/>
      <c r="H21" s="878"/>
      <c r="I21" s="878"/>
    </row>
    <row r="22" spans="1:9" s="887" customFormat="1" ht="19.5" customHeight="1">
      <c r="A22" s="3305"/>
      <c r="B22" s="3305"/>
      <c r="C22" s="883" t="s">
        <v>570</v>
      </c>
      <c r="D22" s="884"/>
      <c r="E22" s="882">
        <v>0.5</v>
      </c>
      <c r="F22" s="885"/>
      <c r="G22" s="886"/>
      <c r="H22" s="878"/>
      <c r="I22" s="878"/>
    </row>
    <row r="23" spans="1:9" s="887" customFormat="1" ht="19.5" customHeight="1">
      <c r="A23" s="3305" t="s">
        <v>184</v>
      </c>
      <c r="B23" s="882" t="s">
        <v>560</v>
      </c>
      <c r="C23" s="883" t="s">
        <v>571</v>
      </c>
      <c r="D23" s="884"/>
      <c r="E23" s="882">
        <v>1</v>
      </c>
      <c r="F23" s="885" t="s">
        <v>572</v>
      </c>
      <c r="G23" s="886"/>
      <c r="H23" s="878"/>
      <c r="I23" s="878"/>
    </row>
    <row r="24" spans="1:9" s="887" customFormat="1" ht="19.5" customHeight="1">
      <c r="A24" s="3305"/>
      <c r="B24" s="3305" t="s">
        <v>563</v>
      </c>
      <c r="C24" s="883" t="s">
        <v>573</v>
      </c>
      <c r="D24" s="884"/>
      <c r="E24" s="882">
        <v>0.5</v>
      </c>
      <c r="F24" s="885"/>
      <c r="G24" s="886"/>
      <c r="H24" s="878"/>
      <c r="I24" s="878"/>
    </row>
    <row r="25" spans="1:9" s="887" customFormat="1" ht="19.5" customHeight="1">
      <c r="A25" s="3305"/>
      <c r="B25" s="3305"/>
      <c r="C25" s="883" t="s">
        <v>574</v>
      </c>
      <c r="D25" s="884"/>
      <c r="E25" s="882">
        <v>1.1000000000000001</v>
      </c>
      <c r="F25" s="885"/>
      <c r="G25" s="886"/>
      <c r="H25" s="878"/>
      <c r="I25" s="878"/>
    </row>
    <row r="26" spans="1:9" s="887" customFormat="1" ht="19.5" customHeight="1">
      <c r="A26" s="3305"/>
      <c r="B26" s="3305"/>
      <c r="C26" s="883" t="s">
        <v>575</v>
      </c>
      <c r="D26" s="884"/>
      <c r="E26" s="882">
        <v>1.1000000000000001</v>
      </c>
      <c r="F26" s="885"/>
      <c r="G26" s="886"/>
      <c r="H26" s="878"/>
      <c r="I26" s="878"/>
    </row>
    <row r="27" spans="1:9" s="887" customFormat="1" ht="19.5" customHeight="1">
      <c r="A27" s="3305"/>
      <c r="B27" s="3305"/>
      <c r="C27" s="883" t="s">
        <v>576</v>
      </c>
      <c r="D27" s="884"/>
      <c r="E27" s="882">
        <v>0.9</v>
      </c>
      <c r="F27" s="885" t="s">
        <v>577</v>
      </c>
      <c r="G27" s="886"/>
      <c r="H27" s="878"/>
      <c r="I27" s="878"/>
    </row>
    <row r="28" spans="1:9" s="887" customFormat="1" ht="19.5" customHeight="1">
      <c r="A28" s="3305"/>
      <c r="B28" s="3305"/>
      <c r="C28" s="883" t="s">
        <v>578</v>
      </c>
      <c r="D28" s="884"/>
      <c r="E28" s="882">
        <v>0.9</v>
      </c>
      <c r="F28" s="885" t="s">
        <v>579</v>
      </c>
      <c r="G28" s="886"/>
      <c r="H28" s="878"/>
      <c r="I28" s="878"/>
    </row>
    <row r="29" spans="1:9" s="887" customFormat="1" ht="19.5" customHeight="1">
      <c r="A29" s="3305"/>
      <c r="B29" s="3305"/>
      <c r="C29" s="883" t="s">
        <v>580</v>
      </c>
      <c r="D29" s="884"/>
      <c r="E29" s="882">
        <v>0.9</v>
      </c>
      <c r="F29" s="885" t="s">
        <v>581</v>
      </c>
      <c r="G29" s="886"/>
      <c r="H29" s="878"/>
      <c r="I29" s="878"/>
    </row>
    <row r="30" spans="1:9" s="887" customFormat="1" ht="19.5" customHeight="1">
      <c r="A30" s="3305"/>
      <c r="B30" s="3305"/>
      <c r="C30" s="883" t="s">
        <v>582</v>
      </c>
      <c r="D30" s="884"/>
      <c r="E30" s="882">
        <v>0.9</v>
      </c>
      <c r="F30" s="885" t="s">
        <v>583</v>
      </c>
      <c r="G30" s="886"/>
      <c r="H30" s="878"/>
      <c r="I30" s="878"/>
    </row>
    <row r="31" spans="1:9" s="887" customFormat="1" ht="19.5" customHeight="1">
      <c r="A31" s="3305"/>
      <c r="B31" s="3305"/>
      <c r="C31" s="883" t="s">
        <v>584</v>
      </c>
      <c r="D31" s="884"/>
      <c r="E31" s="882">
        <v>0.8</v>
      </c>
      <c r="F31" s="885" t="s">
        <v>585</v>
      </c>
      <c r="G31" s="886"/>
      <c r="H31" s="878"/>
      <c r="I31" s="878"/>
    </row>
    <row r="32" spans="1:9" s="887" customFormat="1" ht="19.5" customHeight="1">
      <c r="A32" s="3305"/>
      <c r="B32" s="3305"/>
      <c r="C32" s="883" t="s">
        <v>586</v>
      </c>
      <c r="D32" s="884"/>
      <c r="E32" s="882">
        <v>0.8</v>
      </c>
      <c r="F32" s="885" t="s">
        <v>587</v>
      </c>
      <c r="G32" s="886"/>
      <c r="H32" s="878"/>
      <c r="I32" s="878"/>
    </row>
    <row r="33" spans="1:9" s="887" customFormat="1" ht="19.5" customHeight="1">
      <c r="A33" s="3305" t="s">
        <v>185</v>
      </c>
      <c r="B33" s="882" t="s">
        <v>560</v>
      </c>
      <c r="C33" s="883" t="s">
        <v>588</v>
      </c>
      <c r="D33" s="884"/>
      <c r="E33" s="882">
        <v>1</v>
      </c>
      <c r="F33" s="885" t="s">
        <v>589</v>
      </c>
      <c r="G33" s="886"/>
      <c r="H33" s="878"/>
      <c r="I33" s="878"/>
    </row>
    <row r="34" spans="1:9" s="887" customFormat="1" ht="19.5" customHeight="1">
      <c r="A34" s="3305"/>
      <c r="B34" s="882" t="s">
        <v>563</v>
      </c>
      <c r="C34" s="883" t="s">
        <v>590</v>
      </c>
      <c r="D34" s="884"/>
      <c r="E34" s="882">
        <v>1.5</v>
      </c>
      <c r="F34" s="885" t="s">
        <v>591</v>
      </c>
      <c r="G34" s="886"/>
      <c r="H34" s="878"/>
      <c r="I34" s="878"/>
    </row>
    <row r="35" spans="1:9" s="887" customFormat="1" ht="19.5" customHeight="1">
      <c r="A35" s="3305" t="s">
        <v>186</v>
      </c>
      <c r="B35" s="882" t="s">
        <v>560</v>
      </c>
      <c r="C35" s="883" t="s">
        <v>592</v>
      </c>
      <c r="D35" s="884"/>
      <c r="E35" s="882">
        <v>1</v>
      </c>
      <c r="F35" s="885" t="s">
        <v>593</v>
      </c>
      <c r="G35" s="886"/>
      <c r="H35" s="878"/>
      <c r="I35" s="878"/>
    </row>
    <row r="36" spans="1:9" s="887" customFormat="1" ht="19.5" customHeight="1">
      <c r="A36" s="3305"/>
      <c r="B36" s="3305" t="s">
        <v>563</v>
      </c>
      <c r="C36" s="883" t="s">
        <v>594</v>
      </c>
      <c r="D36" s="884"/>
      <c r="E36" s="882">
        <v>1</v>
      </c>
      <c r="F36" s="885" t="s">
        <v>595</v>
      </c>
      <c r="G36" s="886"/>
      <c r="H36" s="878"/>
      <c r="I36" s="878"/>
    </row>
    <row r="37" spans="1:9" s="887" customFormat="1" ht="19.5" customHeight="1">
      <c r="A37" s="3305"/>
      <c r="B37" s="3305"/>
      <c r="C37" s="883" t="s">
        <v>596</v>
      </c>
      <c r="D37" s="884"/>
      <c r="E37" s="882">
        <v>1.5</v>
      </c>
      <c r="F37" s="885" t="s">
        <v>597</v>
      </c>
      <c r="G37" s="886"/>
      <c r="H37" s="878"/>
      <c r="I37" s="878"/>
    </row>
    <row r="38" spans="1:9" s="887" customFormat="1" ht="19.5" customHeight="1">
      <c r="A38" s="3305"/>
      <c r="B38" s="3305"/>
      <c r="C38" s="883" t="s">
        <v>598</v>
      </c>
      <c r="D38" s="884"/>
      <c r="E38" s="882">
        <v>1</v>
      </c>
      <c r="F38" s="885" t="s">
        <v>599</v>
      </c>
      <c r="G38" s="886"/>
      <c r="H38" s="878"/>
      <c r="I38" s="878"/>
    </row>
    <row r="39" spans="1:9" s="887" customFormat="1" ht="19.5" customHeight="1">
      <c r="A39" s="3305"/>
      <c r="B39" s="330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5" t="s">
        <v>614</v>
      </c>
      <c r="C61" s="818" t="s">
        <v>615</v>
      </c>
      <c r="D61" s="818" t="s">
        <v>616</v>
      </c>
      <c r="E61" s="895">
        <v>0.5</v>
      </c>
      <c r="F61" s="882">
        <v>80</v>
      </c>
    </row>
    <row r="62" spans="1:8" s="878" customFormat="1" ht="24">
      <c r="A62" s="882">
        <v>2</v>
      </c>
      <c r="B62" s="3305"/>
      <c r="C62" s="818" t="s">
        <v>617</v>
      </c>
      <c r="D62" s="818" t="s">
        <v>618</v>
      </c>
      <c r="E62" s="895">
        <v>0.5</v>
      </c>
      <c r="F62" s="882">
        <v>80</v>
      </c>
    </row>
    <row r="63" spans="1:8" s="878" customFormat="1" ht="36">
      <c r="A63" s="882">
        <v>3</v>
      </c>
      <c r="B63" s="3305"/>
      <c r="C63" s="818" t="s">
        <v>619</v>
      </c>
      <c r="D63" s="818" t="s">
        <v>620</v>
      </c>
      <c r="E63" s="895">
        <v>0.5</v>
      </c>
      <c r="F63" s="882">
        <v>80</v>
      </c>
    </row>
    <row r="64" spans="1:8" s="878" customFormat="1" ht="36">
      <c r="A64" s="882">
        <v>4</v>
      </c>
      <c r="B64" s="3305"/>
      <c r="C64" s="818" t="s">
        <v>621</v>
      </c>
      <c r="D64" s="818" t="s">
        <v>622</v>
      </c>
      <c r="E64" s="895">
        <v>0.4</v>
      </c>
      <c r="F64" s="882">
        <v>60</v>
      </c>
    </row>
    <row r="65" spans="1:6" s="878" customFormat="1" ht="36">
      <c r="A65" s="882">
        <v>5</v>
      </c>
      <c r="B65" s="3305"/>
      <c r="C65" s="818" t="s">
        <v>623</v>
      </c>
      <c r="D65" s="818" t="s">
        <v>624</v>
      </c>
      <c r="E65" s="895">
        <v>0.2</v>
      </c>
      <c r="F65" s="882">
        <v>30</v>
      </c>
    </row>
    <row r="66" spans="1:6" s="878" customFormat="1" ht="36">
      <c r="A66" s="882">
        <v>6</v>
      </c>
      <c r="B66" s="3305"/>
      <c r="C66" s="818" t="s">
        <v>625</v>
      </c>
      <c r="D66" s="818" t="s">
        <v>626</v>
      </c>
      <c r="E66" s="895">
        <v>0.3</v>
      </c>
      <c r="F66" s="882">
        <v>50</v>
      </c>
    </row>
    <row r="67" spans="1:6" s="878" customFormat="1" ht="36">
      <c r="A67" s="882">
        <v>7</v>
      </c>
      <c r="B67" s="3305"/>
      <c r="C67" s="818" t="s">
        <v>627</v>
      </c>
      <c r="D67" s="818" t="s">
        <v>628</v>
      </c>
      <c r="E67" s="895">
        <v>0.2</v>
      </c>
      <c r="F67" s="882">
        <v>30</v>
      </c>
    </row>
    <row r="68" spans="1:6" s="878" customFormat="1" ht="36">
      <c r="A68" s="882">
        <v>8</v>
      </c>
      <c r="B68" s="3305"/>
      <c r="C68" s="818" t="s">
        <v>629</v>
      </c>
      <c r="D68" s="818" t="s">
        <v>630</v>
      </c>
      <c r="E68" s="895">
        <v>0.2</v>
      </c>
      <c r="F68" s="882">
        <v>30</v>
      </c>
    </row>
    <row r="69" spans="1:6" s="878" customFormat="1" ht="36">
      <c r="A69" s="882">
        <v>9</v>
      </c>
      <c r="B69" s="3305"/>
      <c r="C69" s="818" t="s">
        <v>631</v>
      </c>
      <c r="D69" s="818" t="s">
        <v>632</v>
      </c>
      <c r="E69" s="895">
        <v>0.2</v>
      </c>
      <c r="F69" s="882">
        <v>30</v>
      </c>
    </row>
    <row r="70" spans="1:6" s="878" customFormat="1" ht="48">
      <c r="A70" s="882">
        <v>10</v>
      </c>
      <c r="B70" s="3305"/>
      <c r="C70" s="818" t="s">
        <v>633</v>
      </c>
      <c r="D70" s="818" t="s">
        <v>634</v>
      </c>
      <c r="E70" s="895">
        <v>0.2</v>
      </c>
      <c r="F70" s="882">
        <v>30</v>
      </c>
    </row>
    <row r="71" spans="1:6" s="878" customFormat="1" ht="48">
      <c r="A71" s="882">
        <v>11</v>
      </c>
      <c r="B71" s="3305"/>
      <c r="C71" s="818" t="s">
        <v>635</v>
      </c>
      <c r="D71" s="818" t="s">
        <v>636</v>
      </c>
      <c r="E71" s="895">
        <v>0.2</v>
      </c>
      <c r="F71" s="882">
        <v>30</v>
      </c>
    </row>
    <row r="72" spans="1:6" s="878" customFormat="1" ht="36">
      <c r="A72" s="882">
        <v>12</v>
      </c>
      <c r="B72" s="3305"/>
      <c r="C72" s="818" t="s">
        <v>637</v>
      </c>
      <c r="D72" s="818" t="s">
        <v>638</v>
      </c>
      <c r="E72" s="895">
        <v>0.5</v>
      </c>
      <c r="F72" s="882">
        <v>80</v>
      </c>
    </row>
    <row r="73" spans="1:6" s="878" customFormat="1" ht="24">
      <c r="A73" s="882">
        <v>13</v>
      </c>
      <c r="B73" s="3305"/>
      <c r="C73" s="818" t="s">
        <v>639</v>
      </c>
      <c r="D73" s="818" t="s">
        <v>640</v>
      </c>
      <c r="E73" s="895">
        <v>0.4</v>
      </c>
      <c r="F73" s="882">
        <v>60</v>
      </c>
    </row>
    <row r="74" spans="1:6" s="878" customFormat="1" ht="24">
      <c r="A74" s="882">
        <v>14</v>
      </c>
      <c r="B74" s="3305"/>
      <c r="C74" s="818" t="s">
        <v>641</v>
      </c>
      <c r="D74" s="818" t="s">
        <v>642</v>
      </c>
      <c r="E74" s="895">
        <v>0.2</v>
      </c>
      <c r="F74" s="882">
        <v>30</v>
      </c>
    </row>
    <row r="75" spans="1:6" s="878" customFormat="1" ht="24">
      <c r="A75" s="882">
        <v>15</v>
      </c>
      <c r="B75" s="3305"/>
      <c r="C75" s="818" t="s">
        <v>643</v>
      </c>
      <c r="D75" s="818" t="s">
        <v>644</v>
      </c>
      <c r="E75" s="895">
        <v>0.2</v>
      </c>
      <c r="F75" s="882">
        <v>30</v>
      </c>
    </row>
    <row r="76" spans="1:6" s="878" customFormat="1" ht="24">
      <c r="A76" s="882">
        <v>16</v>
      </c>
      <c r="B76" s="3305" t="s">
        <v>645</v>
      </c>
      <c r="C76" s="818" t="s">
        <v>646</v>
      </c>
      <c r="D76" s="818" t="s">
        <v>647</v>
      </c>
      <c r="E76" s="895">
        <v>0.5</v>
      </c>
      <c r="F76" s="882">
        <v>80</v>
      </c>
    </row>
    <row r="77" spans="1:6" s="878" customFormat="1" ht="24">
      <c r="A77" s="882">
        <v>17</v>
      </c>
      <c r="B77" s="3305"/>
      <c r="C77" s="818" t="s">
        <v>648</v>
      </c>
      <c r="D77" s="818" t="s">
        <v>649</v>
      </c>
      <c r="E77" s="895">
        <v>0.5</v>
      </c>
      <c r="F77" s="882">
        <v>80</v>
      </c>
    </row>
    <row r="78" spans="1:6" s="878" customFormat="1" ht="24">
      <c r="A78" s="882">
        <v>18</v>
      </c>
      <c r="B78" s="3305"/>
      <c r="C78" s="818" t="s">
        <v>650</v>
      </c>
      <c r="D78" s="818" t="s">
        <v>651</v>
      </c>
      <c r="E78" s="895">
        <v>0.2</v>
      </c>
      <c r="F78" s="882">
        <v>30</v>
      </c>
    </row>
    <row r="79" spans="1:6" s="878" customFormat="1" ht="24">
      <c r="A79" s="882">
        <v>19</v>
      </c>
      <c r="B79" s="3305"/>
      <c r="C79" s="818" t="s">
        <v>652</v>
      </c>
      <c r="D79" s="818" t="s">
        <v>653</v>
      </c>
      <c r="E79" s="895">
        <v>0.5</v>
      </c>
      <c r="F79" s="882">
        <v>80</v>
      </c>
    </row>
    <row r="80" spans="1:6" s="878" customFormat="1" ht="36">
      <c r="A80" s="882">
        <v>20</v>
      </c>
      <c r="B80" s="3305"/>
      <c r="C80" s="818" t="s">
        <v>654</v>
      </c>
      <c r="D80" s="818" t="s">
        <v>655</v>
      </c>
      <c r="E80" s="895">
        <v>0.2</v>
      </c>
      <c r="F80" s="882">
        <v>30</v>
      </c>
    </row>
    <row r="81" spans="1:6" s="878" customFormat="1" ht="36">
      <c r="A81" s="882">
        <v>21</v>
      </c>
      <c r="B81" s="3305"/>
      <c r="C81" s="818" t="s">
        <v>656</v>
      </c>
      <c r="D81" s="818" t="s">
        <v>657</v>
      </c>
      <c r="E81" s="895">
        <v>0.2</v>
      </c>
      <c r="F81" s="882">
        <v>30</v>
      </c>
    </row>
    <row r="82" spans="1:6" s="878" customFormat="1" ht="48">
      <c r="A82" s="882">
        <v>22</v>
      </c>
      <c r="B82" s="3305"/>
      <c r="C82" s="818" t="s">
        <v>658</v>
      </c>
      <c r="D82" s="818" t="s">
        <v>659</v>
      </c>
      <c r="E82" s="895">
        <v>0.2</v>
      </c>
      <c r="F82" s="882">
        <v>30</v>
      </c>
    </row>
    <row r="83" spans="1:6" s="878" customFormat="1" ht="48">
      <c r="A83" s="882">
        <v>23</v>
      </c>
      <c r="B83" s="3305"/>
      <c r="C83" s="818" t="s">
        <v>660</v>
      </c>
      <c r="D83" s="818" t="s">
        <v>661</v>
      </c>
      <c r="E83" s="895">
        <v>0.2</v>
      </c>
      <c r="F83" s="882">
        <v>30</v>
      </c>
    </row>
    <row r="84" spans="1:6" s="878" customFormat="1" ht="36">
      <c r="A84" s="882">
        <v>24</v>
      </c>
      <c r="B84" s="3305"/>
      <c r="C84" s="818" t="s">
        <v>662</v>
      </c>
      <c r="D84" s="818" t="s">
        <v>663</v>
      </c>
      <c r="E84" s="895">
        <v>0.2</v>
      </c>
      <c r="F84" s="882">
        <v>30</v>
      </c>
    </row>
    <row r="85" spans="1:6" s="878" customFormat="1" ht="36">
      <c r="A85" s="882">
        <v>25</v>
      </c>
      <c r="B85" s="3305"/>
      <c r="C85" s="818" t="s">
        <v>664</v>
      </c>
      <c r="D85" s="818" t="s">
        <v>665</v>
      </c>
      <c r="E85" s="895">
        <v>0.5</v>
      </c>
      <c r="F85" s="882">
        <v>80</v>
      </c>
    </row>
    <row r="86" spans="1:6" s="878" customFormat="1" ht="36">
      <c r="A86" s="882">
        <v>26</v>
      </c>
      <c r="B86" s="3305"/>
      <c r="C86" s="818" t="s">
        <v>666</v>
      </c>
      <c r="D86" s="818" t="s">
        <v>667</v>
      </c>
      <c r="E86" s="895">
        <v>0.2</v>
      </c>
      <c r="F86" s="882">
        <v>30</v>
      </c>
    </row>
    <row r="87" spans="1:6" s="878" customFormat="1" ht="36">
      <c r="A87" s="882">
        <v>27</v>
      </c>
      <c r="B87" s="3305"/>
      <c r="C87" s="818" t="s">
        <v>668</v>
      </c>
      <c r="D87" s="818" t="s">
        <v>669</v>
      </c>
      <c r="E87" s="895">
        <v>0.2</v>
      </c>
      <c r="F87" s="882">
        <v>30</v>
      </c>
    </row>
    <row r="88" spans="1:6" s="878" customFormat="1" ht="36">
      <c r="A88" s="882">
        <v>28</v>
      </c>
      <c r="B88" s="3305"/>
      <c r="C88" s="818" t="s">
        <v>670</v>
      </c>
      <c r="D88" s="818" t="s">
        <v>671</v>
      </c>
      <c r="E88" s="895">
        <v>0.2</v>
      </c>
      <c r="F88" s="882">
        <v>30</v>
      </c>
    </row>
    <row r="89" spans="1:6" s="878" customFormat="1" ht="24">
      <c r="A89" s="882">
        <v>29</v>
      </c>
      <c r="B89" s="3305"/>
      <c r="C89" s="818" t="s">
        <v>672</v>
      </c>
      <c r="D89" s="818" t="s">
        <v>673</v>
      </c>
      <c r="E89" s="895">
        <v>0.2</v>
      </c>
      <c r="F89" s="882">
        <v>30</v>
      </c>
    </row>
    <row r="90" spans="1:6" s="878" customFormat="1" ht="24">
      <c r="A90" s="882">
        <v>30</v>
      </c>
      <c r="B90" s="3305"/>
      <c r="C90" s="818" t="s">
        <v>674</v>
      </c>
      <c r="D90" s="818" t="s">
        <v>675</v>
      </c>
      <c r="E90" s="895">
        <v>0.2</v>
      </c>
      <c r="F90" s="882">
        <v>30</v>
      </c>
    </row>
    <row r="91" spans="1:6" s="878" customFormat="1" ht="36">
      <c r="A91" s="882">
        <v>31</v>
      </c>
      <c r="B91" s="3305"/>
      <c r="C91" s="818" t="s">
        <v>676</v>
      </c>
      <c r="D91" s="818" t="s">
        <v>677</v>
      </c>
      <c r="E91" s="895">
        <v>0.2</v>
      </c>
      <c r="F91" s="882">
        <v>30</v>
      </c>
    </row>
    <row r="92" spans="1:6" s="878" customFormat="1" ht="24">
      <c r="A92" s="882">
        <v>32</v>
      </c>
      <c r="B92" s="3305" t="s">
        <v>678</v>
      </c>
      <c r="C92" s="882" t="s">
        <v>679</v>
      </c>
      <c r="D92" s="818" t="s">
        <v>680</v>
      </c>
      <c r="E92" s="895">
        <v>0.2</v>
      </c>
      <c r="F92" s="882">
        <v>30</v>
      </c>
    </row>
    <row r="93" spans="1:6" s="878" customFormat="1" ht="36">
      <c r="A93" s="882">
        <v>33</v>
      </c>
      <c r="B93" s="3305"/>
      <c r="C93" s="882" t="s">
        <v>681</v>
      </c>
      <c r="D93" s="818" t="s">
        <v>682</v>
      </c>
      <c r="E93" s="895">
        <v>0.2</v>
      </c>
      <c r="F93" s="882">
        <v>30</v>
      </c>
    </row>
    <row r="94" spans="1:6" s="878" customFormat="1" ht="48">
      <c r="A94" s="882">
        <v>34</v>
      </c>
      <c r="B94" s="3305"/>
      <c r="C94" s="882" t="s">
        <v>683</v>
      </c>
      <c r="D94" s="818" t="s">
        <v>684</v>
      </c>
      <c r="E94" s="895">
        <v>0.2</v>
      </c>
      <c r="F94" s="882">
        <v>30</v>
      </c>
    </row>
    <row r="95" spans="1:6" s="878" customFormat="1" ht="36">
      <c r="A95" s="882">
        <v>35</v>
      </c>
      <c r="B95" s="3305"/>
      <c r="C95" s="882" t="s">
        <v>685</v>
      </c>
      <c r="D95" s="818" t="s">
        <v>686</v>
      </c>
      <c r="E95" s="895">
        <v>0.2</v>
      </c>
      <c r="F95" s="882">
        <v>30</v>
      </c>
    </row>
    <row r="96" spans="1:6" s="878" customFormat="1" ht="48">
      <c r="A96" s="882">
        <v>36</v>
      </c>
      <c r="B96" s="3305"/>
      <c r="C96" s="818" t="s">
        <v>687</v>
      </c>
      <c r="D96" s="818" t="s">
        <v>688</v>
      </c>
      <c r="E96" s="895">
        <v>0.2</v>
      </c>
      <c r="F96" s="882">
        <v>30</v>
      </c>
    </row>
    <row r="97" spans="1:6" s="878" customFormat="1" ht="36">
      <c r="A97" s="882">
        <v>37</v>
      </c>
      <c r="B97" s="3305"/>
      <c r="C97" s="882" t="s">
        <v>689</v>
      </c>
      <c r="D97" s="818" t="s">
        <v>690</v>
      </c>
      <c r="E97" s="895">
        <v>0.2</v>
      </c>
      <c r="F97" s="882">
        <v>30</v>
      </c>
    </row>
    <row r="98" spans="1:6" s="878" customFormat="1" ht="36">
      <c r="A98" s="882">
        <v>38</v>
      </c>
      <c r="B98" s="3305"/>
      <c r="C98" s="882" t="s">
        <v>691</v>
      </c>
      <c r="D98" s="818" t="s">
        <v>692</v>
      </c>
      <c r="E98" s="895">
        <v>0.2</v>
      </c>
      <c r="F98" s="882">
        <v>30</v>
      </c>
    </row>
    <row r="99" spans="1:6" s="878" customFormat="1" ht="36">
      <c r="A99" s="882">
        <v>39</v>
      </c>
      <c r="B99" s="3305" t="s">
        <v>693</v>
      </c>
      <c r="C99" s="882" t="s">
        <v>694</v>
      </c>
      <c r="D99" s="818" t="s">
        <v>695</v>
      </c>
      <c r="E99" s="895">
        <v>0.3</v>
      </c>
      <c r="F99" s="882">
        <v>50</v>
      </c>
    </row>
    <row r="100" spans="1:6" s="878" customFormat="1" ht="24">
      <c r="A100" s="882">
        <v>40</v>
      </c>
      <c r="B100" s="3305"/>
      <c r="C100" s="882" t="s">
        <v>696</v>
      </c>
      <c r="D100" s="818" t="s">
        <v>697</v>
      </c>
      <c r="E100" s="895">
        <v>0.2</v>
      </c>
      <c r="F100" s="882">
        <v>30</v>
      </c>
    </row>
    <row r="101" spans="1:6" s="878" customFormat="1" ht="36">
      <c r="A101" s="882">
        <v>41</v>
      </c>
      <c r="B101" s="330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5" t="s">
        <v>708</v>
      </c>
      <c r="C105" s="882" t="s">
        <v>709</v>
      </c>
      <c r="D105" s="818" t="s">
        <v>710</v>
      </c>
      <c r="E105" s="895">
        <v>0.2</v>
      </c>
      <c r="F105" s="882">
        <v>30</v>
      </c>
    </row>
    <row r="106" spans="1:6" s="878" customFormat="1" ht="36">
      <c r="A106" s="882">
        <v>46</v>
      </c>
      <c r="B106" s="3305"/>
      <c r="C106" s="882" t="s">
        <v>711</v>
      </c>
      <c r="D106" s="818" t="s">
        <v>712</v>
      </c>
      <c r="E106" s="895">
        <v>0.2</v>
      </c>
      <c r="F106" s="882">
        <v>30</v>
      </c>
    </row>
    <row r="107" spans="1:6" s="878" customFormat="1" ht="36">
      <c r="A107" s="882">
        <v>47</v>
      </c>
      <c r="B107" s="3305" t="s">
        <v>713</v>
      </c>
      <c r="C107" s="882" t="s">
        <v>714</v>
      </c>
      <c r="D107" s="818" t="s">
        <v>715</v>
      </c>
      <c r="E107" s="895">
        <v>0.3</v>
      </c>
      <c r="F107" s="882">
        <v>50</v>
      </c>
    </row>
    <row r="108" spans="1:6" s="878" customFormat="1" ht="36">
      <c r="A108" s="882">
        <v>48</v>
      </c>
      <c r="B108" s="330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5" t="s">
        <v>724</v>
      </c>
      <c r="C111" s="882" t="s">
        <v>725</v>
      </c>
      <c r="D111" s="818" t="s">
        <v>726</v>
      </c>
      <c r="E111" s="895">
        <v>0.2</v>
      </c>
      <c r="F111" s="882">
        <v>30</v>
      </c>
    </row>
    <row r="112" spans="1:6" s="878" customFormat="1" ht="24">
      <c r="A112" s="882">
        <v>52</v>
      </c>
      <c r="B112" s="3305"/>
      <c r="C112" s="882" t="s">
        <v>727</v>
      </c>
      <c r="D112" s="818" t="s">
        <v>728</v>
      </c>
      <c r="E112" s="895">
        <v>0.2</v>
      </c>
      <c r="F112" s="882">
        <v>30</v>
      </c>
    </row>
    <row r="113" spans="1:6" s="878" customFormat="1" ht="24">
      <c r="A113" s="882">
        <v>53</v>
      </c>
      <c r="B113" s="330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5" t="s">
        <v>737</v>
      </c>
      <c r="C116" s="882" t="s">
        <v>738</v>
      </c>
      <c r="D116" s="818" t="s">
        <v>739</v>
      </c>
      <c r="E116" s="895">
        <v>0.2</v>
      </c>
      <c r="F116" s="882">
        <v>30</v>
      </c>
    </row>
    <row r="117" spans="1:6" ht="36">
      <c r="A117" s="882">
        <v>57</v>
      </c>
      <c r="B117" s="330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3001</v>
      </c>
    </row>
    <row r="2" spans="1:5" ht="15.75">
      <c r="A2" s="2900" t="s">
        <v>2993</v>
      </c>
      <c r="B2" s="2901" t="e">
        <f ca="1">SUMIF(B6:B13,"&lt;&gt;#ref!",B6:B13)</f>
        <v>#DIV/0!</v>
      </c>
      <c r="C2" s="2900" t="s">
        <v>2994</v>
      </c>
      <c r="D2" s="2900" t="s">
        <v>2995</v>
      </c>
      <c r="E2" s="2901">
        <f ca="1">SUMIF(E6:E13,"&lt;&gt;#ref!",E6:E13)</f>
        <v>0</v>
      </c>
    </row>
    <row r="3" spans="1:5" ht="15.75">
      <c r="A3" s="2900" t="s">
        <v>2996</v>
      </c>
      <c r="B3" s="2901" t="e">
        <f ca="1">ROUND(B2*10000/E2,0)</f>
        <v>#DIV/0!</v>
      </c>
      <c r="C3" s="2900" t="s">
        <v>3002</v>
      </c>
      <c r="D3" s="2902"/>
      <c r="E3" s="2902"/>
    </row>
    <row r="4" spans="1:5" ht="15.75">
      <c r="A4" s="2903"/>
      <c r="B4" s="2902"/>
      <c r="C4" s="2902"/>
      <c r="D4" s="2902"/>
      <c r="E4" s="2902"/>
    </row>
    <row r="5" spans="1:5" ht="28.5">
      <c r="A5" s="2904" t="s">
        <v>2997</v>
      </c>
      <c r="B5" s="2900" t="s">
        <v>2998</v>
      </c>
      <c r="C5" s="2901"/>
      <c r="D5" s="2902"/>
      <c r="E5" s="2900" t="s">
        <v>2999</v>
      </c>
    </row>
    <row r="6" spans="1:5" ht="15.75">
      <c r="A6" s="2905" t="s">
        <v>3000</v>
      </c>
      <c r="B6" s="2901" t="e">
        <f ca="1">SUMIF(INDIRECT("'"&amp;A6&amp;"'"&amp;"!A:A"),"总价",INDIRECT("'"&amp;A6&amp;"'"&amp;"!B:B"))</f>
        <v>#DIV/0!</v>
      </c>
      <c r="C6" s="2900" t="s">
        <v>2994</v>
      </c>
      <c r="D6" s="2902"/>
      <c r="E6" s="2573">
        <f ca="1">SUMIF(INDIRECT("'"&amp;A6&amp;"'"&amp;"!C:C"),"建筑面积",INDIRECT("'"&amp;A6&amp;"'"&amp;"!D:D"))</f>
        <v>0</v>
      </c>
    </row>
    <row r="7" spans="1:5" ht="15.75">
      <c r="A7" s="2905"/>
      <c r="B7" s="2901" t="e">
        <f ca="1">SUMIF(INDIRECT("'"&amp;A7&amp;"'"&amp;"!A:A"),"总价",INDIRECT("'"&amp;A7&amp;"'"&amp;"!B:B"))</f>
        <v>#REF!</v>
      </c>
      <c r="C7" s="2900" t="s">
        <v>2994</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2994</v>
      </c>
      <c r="D8" s="2902"/>
      <c r="E8" s="2573" t="e">
        <f t="shared" ca="1" si="0"/>
        <v>#REF!</v>
      </c>
    </row>
    <row r="9" spans="1:5" ht="15.75">
      <c r="A9" s="2905"/>
      <c r="B9" s="2901" t="e">
        <f t="shared" ca="1" si="1"/>
        <v>#REF!</v>
      </c>
      <c r="C9" s="2900" t="s">
        <v>2994</v>
      </c>
      <c r="D9" s="2902"/>
      <c r="E9" s="2573" t="e">
        <f t="shared" ca="1" si="0"/>
        <v>#REF!</v>
      </c>
    </row>
    <row r="10" spans="1:5" ht="15.75">
      <c r="A10" s="2905"/>
      <c r="B10" s="2901" t="e">
        <f t="shared" ca="1" si="1"/>
        <v>#REF!</v>
      </c>
      <c r="C10" s="2900" t="s">
        <v>2994</v>
      </c>
      <c r="D10" s="2902"/>
      <c r="E10" s="2573" t="e">
        <f t="shared" ca="1" si="0"/>
        <v>#REF!</v>
      </c>
    </row>
    <row r="11" spans="1:5" ht="15.75">
      <c r="A11" s="2905"/>
      <c r="B11" s="2901" t="e">
        <f t="shared" ca="1" si="1"/>
        <v>#REF!</v>
      </c>
      <c r="C11" s="2900" t="s">
        <v>2994</v>
      </c>
      <c r="D11" s="2902"/>
      <c r="E11" s="2573" t="e">
        <f t="shared" ca="1" si="0"/>
        <v>#REF!</v>
      </c>
    </row>
    <row r="12" spans="1:5" ht="15.75">
      <c r="A12" s="2905"/>
      <c r="B12" s="2901" t="e">
        <f t="shared" ca="1" si="1"/>
        <v>#REF!</v>
      </c>
      <c r="C12" s="2900" t="s">
        <v>2994</v>
      </c>
      <c r="D12" s="2902"/>
      <c r="E12" s="2573" t="e">
        <f t="shared" ca="1" si="0"/>
        <v>#REF!</v>
      </c>
    </row>
    <row r="13" spans="1:5" ht="15.75">
      <c r="A13" s="2905"/>
      <c r="B13" s="2901" t="e">
        <f t="shared" ca="1" si="1"/>
        <v>#REF!</v>
      </c>
      <c r="C13" s="2900" t="s">
        <v>2994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1" t="s">
        <v>1145</v>
      </c>
      <c r="C1" s="3311"/>
      <c r="D1" s="3311"/>
      <c r="E1" s="3311"/>
      <c r="F1" s="3311"/>
      <c r="G1" s="3310" t="s">
        <v>1146</v>
      </c>
      <c r="H1" s="3310"/>
      <c r="I1" s="3310"/>
      <c r="J1" s="3310"/>
      <c r="K1" s="3310"/>
      <c r="L1" s="3310"/>
      <c r="N1" s="3310" t="s">
        <v>1147</v>
      </c>
      <c r="O1" s="3310"/>
      <c r="P1" s="3310"/>
      <c r="Q1" s="3310"/>
      <c r="R1" s="1446"/>
      <c r="S1" s="3310" t="s">
        <v>1148</v>
      </c>
      <c r="T1" s="3310"/>
      <c r="U1" s="3310"/>
      <c r="V1" s="3310"/>
      <c r="X1" s="3309" t="s">
        <v>1149</v>
      </c>
      <c r="Y1" s="3310"/>
      <c r="Z1" s="3310"/>
      <c r="AA1" s="3310"/>
      <c r="AB1" s="3310"/>
      <c r="AD1" s="3309" t="s">
        <v>1150</v>
      </c>
      <c r="AE1" s="3310"/>
      <c r="AF1" s="3310"/>
      <c r="AG1" s="3310"/>
      <c r="AH1" s="331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25">
      <c r="A3" s="2925" t="s">
        <v>3036</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0">
        <v>2020</v>
      </c>
      <c r="H5" s="1730">
        <v>1</v>
      </c>
      <c r="I5" s="2912">
        <v>0</v>
      </c>
      <c r="J5" s="2912">
        <v>0</v>
      </c>
      <c r="K5" s="2912">
        <v>0</v>
      </c>
      <c r="L5" s="2912">
        <v>0</v>
      </c>
      <c r="N5" s="1467">
        <f t="shared" ref="N5" si="7">I5/100</f>
        <v>0</v>
      </c>
      <c r="O5" s="1467">
        <f t="shared" ref="O5" si="8">J5/100</f>
        <v>0</v>
      </c>
      <c r="P5" s="1467">
        <f t="shared" ref="P5" si="9">K5/100</f>
        <v>0</v>
      </c>
      <c r="Q5" s="1467">
        <f t="shared" ref="Q5" si="10">L5/100</f>
        <v>0</v>
      </c>
      <c r="R5" s="1732"/>
      <c r="S5" s="1733"/>
      <c r="T5" s="1732"/>
      <c r="U5" s="1732"/>
      <c r="V5" s="1732"/>
      <c r="W5" s="2915" t="s">
        <v>3037</v>
      </c>
      <c r="X5" s="1726">
        <f>ROUND(IF(项目基本情况!B8="出让",SUMPRODUCT(PRODUCT(1+N5:N$29)),SUMPRODUCT(PRODUCT(1+N5:N$28))),4)</f>
        <v>1.5516000000000001</v>
      </c>
      <c r="Y5" s="1726">
        <f>ROUND(IF(项目基本情况!B8="出让",SUMPRODUCT(PRODUCT(1+O5:O$29)),SUMPRODUCT(PRODUCT(1+O5:O$28))),4)</f>
        <v>1.3649</v>
      </c>
      <c r="Z5" s="1726">
        <f t="shared" ref="Z5" si="11">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 si="12">AE5</f>
        <v>1.35E-2</v>
      </c>
      <c r="AG5" s="1468">
        <f>ROUND(AVERAGE(K5:K$29)/100,4)</f>
        <v>2.0799999999999999E-2</v>
      </c>
      <c r="AH5" s="1468">
        <f>ROUND(AVERAGE(L5:L$29)/100,4)</f>
        <v>1.3299999999999999E-2</v>
      </c>
    </row>
    <row r="6" spans="1:34" s="1466" customFormat="1">
      <c r="A6" s="1461" t="s">
        <v>3054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4</v>
      </c>
      <c r="I6" s="1464">
        <v>0</v>
      </c>
      <c r="J6" s="1464">
        <v>0</v>
      </c>
      <c r="K6" s="1464">
        <v>0</v>
      </c>
      <c r="L6" s="1478">
        <v>0</v>
      </c>
      <c r="M6" s="1471"/>
      <c r="N6" s="1472">
        <f t="shared" ref="N6:N11" si="18">I6/100</f>
        <v>0</v>
      </c>
      <c r="O6" s="1473">
        <f t="shared" ref="O6" si="19">J6/100</f>
        <v>0</v>
      </c>
      <c r="P6" s="1473">
        <f t="shared" ref="P6" si="20">K6/100</f>
        <v>0</v>
      </c>
      <c r="Q6" s="1473">
        <f t="shared" ref="Q6" si="21">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ref="Z6" si="22">Y6</f>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ref="AF6" si="23">AE6</f>
        <v>1.41E-2</v>
      </c>
      <c r="AG6" s="1789">
        <f>ROUND(AVERAGE(K6:K$29)/100,4)</f>
        <v>2.1600000000000001E-2</v>
      </c>
      <c r="AH6" s="1789">
        <f>ROUND(AVERAGE(L6:L$29)/100,4)</f>
        <v>1.38E-2</v>
      </c>
    </row>
    <row r="7" spans="1:34" s="1466" customFormat="1" ht="13.5" thickBot="1">
      <c r="A7" s="1461" t="s">
        <v>3050</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49">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c r="A8" s="1461" t="s">
        <v>3048</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5">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3046</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29">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c r="A10" s="1461" t="s">
        <v>3049</v>
      </c>
      <c r="B10" s="2946">
        <f t="shared" ref="B10" si="57">B11*(1+N10)</f>
        <v>464.37293017158942</v>
      </c>
      <c r="C10" s="2946">
        <f t="shared" ref="C10" si="58">C11*(1+O10)</f>
        <v>344.73679941385956</v>
      </c>
      <c r="D10" s="2946">
        <f t="shared" ref="D10" si="59">C10</f>
        <v>344.73679941385956</v>
      </c>
      <c r="E10" s="2946">
        <f t="shared" ref="E10" si="60">E11*(1+P10)</f>
        <v>663.2377795103107</v>
      </c>
      <c r="F10" s="2947">
        <f t="shared" ref="F10" si="61">F11*(1+Q10)</f>
        <v>304.75936311478398</v>
      </c>
      <c r="G10" s="3307">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5" customHeight="1">
      <c r="A11" s="1461" t="s">
        <v>3043</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307"/>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5" customHeight="1">
      <c r="A12" s="1461" t="s">
        <v>3042</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307"/>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3035</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316"/>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c r="A14" s="1461" t="s">
        <v>3032</v>
      </c>
      <c r="B14" s="1469">
        <v>439</v>
      </c>
      <c r="C14" s="1469">
        <v>327</v>
      </c>
      <c r="D14" s="1469">
        <f>C14</f>
        <v>327</v>
      </c>
      <c r="E14" s="1469">
        <v>627</v>
      </c>
      <c r="F14" s="1470">
        <v>283</v>
      </c>
      <c r="G14" s="3312">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5" customHeight="1">
      <c r="A15" s="1461" t="s">
        <v>3033</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307"/>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5"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307"/>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316"/>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c r="A18" s="1461" t="s">
        <v>154</v>
      </c>
      <c r="B18" s="1469">
        <v>392</v>
      </c>
      <c r="C18" s="1469">
        <v>302</v>
      </c>
      <c r="D18" s="1469">
        <f>C18</f>
        <v>302</v>
      </c>
      <c r="E18" s="1469">
        <v>553</v>
      </c>
      <c r="F18" s="1470">
        <v>266</v>
      </c>
      <c r="G18" s="3312">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307"/>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307"/>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5"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308"/>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306">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307"/>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307"/>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308"/>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306">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307"/>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5"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307"/>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308"/>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313">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314"/>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314"/>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315"/>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306">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307"/>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307"/>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5" thickBot="1">
      <c r="A37" s="1461" t="s">
        <v>1165</v>
      </c>
      <c r="B37" s="1477">
        <f>B36/(1+N36)</f>
        <v>275.19025476197027</v>
      </c>
      <c r="C37" s="1513">
        <v>232</v>
      </c>
      <c r="D37" s="1513">
        <f t="shared" si="119"/>
        <v>232</v>
      </c>
      <c r="E37" s="1477">
        <f t="shared" si="130"/>
        <v>375.65990977608692</v>
      </c>
      <c r="F37" s="1477">
        <f t="shared" si="130"/>
        <v>214.12518283971252</v>
      </c>
      <c r="G37" s="3308"/>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306">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307">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307">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5"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308">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306">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307">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307">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5"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308">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306">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307">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307">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308">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306">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307">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307">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5"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308">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306">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307">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307">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308">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306">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307">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307">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308">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306">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307">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307">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308">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306">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307">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307">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5"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308">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306">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307">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307">
        <v>2003</v>
      </c>
      <c r="H72" s="1465">
        <v>2</v>
      </c>
      <c r="I72" s="1534"/>
      <c r="J72" s="1534"/>
      <c r="K72" s="1534"/>
      <c r="L72" s="1534"/>
      <c r="X72" s="1526"/>
      <c r="Y72" s="1526"/>
      <c r="Z72" s="1526"/>
    </row>
    <row r="73" spans="1:26" ht="13.5" thickBot="1">
      <c r="A73" s="1461" t="s">
        <v>1201</v>
      </c>
      <c r="B73" s="1536">
        <f t="shared" si="155"/>
        <v>107.25</v>
      </c>
      <c r="C73" s="1536">
        <f t="shared" si="155"/>
        <v>108.75</v>
      </c>
      <c r="D73" s="1536">
        <f t="shared" si="119"/>
        <v>108.75</v>
      </c>
      <c r="E73" s="1536">
        <f t="shared" si="156"/>
        <v>105.75</v>
      </c>
      <c r="F73" s="1536">
        <f t="shared" si="156"/>
        <v>102.5</v>
      </c>
      <c r="G73" s="3308">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306">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307">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307">
        <v>2002</v>
      </c>
      <c r="H76" s="1465">
        <v>2</v>
      </c>
      <c r="I76" s="1534"/>
      <c r="J76" s="1534"/>
      <c r="K76" s="1534"/>
      <c r="L76" s="1534"/>
      <c r="X76" s="1526"/>
      <c r="Y76" s="1526"/>
      <c r="Z76" s="1526"/>
    </row>
    <row r="77" spans="1:26" s="1498" customFormat="1" ht="13.5" thickBot="1">
      <c r="A77" s="1494" t="s">
        <v>1205</v>
      </c>
      <c r="B77" s="1540">
        <f t="shared" si="157"/>
        <v>103</v>
      </c>
      <c r="C77" s="1540">
        <f t="shared" si="157"/>
        <v>104</v>
      </c>
      <c r="D77" s="1540">
        <f t="shared" si="119"/>
        <v>104</v>
      </c>
      <c r="E77" s="1540">
        <f t="shared" si="158"/>
        <v>103.5</v>
      </c>
      <c r="F77" s="1540">
        <f t="shared" si="158"/>
        <v>100.5</v>
      </c>
      <c r="G77" s="3308">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c r="A80" s="1548" t="s">
        <v>1206</v>
      </c>
      <c r="G80" s="1550"/>
      <c r="N80" s="1550"/>
      <c r="S80" s="1550"/>
    </row>
    <row r="81" spans="1:22" s="1549" customFormat="1">
      <c r="A81" s="1549" t="s">
        <v>1207</v>
      </c>
      <c r="G81" s="1550"/>
      <c r="N81" s="1550"/>
      <c r="S81" s="1550"/>
    </row>
    <row r="82" spans="1:22" s="1549" customFormat="1">
      <c r="A82" s="1549" t="s">
        <v>1208</v>
      </c>
      <c r="G82" s="1550"/>
      <c r="I82" s="1551"/>
      <c r="J82" s="1551"/>
      <c r="K82" s="1551"/>
      <c r="L82" s="1551"/>
      <c r="N82" s="1552"/>
      <c r="O82" s="1551"/>
      <c r="P82" s="1551"/>
      <c r="Q82" s="1551"/>
      <c r="S82" s="1552"/>
      <c r="T82" s="1551"/>
      <c r="U82" s="1551"/>
      <c r="V82" s="1551"/>
    </row>
    <row r="83" spans="1:22" s="1549" customFormat="1">
      <c r="A83" s="1549" t="s">
        <v>1209</v>
      </c>
      <c r="G83" s="1550"/>
      <c r="N83" s="1550"/>
      <c r="S83" s="1550"/>
    </row>
    <row r="90" spans="1:22" ht="13.5" thickBot="1"/>
    <row r="91" spans="1:22">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5"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8" t="s">
        <v>3004</v>
      </c>
      <c r="D1" s="3319"/>
      <c r="E1" s="3319"/>
      <c r="F1" s="3319"/>
      <c r="G1" s="3319"/>
      <c r="H1" s="3319"/>
      <c r="I1" s="3319"/>
      <c r="J1" s="3319"/>
      <c r="K1" s="3319"/>
      <c r="L1" s="3319"/>
      <c r="M1" s="3319"/>
      <c r="N1" s="3319"/>
      <c r="O1" s="3319"/>
      <c r="P1" s="3319"/>
      <c r="Q1" s="3319"/>
      <c r="R1" s="3319"/>
      <c r="S1" s="3320"/>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3013</v>
      </c>
      <c r="B17" s="2907"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09" t="s">
        <v>3017</v>
      </c>
      <c r="E20" s="1793"/>
      <c r="F20" s="1204" t="e">
        <f ca="1">SUMIF(INDIRECT("'"&amp;H20&amp;"'"&amp;"!A:A"),"承租人权益价值",INDIRECT("'"&amp;H20&amp;"'"&amp;"!c:c"))</f>
        <v>#REF!</v>
      </c>
      <c r="G20" s="1204" t="s">
        <v>3018</v>
      </c>
      <c r="H20" s="2910"/>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72" t="s">
        <v>33</v>
      </c>
      <c r="D22" s="3173"/>
      <c r="E22" s="3173"/>
      <c r="F22" s="3173"/>
      <c r="G22" s="3173"/>
      <c r="H22" s="3173"/>
      <c r="I22" s="3173"/>
      <c r="J22" s="3173"/>
      <c r="K22" s="3173"/>
      <c r="L22" s="3173"/>
      <c r="M22" s="3173"/>
      <c r="N22" s="3173"/>
      <c r="O22" s="3173"/>
      <c r="P22" s="3173"/>
      <c r="Q22" s="3317"/>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估价结果一览表（市场价值不需“结果表-1”）</v>
      </c>
      <c r="B3" s="2992"/>
      <c r="C3" s="2992"/>
      <c r="D3" s="2992"/>
      <c r="E3" s="2992"/>
    </row>
    <row r="4" spans="1:5" ht="19.5" thickBot="1">
      <c r="A4" s="1960"/>
      <c r="B4" s="2990" t="s">
        <v>1624</v>
      </c>
      <c r="C4" s="2990"/>
      <c r="D4" s="2990"/>
      <c r="E4" s="1960"/>
    </row>
    <row r="5" spans="1:5" ht="16.5" thickTop="1">
      <c r="A5" s="1958"/>
      <c r="B5" s="2988" t="s">
        <v>1616</v>
      </c>
      <c r="C5" s="1961" t="s">
        <v>1617</v>
      </c>
      <c r="D5" s="1040">
        <f ca="1">结果表!H101</f>
        <v>453051</v>
      </c>
      <c r="E5" s="1958"/>
    </row>
    <row r="6" spans="1:5" ht="15.75">
      <c r="A6" s="1958"/>
      <c r="B6" s="2988"/>
      <c r="C6" s="1961" t="s">
        <v>1618</v>
      </c>
      <c r="D6" s="1040" t="str">
        <f ca="1">NUMBERSTRING(INT(D5*10000),2)&amp;"元整"</f>
        <v>肆拾伍亿叁仟零伍拾壹万元整</v>
      </c>
      <c r="E6" s="1958"/>
    </row>
    <row r="7" spans="1:5" ht="15.75">
      <c r="A7" s="1958"/>
      <c r="B7" s="2993"/>
      <c r="C7" s="1962" t="s">
        <v>1619</v>
      </c>
      <c r="D7" s="1041" t="e">
        <f ca="1">结果表!H102</f>
        <v>#DIV/0!</v>
      </c>
      <c r="E7" s="1958"/>
    </row>
    <row r="8" spans="1:5" ht="15.75">
      <c r="A8" s="1958"/>
      <c r="B8" s="2994" t="str">
        <f>结果表!E103</f>
        <v>2.估价师知悉的法定优先受偿款</v>
      </c>
      <c r="C8" s="1963" t="s">
        <v>1620</v>
      </c>
      <c r="D8" s="1041">
        <f>结果表!H103</f>
        <v>0</v>
      </c>
      <c r="E8" s="1958"/>
    </row>
    <row r="9" spans="1:5" ht="15.75">
      <c r="A9" s="1958"/>
      <c r="B9" s="2996"/>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87" t="str">
        <f>结果表!E107</f>
        <v>3.房地产抵押价值</v>
      </c>
      <c r="C13" s="1966" t="s">
        <v>1617</v>
      </c>
      <c r="D13" s="1043">
        <f ca="1">结果表!H107</f>
        <v>453051</v>
      </c>
      <c r="E13" s="1958"/>
    </row>
    <row r="14" spans="1:5" ht="15.75">
      <c r="A14" s="1958"/>
      <c r="B14" s="2988"/>
      <c r="C14" s="1961" t="s">
        <v>1618</v>
      </c>
      <c r="D14" s="1040" t="str">
        <f ca="1">NUMBERSTRING(INT(D13*10000),2)&amp;"元整"</f>
        <v>肆拾伍亿叁仟零伍拾壹万元整</v>
      </c>
      <c r="E14" s="1958"/>
    </row>
    <row r="15" spans="1:5" ht="15">
      <c r="A15" s="1958"/>
      <c r="B15" s="2993"/>
      <c r="C15" s="1962" t="s">
        <v>1628</v>
      </c>
      <c r="D15" s="1052">
        <f ca="1">结果表!H108</f>
        <v>52092</v>
      </c>
      <c r="E15" s="1958"/>
    </row>
    <row r="16" spans="1:5" ht="15">
      <c r="A16" s="1958"/>
      <c r="B16" s="2994" t="str">
        <f>结果表!E109</f>
        <v>——</v>
      </c>
      <c r="C16" s="1966" t="s">
        <v>1629</v>
      </c>
      <c r="D16" s="1967" t="str">
        <f>结果表!H109</f>
        <v>——</v>
      </c>
      <c r="E16" s="1958"/>
    </row>
    <row r="17" spans="1:5" ht="15.75">
      <c r="A17" s="1958"/>
      <c r="B17" s="2995"/>
      <c r="C17" s="1961" t="s">
        <v>1630</v>
      </c>
      <c r="D17" s="1040" t="e">
        <f>NUMBERSTRING(INT(D16*10000),2)&amp;"元整"</f>
        <v>#VALUE!</v>
      </c>
      <c r="E17" s="1958"/>
    </row>
    <row r="18" spans="1:5" ht="15">
      <c r="A18" s="1958"/>
      <c r="B18" s="2996"/>
      <c r="C18" s="1962" t="s">
        <v>1619</v>
      </c>
      <c r="D18" s="1052" t="str">
        <f>结果表!H110</f>
        <v>——</v>
      </c>
      <c r="E18" s="1958"/>
    </row>
    <row r="19" spans="1:5" ht="15.75">
      <c r="A19" s="1958"/>
      <c r="B19" s="2987" t="str">
        <f>结果表!E111</f>
        <v>——</v>
      </c>
      <c r="C19" s="1966" t="s">
        <v>1617</v>
      </c>
      <c r="D19" s="1041" t="str">
        <f>结果表!H111</f>
        <v>——</v>
      </c>
      <c r="E19" s="1958"/>
    </row>
    <row r="20" spans="1:5" ht="15.75">
      <c r="A20" s="1958"/>
      <c r="B20" s="2988"/>
      <c r="C20" s="1961" t="s">
        <v>1630</v>
      </c>
      <c r="D20" s="1040" t="e">
        <f>NUMBERSTRING(INT(D19*10000),2)&amp;"元整"</f>
        <v>#VALUE!</v>
      </c>
      <c r="E20" s="1958"/>
    </row>
    <row r="21" spans="1:5" ht="15.75" thickBot="1">
      <c r="A21" s="1958"/>
      <c r="B21" s="2989"/>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1054</v>
      </c>
      <c r="C25" s="1355" t="e">
        <f ca="1">ROUND(IF('数据-取费表'!B22&lt;=1,C20*F22*'数据-取费表'!B23/2,C20*(POWER((1+F22),'数据-取费表'!B23/2)-1)),0)</f>
        <v>#VALUE!</v>
      </c>
      <c r="D25" s="282"/>
      <c r="E25" s="285"/>
      <c r="F25" s="283"/>
      <c r="G25" s="286" t="s">
        <v>110</v>
      </c>
    </row>
    <row r="26" spans="1:7" s="258" customFormat="1">
      <c r="A26" s="951" t="s">
        <v>795</v>
      </c>
      <c r="B26" s="259" t="s">
        <v>1056</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77" t="s">
        <v>121</v>
      </c>
    </row>
    <row r="43" spans="1:7" ht="13.5" customHeight="1">
      <c r="A43" s="951" t="s">
        <v>792</v>
      </c>
      <c r="B43" s="259" t="s">
        <v>1060</v>
      </c>
      <c r="C43" s="282" t="e">
        <f ca="1">ROUND(IF('数据-取费表'!B22&lt;=1,C39*F22*'数据-取费表'!B21/2,C39*(POWER((1+F22),'数据-取费表'!B21/2)-1)),0)</f>
        <v>#VALUE!</v>
      </c>
      <c r="D43" s="282"/>
      <c r="E43" s="282"/>
      <c r="F43" s="283"/>
      <c r="G43" s="3178"/>
    </row>
    <row r="44" spans="1:7" ht="13.5" customHeight="1">
      <c r="A44" s="951" t="s">
        <v>793</v>
      </c>
      <c r="B44" s="259" t="s">
        <v>1062</v>
      </c>
      <c r="C44" s="282" t="e">
        <f ca="1">ROUND(IF('数据-取费表'!B22&lt;=1,C40*F22*'数据-取费表'!B21/2,C40*(POWER((1+F22),'数据-取费表'!B21/2)-1)),4)</f>
        <v>#VALUE!</v>
      </c>
      <c r="D44" s="282"/>
      <c r="E44" s="282"/>
      <c r="F44" s="283"/>
      <c r="G44" s="3179"/>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21" t="s">
        <v>156</v>
      </c>
      <c r="B1" s="3321"/>
      <c r="C1" s="3321"/>
      <c r="D1" s="3321"/>
      <c r="E1" s="3321"/>
      <c r="F1" s="332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2" t="s">
        <v>169</v>
      </c>
      <c r="B2" s="3322"/>
      <c r="C2" s="3322"/>
      <c r="D2" s="3322"/>
      <c r="E2" s="3322"/>
      <c r="F2" s="332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1" t="s">
        <v>867</v>
      </c>
      <c r="B1" s="332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Q28"/>
  <sheetViews>
    <sheetView workbookViewId="0">
      <selection activeCell="I100" sqref="I100"/>
    </sheetView>
  </sheetViews>
  <sheetFormatPr defaultRowHeight="13.5"/>
  <sheetData>
    <row r="3" spans="16:17">
      <c r="P3">
        <f>30000/Q3</f>
        <v>0.57590416954618751</v>
      </c>
      <c r="Q3">
        <v>52092</v>
      </c>
    </row>
    <row r="5" spans="16:17">
      <c r="P5">
        <f>30000/'比较法-住宅'!C49</f>
        <v>0.57590416954618751</v>
      </c>
    </row>
    <row r="28" spans="8:8">
      <c r="H28" s="2966" t="s">
        <v>3102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G23"/>
  <sheetViews>
    <sheetView workbookViewId="0">
      <selection activeCell="A26" sqref="A26"/>
    </sheetView>
  </sheetViews>
  <sheetFormatPr defaultRowHeight="12.75"/>
  <cols>
    <col min="1" max="1" width="13.875" style="2980" customWidth="1"/>
    <col min="2" max="4" width="10.625" style="2980" customWidth="1"/>
    <col min="5" max="5" width="12.25" style="2980" customWidth="1"/>
    <col min="6" max="7" width="13.875" style="2980" customWidth="1"/>
    <col min="8" max="256" width="9" style="2980"/>
    <col min="257" max="257" width="13.875" style="2980" customWidth="1"/>
    <col min="258" max="260" width="10.625" style="2980" customWidth="1"/>
    <col min="261" max="261" width="12.25" style="2980" customWidth="1"/>
    <col min="262" max="263" width="13.875" style="2980" customWidth="1"/>
    <col min="264" max="512" width="9" style="2980"/>
    <col min="513" max="513" width="13.875" style="2980" customWidth="1"/>
    <col min="514" max="516" width="10.625" style="2980" customWidth="1"/>
    <col min="517" max="517" width="12.25" style="2980" customWidth="1"/>
    <col min="518" max="519" width="13.875" style="2980" customWidth="1"/>
    <col min="520" max="768" width="9" style="2980"/>
    <col min="769" max="769" width="13.875" style="2980" customWidth="1"/>
    <col min="770" max="772" width="10.625" style="2980" customWidth="1"/>
    <col min="773" max="773" width="12.25" style="2980" customWidth="1"/>
    <col min="774" max="775" width="13.875" style="2980" customWidth="1"/>
    <col min="776" max="1024" width="9" style="2980"/>
    <col min="1025" max="1025" width="13.875" style="2980" customWidth="1"/>
    <col min="1026" max="1028" width="10.625" style="2980" customWidth="1"/>
    <col min="1029" max="1029" width="12.25" style="2980" customWidth="1"/>
    <col min="1030" max="1031" width="13.875" style="2980" customWidth="1"/>
    <col min="1032" max="1280" width="9" style="2980"/>
    <col min="1281" max="1281" width="13.875" style="2980" customWidth="1"/>
    <col min="1282" max="1284" width="10.625" style="2980" customWidth="1"/>
    <col min="1285" max="1285" width="12.25" style="2980" customWidth="1"/>
    <col min="1286" max="1287" width="13.875" style="2980" customWidth="1"/>
    <col min="1288" max="1536" width="9" style="2980"/>
    <col min="1537" max="1537" width="13.875" style="2980" customWidth="1"/>
    <col min="1538" max="1540" width="10.625" style="2980" customWidth="1"/>
    <col min="1541" max="1541" width="12.25" style="2980" customWidth="1"/>
    <col min="1542" max="1543" width="13.875" style="2980" customWidth="1"/>
    <col min="1544" max="1792" width="9" style="2980"/>
    <col min="1793" max="1793" width="13.875" style="2980" customWidth="1"/>
    <col min="1794" max="1796" width="10.625" style="2980" customWidth="1"/>
    <col min="1797" max="1797" width="12.25" style="2980" customWidth="1"/>
    <col min="1798" max="1799" width="13.875" style="2980" customWidth="1"/>
    <col min="1800" max="2048" width="9" style="2980"/>
    <col min="2049" max="2049" width="13.875" style="2980" customWidth="1"/>
    <col min="2050" max="2052" width="10.625" style="2980" customWidth="1"/>
    <col min="2053" max="2053" width="12.25" style="2980" customWidth="1"/>
    <col min="2054" max="2055" width="13.875" style="2980" customWidth="1"/>
    <col min="2056" max="2304" width="9" style="2980"/>
    <col min="2305" max="2305" width="13.875" style="2980" customWidth="1"/>
    <col min="2306" max="2308" width="10.625" style="2980" customWidth="1"/>
    <col min="2309" max="2309" width="12.25" style="2980" customWidth="1"/>
    <col min="2310" max="2311" width="13.875" style="2980" customWidth="1"/>
    <col min="2312" max="2560" width="9" style="2980"/>
    <col min="2561" max="2561" width="13.875" style="2980" customWidth="1"/>
    <col min="2562" max="2564" width="10.625" style="2980" customWidth="1"/>
    <col min="2565" max="2565" width="12.25" style="2980" customWidth="1"/>
    <col min="2566" max="2567" width="13.875" style="2980" customWidth="1"/>
    <col min="2568" max="2816" width="9" style="2980"/>
    <col min="2817" max="2817" width="13.875" style="2980" customWidth="1"/>
    <col min="2818" max="2820" width="10.625" style="2980" customWidth="1"/>
    <col min="2821" max="2821" width="12.25" style="2980" customWidth="1"/>
    <col min="2822" max="2823" width="13.875" style="2980" customWidth="1"/>
    <col min="2824" max="3072" width="9" style="2980"/>
    <col min="3073" max="3073" width="13.875" style="2980" customWidth="1"/>
    <col min="3074" max="3076" width="10.625" style="2980" customWidth="1"/>
    <col min="3077" max="3077" width="12.25" style="2980" customWidth="1"/>
    <col min="3078" max="3079" width="13.875" style="2980" customWidth="1"/>
    <col min="3080" max="3328" width="9" style="2980"/>
    <col min="3329" max="3329" width="13.875" style="2980" customWidth="1"/>
    <col min="3330" max="3332" width="10.625" style="2980" customWidth="1"/>
    <col min="3333" max="3333" width="12.25" style="2980" customWidth="1"/>
    <col min="3334" max="3335" width="13.875" style="2980" customWidth="1"/>
    <col min="3336" max="3584" width="9" style="2980"/>
    <col min="3585" max="3585" width="13.875" style="2980" customWidth="1"/>
    <col min="3586" max="3588" width="10.625" style="2980" customWidth="1"/>
    <col min="3589" max="3589" width="12.25" style="2980" customWidth="1"/>
    <col min="3590" max="3591" width="13.875" style="2980" customWidth="1"/>
    <col min="3592" max="3840" width="9" style="2980"/>
    <col min="3841" max="3841" width="13.875" style="2980" customWidth="1"/>
    <col min="3842" max="3844" width="10.625" style="2980" customWidth="1"/>
    <col min="3845" max="3845" width="12.25" style="2980" customWidth="1"/>
    <col min="3846" max="3847" width="13.875" style="2980" customWidth="1"/>
    <col min="3848" max="4096" width="9" style="2980"/>
    <col min="4097" max="4097" width="13.875" style="2980" customWidth="1"/>
    <col min="4098" max="4100" width="10.625" style="2980" customWidth="1"/>
    <col min="4101" max="4101" width="12.25" style="2980" customWidth="1"/>
    <col min="4102" max="4103" width="13.875" style="2980" customWidth="1"/>
    <col min="4104" max="4352" width="9" style="2980"/>
    <col min="4353" max="4353" width="13.875" style="2980" customWidth="1"/>
    <col min="4354" max="4356" width="10.625" style="2980" customWidth="1"/>
    <col min="4357" max="4357" width="12.25" style="2980" customWidth="1"/>
    <col min="4358" max="4359" width="13.875" style="2980" customWidth="1"/>
    <col min="4360" max="4608" width="9" style="2980"/>
    <col min="4609" max="4609" width="13.875" style="2980" customWidth="1"/>
    <col min="4610" max="4612" width="10.625" style="2980" customWidth="1"/>
    <col min="4613" max="4613" width="12.25" style="2980" customWidth="1"/>
    <col min="4614" max="4615" width="13.875" style="2980" customWidth="1"/>
    <col min="4616" max="4864" width="9" style="2980"/>
    <col min="4865" max="4865" width="13.875" style="2980" customWidth="1"/>
    <col min="4866" max="4868" width="10.625" style="2980" customWidth="1"/>
    <col min="4869" max="4869" width="12.25" style="2980" customWidth="1"/>
    <col min="4870" max="4871" width="13.875" style="2980" customWidth="1"/>
    <col min="4872" max="5120" width="9" style="2980"/>
    <col min="5121" max="5121" width="13.875" style="2980" customWidth="1"/>
    <col min="5122" max="5124" width="10.625" style="2980" customWidth="1"/>
    <col min="5125" max="5125" width="12.25" style="2980" customWidth="1"/>
    <col min="5126" max="5127" width="13.875" style="2980" customWidth="1"/>
    <col min="5128" max="5376" width="9" style="2980"/>
    <col min="5377" max="5377" width="13.875" style="2980" customWidth="1"/>
    <col min="5378" max="5380" width="10.625" style="2980" customWidth="1"/>
    <col min="5381" max="5381" width="12.25" style="2980" customWidth="1"/>
    <col min="5382" max="5383" width="13.875" style="2980" customWidth="1"/>
    <col min="5384" max="5632" width="9" style="2980"/>
    <col min="5633" max="5633" width="13.875" style="2980" customWidth="1"/>
    <col min="5634" max="5636" width="10.625" style="2980" customWidth="1"/>
    <col min="5637" max="5637" width="12.25" style="2980" customWidth="1"/>
    <col min="5638" max="5639" width="13.875" style="2980" customWidth="1"/>
    <col min="5640" max="5888" width="9" style="2980"/>
    <col min="5889" max="5889" width="13.875" style="2980" customWidth="1"/>
    <col min="5890" max="5892" width="10.625" style="2980" customWidth="1"/>
    <col min="5893" max="5893" width="12.25" style="2980" customWidth="1"/>
    <col min="5894" max="5895" width="13.875" style="2980" customWidth="1"/>
    <col min="5896" max="6144" width="9" style="2980"/>
    <col min="6145" max="6145" width="13.875" style="2980" customWidth="1"/>
    <col min="6146" max="6148" width="10.625" style="2980" customWidth="1"/>
    <col min="6149" max="6149" width="12.25" style="2980" customWidth="1"/>
    <col min="6150" max="6151" width="13.875" style="2980" customWidth="1"/>
    <col min="6152" max="6400" width="9" style="2980"/>
    <col min="6401" max="6401" width="13.875" style="2980" customWidth="1"/>
    <col min="6402" max="6404" width="10.625" style="2980" customWidth="1"/>
    <col min="6405" max="6405" width="12.25" style="2980" customWidth="1"/>
    <col min="6406" max="6407" width="13.875" style="2980" customWidth="1"/>
    <col min="6408" max="6656" width="9" style="2980"/>
    <col min="6657" max="6657" width="13.875" style="2980" customWidth="1"/>
    <col min="6658" max="6660" width="10.625" style="2980" customWidth="1"/>
    <col min="6661" max="6661" width="12.25" style="2980" customWidth="1"/>
    <col min="6662" max="6663" width="13.875" style="2980" customWidth="1"/>
    <col min="6664" max="6912" width="9" style="2980"/>
    <col min="6913" max="6913" width="13.875" style="2980" customWidth="1"/>
    <col min="6914" max="6916" width="10.625" style="2980" customWidth="1"/>
    <col min="6917" max="6917" width="12.25" style="2980" customWidth="1"/>
    <col min="6918" max="6919" width="13.875" style="2980" customWidth="1"/>
    <col min="6920" max="7168" width="9" style="2980"/>
    <col min="7169" max="7169" width="13.875" style="2980" customWidth="1"/>
    <col min="7170" max="7172" width="10.625" style="2980" customWidth="1"/>
    <col min="7173" max="7173" width="12.25" style="2980" customWidth="1"/>
    <col min="7174" max="7175" width="13.875" style="2980" customWidth="1"/>
    <col min="7176" max="7424" width="9" style="2980"/>
    <col min="7425" max="7425" width="13.875" style="2980" customWidth="1"/>
    <col min="7426" max="7428" width="10.625" style="2980" customWidth="1"/>
    <col min="7429" max="7429" width="12.25" style="2980" customWidth="1"/>
    <col min="7430" max="7431" width="13.875" style="2980" customWidth="1"/>
    <col min="7432" max="7680" width="9" style="2980"/>
    <col min="7681" max="7681" width="13.875" style="2980" customWidth="1"/>
    <col min="7682" max="7684" width="10.625" style="2980" customWidth="1"/>
    <col min="7685" max="7685" width="12.25" style="2980" customWidth="1"/>
    <col min="7686" max="7687" width="13.875" style="2980" customWidth="1"/>
    <col min="7688" max="7936" width="9" style="2980"/>
    <col min="7937" max="7937" width="13.875" style="2980" customWidth="1"/>
    <col min="7938" max="7940" width="10.625" style="2980" customWidth="1"/>
    <col min="7941" max="7941" width="12.25" style="2980" customWidth="1"/>
    <col min="7942" max="7943" width="13.875" style="2980" customWidth="1"/>
    <col min="7944" max="8192" width="9" style="2980"/>
    <col min="8193" max="8193" width="13.875" style="2980" customWidth="1"/>
    <col min="8194" max="8196" width="10.625" style="2980" customWidth="1"/>
    <col min="8197" max="8197" width="12.25" style="2980" customWidth="1"/>
    <col min="8198" max="8199" width="13.875" style="2980" customWidth="1"/>
    <col min="8200" max="8448" width="9" style="2980"/>
    <col min="8449" max="8449" width="13.875" style="2980" customWidth="1"/>
    <col min="8450" max="8452" width="10.625" style="2980" customWidth="1"/>
    <col min="8453" max="8453" width="12.25" style="2980" customWidth="1"/>
    <col min="8454" max="8455" width="13.875" style="2980" customWidth="1"/>
    <col min="8456" max="8704" width="9" style="2980"/>
    <col min="8705" max="8705" width="13.875" style="2980" customWidth="1"/>
    <col min="8706" max="8708" width="10.625" style="2980" customWidth="1"/>
    <col min="8709" max="8709" width="12.25" style="2980" customWidth="1"/>
    <col min="8710" max="8711" width="13.875" style="2980" customWidth="1"/>
    <col min="8712" max="8960" width="9" style="2980"/>
    <col min="8961" max="8961" width="13.875" style="2980" customWidth="1"/>
    <col min="8962" max="8964" width="10.625" style="2980" customWidth="1"/>
    <col min="8965" max="8965" width="12.25" style="2980" customWidth="1"/>
    <col min="8966" max="8967" width="13.875" style="2980" customWidth="1"/>
    <col min="8968" max="9216" width="9" style="2980"/>
    <col min="9217" max="9217" width="13.875" style="2980" customWidth="1"/>
    <col min="9218" max="9220" width="10.625" style="2980" customWidth="1"/>
    <col min="9221" max="9221" width="12.25" style="2980" customWidth="1"/>
    <col min="9222" max="9223" width="13.875" style="2980" customWidth="1"/>
    <col min="9224" max="9472" width="9" style="2980"/>
    <col min="9473" max="9473" width="13.875" style="2980" customWidth="1"/>
    <col min="9474" max="9476" width="10.625" style="2980" customWidth="1"/>
    <col min="9477" max="9477" width="12.25" style="2980" customWidth="1"/>
    <col min="9478" max="9479" width="13.875" style="2980" customWidth="1"/>
    <col min="9480" max="9728" width="9" style="2980"/>
    <col min="9729" max="9729" width="13.875" style="2980" customWidth="1"/>
    <col min="9730" max="9732" width="10.625" style="2980" customWidth="1"/>
    <col min="9733" max="9733" width="12.25" style="2980" customWidth="1"/>
    <col min="9734" max="9735" width="13.875" style="2980" customWidth="1"/>
    <col min="9736" max="9984" width="9" style="2980"/>
    <col min="9985" max="9985" width="13.875" style="2980" customWidth="1"/>
    <col min="9986" max="9988" width="10.625" style="2980" customWidth="1"/>
    <col min="9989" max="9989" width="12.25" style="2980" customWidth="1"/>
    <col min="9990" max="9991" width="13.875" style="2980" customWidth="1"/>
    <col min="9992" max="10240" width="9" style="2980"/>
    <col min="10241" max="10241" width="13.875" style="2980" customWidth="1"/>
    <col min="10242" max="10244" width="10.625" style="2980" customWidth="1"/>
    <col min="10245" max="10245" width="12.25" style="2980" customWidth="1"/>
    <col min="10246" max="10247" width="13.875" style="2980" customWidth="1"/>
    <col min="10248" max="10496" width="9" style="2980"/>
    <col min="10497" max="10497" width="13.875" style="2980" customWidth="1"/>
    <col min="10498" max="10500" width="10.625" style="2980" customWidth="1"/>
    <col min="10501" max="10501" width="12.25" style="2980" customWidth="1"/>
    <col min="10502" max="10503" width="13.875" style="2980" customWidth="1"/>
    <col min="10504" max="10752" width="9" style="2980"/>
    <col min="10753" max="10753" width="13.875" style="2980" customWidth="1"/>
    <col min="10754" max="10756" width="10.625" style="2980" customWidth="1"/>
    <col min="10757" max="10757" width="12.25" style="2980" customWidth="1"/>
    <col min="10758" max="10759" width="13.875" style="2980" customWidth="1"/>
    <col min="10760" max="11008" width="9" style="2980"/>
    <col min="11009" max="11009" width="13.875" style="2980" customWidth="1"/>
    <col min="11010" max="11012" width="10.625" style="2980" customWidth="1"/>
    <col min="11013" max="11013" width="12.25" style="2980" customWidth="1"/>
    <col min="11014" max="11015" width="13.875" style="2980" customWidth="1"/>
    <col min="11016" max="11264" width="9" style="2980"/>
    <col min="11265" max="11265" width="13.875" style="2980" customWidth="1"/>
    <col min="11266" max="11268" width="10.625" style="2980" customWidth="1"/>
    <col min="11269" max="11269" width="12.25" style="2980" customWidth="1"/>
    <col min="11270" max="11271" width="13.875" style="2980" customWidth="1"/>
    <col min="11272" max="11520" width="9" style="2980"/>
    <col min="11521" max="11521" width="13.875" style="2980" customWidth="1"/>
    <col min="11522" max="11524" width="10.625" style="2980" customWidth="1"/>
    <col min="11525" max="11525" width="12.25" style="2980" customWidth="1"/>
    <col min="11526" max="11527" width="13.875" style="2980" customWidth="1"/>
    <col min="11528" max="11776" width="9" style="2980"/>
    <col min="11777" max="11777" width="13.875" style="2980" customWidth="1"/>
    <col min="11778" max="11780" width="10.625" style="2980" customWidth="1"/>
    <col min="11781" max="11781" width="12.25" style="2980" customWidth="1"/>
    <col min="11782" max="11783" width="13.875" style="2980" customWidth="1"/>
    <col min="11784" max="12032" width="9" style="2980"/>
    <col min="12033" max="12033" width="13.875" style="2980" customWidth="1"/>
    <col min="12034" max="12036" width="10.625" style="2980" customWidth="1"/>
    <col min="12037" max="12037" width="12.25" style="2980" customWidth="1"/>
    <col min="12038" max="12039" width="13.875" style="2980" customWidth="1"/>
    <col min="12040" max="12288" width="9" style="2980"/>
    <col min="12289" max="12289" width="13.875" style="2980" customWidth="1"/>
    <col min="12290" max="12292" width="10.625" style="2980" customWidth="1"/>
    <col min="12293" max="12293" width="12.25" style="2980" customWidth="1"/>
    <col min="12294" max="12295" width="13.875" style="2980" customWidth="1"/>
    <col min="12296" max="12544" width="9" style="2980"/>
    <col min="12545" max="12545" width="13.875" style="2980" customWidth="1"/>
    <col min="12546" max="12548" width="10.625" style="2980" customWidth="1"/>
    <col min="12549" max="12549" width="12.25" style="2980" customWidth="1"/>
    <col min="12550" max="12551" width="13.875" style="2980" customWidth="1"/>
    <col min="12552" max="12800" width="9" style="2980"/>
    <col min="12801" max="12801" width="13.875" style="2980" customWidth="1"/>
    <col min="12802" max="12804" width="10.625" style="2980" customWidth="1"/>
    <col min="12805" max="12805" width="12.25" style="2980" customWidth="1"/>
    <col min="12806" max="12807" width="13.875" style="2980" customWidth="1"/>
    <col min="12808" max="13056" width="9" style="2980"/>
    <col min="13057" max="13057" width="13.875" style="2980" customWidth="1"/>
    <col min="13058" max="13060" width="10.625" style="2980" customWidth="1"/>
    <col min="13061" max="13061" width="12.25" style="2980" customWidth="1"/>
    <col min="13062" max="13063" width="13.875" style="2980" customWidth="1"/>
    <col min="13064" max="13312" width="9" style="2980"/>
    <col min="13313" max="13313" width="13.875" style="2980" customWidth="1"/>
    <col min="13314" max="13316" width="10.625" style="2980" customWidth="1"/>
    <col min="13317" max="13317" width="12.25" style="2980" customWidth="1"/>
    <col min="13318" max="13319" width="13.875" style="2980" customWidth="1"/>
    <col min="13320" max="13568" width="9" style="2980"/>
    <col min="13569" max="13569" width="13.875" style="2980" customWidth="1"/>
    <col min="13570" max="13572" width="10.625" style="2980" customWidth="1"/>
    <col min="13573" max="13573" width="12.25" style="2980" customWidth="1"/>
    <col min="13574" max="13575" width="13.875" style="2980" customWidth="1"/>
    <col min="13576" max="13824" width="9" style="2980"/>
    <col min="13825" max="13825" width="13.875" style="2980" customWidth="1"/>
    <col min="13826" max="13828" width="10.625" style="2980" customWidth="1"/>
    <col min="13829" max="13829" width="12.25" style="2980" customWidth="1"/>
    <col min="13830" max="13831" width="13.875" style="2980" customWidth="1"/>
    <col min="13832" max="14080" width="9" style="2980"/>
    <col min="14081" max="14081" width="13.875" style="2980" customWidth="1"/>
    <col min="14082" max="14084" width="10.625" style="2980" customWidth="1"/>
    <col min="14085" max="14085" width="12.25" style="2980" customWidth="1"/>
    <col min="14086" max="14087" width="13.875" style="2980" customWidth="1"/>
    <col min="14088" max="14336" width="9" style="2980"/>
    <col min="14337" max="14337" width="13.875" style="2980" customWidth="1"/>
    <col min="14338" max="14340" width="10.625" style="2980" customWidth="1"/>
    <col min="14341" max="14341" width="12.25" style="2980" customWidth="1"/>
    <col min="14342" max="14343" width="13.875" style="2980" customWidth="1"/>
    <col min="14344" max="14592" width="9" style="2980"/>
    <col min="14593" max="14593" width="13.875" style="2980" customWidth="1"/>
    <col min="14594" max="14596" width="10.625" style="2980" customWidth="1"/>
    <col min="14597" max="14597" width="12.25" style="2980" customWidth="1"/>
    <col min="14598" max="14599" width="13.875" style="2980" customWidth="1"/>
    <col min="14600" max="14848" width="9" style="2980"/>
    <col min="14849" max="14849" width="13.875" style="2980" customWidth="1"/>
    <col min="14850" max="14852" width="10.625" style="2980" customWidth="1"/>
    <col min="14853" max="14853" width="12.25" style="2980" customWidth="1"/>
    <col min="14854" max="14855" width="13.875" style="2980" customWidth="1"/>
    <col min="14856" max="15104" width="9" style="2980"/>
    <col min="15105" max="15105" width="13.875" style="2980" customWidth="1"/>
    <col min="15106" max="15108" width="10.625" style="2980" customWidth="1"/>
    <col min="15109" max="15109" width="12.25" style="2980" customWidth="1"/>
    <col min="15110" max="15111" width="13.875" style="2980" customWidth="1"/>
    <col min="15112" max="15360" width="9" style="2980"/>
    <col min="15361" max="15361" width="13.875" style="2980" customWidth="1"/>
    <col min="15362" max="15364" width="10.625" style="2980" customWidth="1"/>
    <col min="15365" max="15365" width="12.25" style="2980" customWidth="1"/>
    <col min="15366" max="15367" width="13.875" style="2980" customWidth="1"/>
    <col min="15368" max="15616" width="9" style="2980"/>
    <col min="15617" max="15617" width="13.875" style="2980" customWidth="1"/>
    <col min="15618" max="15620" width="10.625" style="2980" customWidth="1"/>
    <col min="15621" max="15621" width="12.25" style="2980" customWidth="1"/>
    <col min="15622" max="15623" width="13.875" style="2980" customWidth="1"/>
    <col min="15624" max="15872" width="9" style="2980"/>
    <col min="15873" max="15873" width="13.875" style="2980" customWidth="1"/>
    <col min="15874" max="15876" width="10.625" style="2980" customWidth="1"/>
    <col min="15877" max="15877" width="12.25" style="2980" customWidth="1"/>
    <col min="15878" max="15879" width="13.875" style="2980" customWidth="1"/>
    <col min="15880" max="16128" width="9" style="2980"/>
    <col min="16129" max="16129" width="13.875" style="2980" customWidth="1"/>
    <col min="16130" max="16132" width="10.625" style="2980" customWidth="1"/>
    <col min="16133" max="16133" width="12.25" style="2980" customWidth="1"/>
    <col min="16134" max="16135" width="13.875" style="2980" customWidth="1"/>
    <col min="16136" max="16384" width="9" style="2980"/>
  </cols>
  <sheetData>
    <row r="1" spans="1:7">
      <c r="A1" s="2980" t="s">
        <v>3125</v>
      </c>
      <c r="B1" s="2980" t="s">
        <v>3126</v>
      </c>
      <c r="C1" s="2980" t="s">
        <v>3127</v>
      </c>
      <c r="D1" s="2980" t="s">
        <v>3128</v>
      </c>
      <c r="E1" s="2980" t="s">
        <v>3129</v>
      </c>
      <c r="F1" s="2980" t="s">
        <v>3130</v>
      </c>
      <c r="G1" s="2980" t="s">
        <v>3131</v>
      </c>
    </row>
    <row r="2" spans="1:7">
      <c r="A2" s="2980" t="s">
        <v>3132</v>
      </c>
      <c r="B2" s="2980">
        <v>11</v>
      </c>
      <c r="C2" s="2980">
        <v>1027</v>
      </c>
      <c r="D2" s="2980">
        <v>49741</v>
      </c>
      <c r="E2" s="2980">
        <v>5107.45</v>
      </c>
      <c r="F2" s="2980" t="s">
        <v>1326</v>
      </c>
      <c r="G2" s="2980" t="s">
        <v>1326</v>
      </c>
    </row>
    <row r="3" spans="1:7">
      <c r="A3" s="2980" t="s">
        <v>3133</v>
      </c>
      <c r="B3" s="2980">
        <v>7</v>
      </c>
      <c r="C3" s="2980">
        <v>676</v>
      </c>
      <c r="D3" s="2980">
        <v>51522</v>
      </c>
      <c r="E3" s="2980">
        <v>3482.55</v>
      </c>
      <c r="F3" s="2980" t="s">
        <v>1326</v>
      </c>
      <c r="G3" s="2980" t="s">
        <v>1326</v>
      </c>
    </row>
    <row r="4" spans="1:7">
      <c r="A4" s="2980" t="s">
        <v>3134</v>
      </c>
      <c r="B4" s="2980">
        <v>22</v>
      </c>
      <c r="C4" s="2980">
        <v>2125</v>
      </c>
      <c r="D4" s="2980">
        <v>51159</v>
      </c>
      <c r="E4" s="2980">
        <v>10868.76</v>
      </c>
      <c r="F4" s="2980" t="s">
        <v>1326</v>
      </c>
      <c r="G4" s="2980" t="s">
        <v>1326</v>
      </c>
    </row>
    <row r="5" spans="1:7">
      <c r="A5" s="2980" t="s">
        <v>3135</v>
      </c>
      <c r="B5" s="2980">
        <v>8</v>
      </c>
      <c r="C5" s="2980">
        <v>789</v>
      </c>
      <c r="D5" s="2980">
        <v>51555</v>
      </c>
      <c r="E5" s="2980">
        <v>4068.25</v>
      </c>
      <c r="F5" s="2980" t="s">
        <v>1326</v>
      </c>
      <c r="G5" s="2980" t="s">
        <v>1326</v>
      </c>
    </row>
    <row r="6" spans="1:7">
      <c r="A6" s="2980" t="s">
        <v>3136</v>
      </c>
      <c r="B6" s="2980">
        <v>7</v>
      </c>
      <c r="C6" s="2980">
        <v>642</v>
      </c>
      <c r="D6" s="2980">
        <v>50091</v>
      </c>
      <c r="E6" s="2980">
        <v>3217.3</v>
      </c>
      <c r="F6" s="2980" t="s">
        <v>1326</v>
      </c>
      <c r="G6" s="2980" t="s">
        <v>1326</v>
      </c>
    </row>
    <row r="7" spans="1:7">
      <c r="A7" s="2980" t="s">
        <v>3137</v>
      </c>
      <c r="B7" s="2980">
        <v>5</v>
      </c>
      <c r="C7" s="2980">
        <v>470</v>
      </c>
      <c r="D7" s="2980">
        <v>50869</v>
      </c>
      <c r="E7" s="2980">
        <v>2391.77</v>
      </c>
      <c r="F7" s="2980" t="s">
        <v>1326</v>
      </c>
      <c r="G7" s="2980" t="s">
        <v>1326</v>
      </c>
    </row>
    <row r="8" spans="1:7">
      <c r="A8" s="2980" t="s">
        <v>3138</v>
      </c>
      <c r="B8" s="2980">
        <v>8</v>
      </c>
      <c r="C8" s="2980">
        <v>718</v>
      </c>
      <c r="D8" s="2980">
        <v>48924</v>
      </c>
      <c r="E8" s="2980">
        <v>3510.82</v>
      </c>
      <c r="F8" s="2980" t="s">
        <v>1326</v>
      </c>
      <c r="G8" s="2980" t="s">
        <v>1326</v>
      </c>
    </row>
    <row r="9" spans="1:7">
      <c r="A9" s="2980" t="s">
        <v>3139</v>
      </c>
      <c r="B9" s="2980">
        <v>22</v>
      </c>
      <c r="C9" s="2980">
        <v>2014</v>
      </c>
      <c r="D9" s="2980">
        <v>50375</v>
      </c>
      <c r="E9" s="2980">
        <v>10146.92</v>
      </c>
      <c r="F9" s="2980" t="s">
        <v>1326</v>
      </c>
      <c r="G9" s="2980" t="s">
        <v>1326</v>
      </c>
    </row>
    <row r="10" spans="1:7">
      <c r="A10" s="2980" t="s">
        <v>3140</v>
      </c>
      <c r="B10" s="2980">
        <v>25</v>
      </c>
      <c r="C10" s="2980">
        <v>2329</v>
      </c>
      <c r="D10" s="2980">
        <v>50180</v>
      </c>
      <c r="E10" s="2980">
        <v>11687.85</v>
      </c>
      <c r="F10" s="2980" t="s">
        <v>1326</v>
      </c>
      <c r="G10" s="2980" t="s">
        <v>1326</v>
      </c>
    </row>
    <row r="11" spans="1:7">
      <c r="A11" s="2980" t="s">
        <v>3141</v>
      </c>
      <c r="B11" s="2980">
        <v>20</v>
      </c>
      <c r="C11" s="2980">
        <v>1892</v>
      </c>
      <c r="D11" s="2980">
        <v>50627</v>
      </c>
      <c r="E11" s="2980">
        <v>9578.56</v>
      </c>
      <c r="F11" s="2980" t="s">
        <v>1326</v>
      </c>
      <c r="G11" s="2980" t="s">
        <v>1326</v>
      </c>
    </row>
    <row r="12" spans="1:7">
      <c r="A12" s="2980" t="s">
        <v>3142</v>
      </c>
      <c r="B12" s="2980">
        <v>23</v>
      </c>
      <c r="C12" s="2980">
        <v>2180</v>
      </c>
      <c r="D12" s="2980">
        <v>51029</v>
      </c>
      <c r="E12" s="2980">
        <v>11126.03</v>
      </c>
      <c r="F12" s="2980" t="s">
        <v>1326</v>
      </c>
      <c r="G12" s="2980" t="s">
        <v>1326</v>
      </c>
    </row>
    <row r="13" spans="1:7">
      <c r="A13" s="2980" t="s">
        <v>3143</v>
      </c>
      <c r="B13" s="2980">
        <v>21</v>
      </c>
      <c r="C13" s="2980">
        <v>1894</v>
      </c>
      <c r="D13" s="2980">
        <v>50748</v>
      </c>
      <c r="E13" s="2980">
        <v>9612.1</v>
      </c>
      <c r="F13" s="2980" t="s">
        <v>1326</v>
      </c>
      <c r="G13" s="2980" t="s">
        <v>1326</v>
      </c>
    </row>
    <row r="14" spans="1:7">
      <c r="A14" s="2980" t="s">
        <v>3144</v>
      </c>
      <c r="B14" s="2980">
        <v>33</v>
      </c>
      <c r="C14" s="2980">
        <v>3004</v>
      </c>
      <c r="D14" s="2980">
        <v>50816</v>
      </c>
      <c r="E14" s="2980">
        <v>15267.58</v>
      </c>
      <c r="F14" s="2980" t="s">
        <v>1326</v>
      </c>
      <c r="G14" s="2980" t="s">
        <v>1326</v>
      </c>
    </row>
    <row r="15" spans="1:7">
      <c r="A15" s="2980" t="s">
        <v>3145</v>
      </c>
      <c r="B15" s="2980">
        <v>20</v>
      </c>
      <c r="C15" s="2980">
        <v>1785</v>
      </c>
      <c r="D15" s="2980">
        <v>52394</v>
      </c>
      <c r="E15" s="2980">
        <v>9351.14</v>
      </c>
      <c r="F15" s="2980" t="s">
        <v>1326</v>
      </c>
      <c r="G15" s="2980" t="s">
        <v>1326</v>
      </c>
    </row>
    <row r="16" spans="1:7">
      <c r="A16" s="2980" t="s">
        <v>3146</v>
      </c>
      <c r="B16" s="2980">
        <v>23</v>
      </c>
      <c r="C16" s="2980">
        <v>1909</v>
      </c>
      <c r="D16" s="2980">
        <v>53022</v>
      </c>
      <c r="E16" s="2980">
        <v>10124.15</v>
      </c>
      <c r="F16" s="2980" t="s">
        <v>1326</v>
      </c>
      <c r="G16" s="2980" t="s">
        <v>1326</v>
      </c>
    </row>
    <row r="17" spans="1:7">
      <c r="A17" s="2980" t="s">
        <v>3147</v>
      </c>
      <c r="B17" s="2980">
        <v>31</v>
      </c>
      <c r="C17" s="2980">
        <v>2378</v>
      </c>
      <c r="D17" s="2980">
        <v>53073</v>
      </c>
      <c r="E17" s="2980">
        <v>12622.59</v>
      </c>
      <c r="F17" s="2980" t="s">
        <v>1326</v>
      </c>
      <c r="G17" s="2980" t="s">
        <v>1326</v>
      </c>
    </row>
    <row r="18" spans="1:7">
      <c r="A18" s="2980" t="s">
        <v>3148</v>
      </c>
      <c r="B18" s="2980">
        <v>24</v>
      </c>
      <c r="C18" s="2980">
        <v>1610</v>
      </c>
      <c r="D18" s="2980">
        <v>53096</v>
      </c>
      <c r="E18" s="2980">
        <v>8551.02</v>
      </c>
      <c r="F18" s="2980" t="s">
        <v>1326</v>
      </c>
      <c r="G18" s="2980" t="s">
        <v>1326</v>
      </c>
    </row>
    <row r="19" spans="1:7">
      <c r="A19" s="2980" t="s">
        <v>3149</v>
      </c>
      <c r="B19" s="2980">
        <v>6</v>
      </c>
      <c r="C19" s="2980">
        <v>420</v>
      </c>
      <c r="D19" s="2980">
        <v>53563</v>
      </c>
      <c r="E19" s="2980">
        <v>2251.63</v>
      </c>
      <c r="F19" s="2980" t="s">
        <v>1326</v>
      </c>
      <c r="G19" s="2980" t="s">
        <v>1326</v>
      </c>
    </row>
    <row r="20" spans="1:7">
      <c r="A20" s="2980" t="s">
        <v>3150</v>
      </c>
      <c r="B20" s="2980">
        <v>316</v>
      </c>
      <c r="C20" s="2980">
        <v>27864</v>
      </c>
      <c r="D20" s="2980">
        <v>51308</v>
      </c>
      <c r="E20" s="2980">
        <v>142966.49</v>
      </c>
      <c r="F20" s="2980" t="s">
        <v>1326</v>
      </c>
      <c r="G20" s="2980" t="s">
        <v>1326</v>
      </c>
    </row>
    <row r="23" spans="1:7">
      <c r="A23" s="2981" t="s">
        <v>3151</v>
      </c>
      <c r="B23" s="2980">
        <f>SUM(B9:B19)</f>
        <v>248</v>
      </c>
      <c r="C23" s="2980">
        <f>SUM(C9:C19)</f>
        <v>21415</v>
      </c>
      <c r="D23" s="2982">
        <f>ROUND(E23*10000/C23,0)</f>
        <v>51515</v>
      </c>
      <c r="E23" s="2980">
        <f>SUM(E9:E19)</f>
        <v>110319.56999999999</v>
      </c>
    </row>
  </sheetData>
  <phoneticPr fontId="143"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15"/>
  <sheetViews>
    <sheetView workbookViewId="0"/>
  </sheetViews>
  <sheetFormatPr defaultRowHeight="12.75"/>
  <cols>
    <col min="1" max="16384" width="9" style="2980"/>
  </cols>
  <sheetData>
    <row r="1" spans="1:10">
      <c r="A1" s="2980" t="s">
        <v>3125</v>
      </c>
      <c r="B1" s="2980" t="s">
        <v>3155</v>
      </c>
      <c r="C1" s="2980" t="s">
        <v>3156</v>
      </c>
      <c r="D1" s="2980" t="s">
        <v>3157</v>
      </c>
      <c r="E1" s="2980" t="s">
        <v>3158</v>
      </c>
      <c r="F1" s="2980" t="s">
        <v>3159</v>
      </c>
      <c r="G1" s="2980" t="s">
        <v>3160</v>
      </c>
      <c r="H1" s="2980" t="s">
        <v>3127</v>
      </c>
      <c r="I1" s="2980" t="s">
        <v>3129</v>
      </c>
      <c r="J1" s="2980" t="s">
        <v>3161</v>
      </c>
    </row>
    <row r="2" spans="1:10">
      <c r="A2" s="2980" t="s">
        <v>3162</v>
      </c>
      <c r="B2" s="2980" t="s">
        <v>3163</v>
      </c>
      <c r="C2" s="2980" t="s">
        <v>1326</v>
      </c>
      <c r="D2" s="2980" t="s">
        <v>3164</v>
      </c>
      <c r="E2" s="2980" t="s">
        <v>3165</v>
      </c>
      <c r="F2" s="2980" t="s">
        <v>3166</v>
      </c>
      <c r="G2" s="2980" t="s">
        <v>3167</v>
      </c>
      <c r="H2" s="2980" t="s">
        <v>3168</v>
      </c>
      <c r="I2" s="2980" t="s">
        <v>3169</v>
      </c>
      <c r="J2" s="2980" t="s">
        <v>3170</v>
      </c>
    </row>
    <row r="3" spans="1:10">
      <c r="A3" s="2980" t="s">
        <v>3162</v>
      </c>
      <c r="B3" s="2980" t="s">
        <v>3171</v>
      </c>
      <c r="C3" s="2980" t="s">
        <v>1326</v>
      </c>
      <c r="D3" s="2980" t="s">
        <v>3172</v>
      </c>
      <c r="E3" s="2980" t="s">
        <v>3165</v>
      </c>
      <c r="F3" s="2980" t="s">
        <v>3166</v>
      </c>
      <c r="G3" s="2980" t="s">
        <v>3167</v>
      </c>
      <c r="H3" s="2980" t="s">
        <v>3173</v>
      </c>
      <c r="I3" s="2980" t="s">
        <v>3174</v>
      </c>
      <c r="J3" s="2980" t="s">
        <v>3175</v>
      </c>
    </row>
    <row r="4" spans="1:10">
      <c r="A4" s="2980" t="s">
        <v>3176</v>
      </c>
      <c r="B4" s="2980" t="s">
        <v>3171</v>
      </c>
      <c r="C4" s="2980" t="s">
        <v>1326</v>
      </c>
      <c r="D4" s="2980" t="s">
        <v>3177</v>
      </c>
      <c r="E4" s="2980" t="s">
        <v>3165</v>
      </c>
      <c r="F4" s="2980" t="s">
        <v>3166</v>
      </c>
      <c r="G4" s="2980" t="s">
        <v>3167</v>
      </c>
      <c r="H4" s="2980" t="s">
        <v>3173</v>
      </c>
      <c r="I4" s="2980" t="s">
        <v>3178</v>
      </c>
      <c r="J4" s="2980" t="s">
        <v>3179</v>
      </c>
    </row>
    <row r="5" spans="1:10">
      <c r="A5" s="2980" t="s">
        <v>3180</v>
      </c>
      <c r="B5" s="2980" t="s">
        <v>3163</v>
      </c>
      <c r="C5" s="2980" t="s">
        <v>1326</v>
      </c>
      <c r="D5" s="2980" t="s">
        <v>3181</v>
      </c>
      <c r="E5" s="2980" t="s">
        <v>3165</v>
      </c>
      <c r="F5" s="2980" t="s">
        <v>3166</v>
      </c>
      <c r="G5" s="2980" t="s">
        <v>3182</v>
      </c>
      <c r="H5" s="2980" t="s">
        <v>3183</v>
      </c>
      <c r="I5" s="2980" t="s">
        <v>3184</v>
      </c>
      <c r="J5" s="2980" t="s">
        <v>3185</v>
      </c>
    </row>
    <row r="6" spans="1:10">
      <c r="A6" s="2980" t="s">
        <v>3180</v>
      </c>
      <c r="B6" s="2980" t="s">
        <v>3171</v>
      </c>
      <c r="C6" s="2980" t="s">
        <v>1326</v>
      </c>
      <c r="D6" s="2980" t="s">
        <v>3186</v>
      </c>
      <c r="E6" s="2980" t="s">
        <v>3165</v>
      </c>
      <c r="F6" s="2980" t="s">
        <v>3166</v>
      </c>
      <c r="G6" s="2980" t="s">
        <v>3167</v>
      </c>
      <c r="H6" s="2980" t="s">
        <v>3173</v>
      </c>
      <c r="I6" s="2980" t="s">
        <v>3178</v>
      </c>
      <c r="J6" s="2980" t="s">
        <v>3179</v>
      </c>
    </row>
    <row r="7" spans="1:10">
      <c r="A7" s="2980" t="s">
        <v>3187</v>
      </c>
      <c r="B7" s="2980" t="s">
        <v>3163</v>
      </c>
      <c r="C7" s="2980" t="s">
        <v>1326</v>
      </c>
      <c r="D7" s="2980" t="s">
        <v>3188</v>
      </c>
      <c r="E7" s="2980" t="s">
        <v>3165</v>
      </c>
      <c r="F7" s="2980" t="s">
        <v>3166</v>
      </c>
      <c r="G7" s="2980" t="s">
        <v>3182</v>
      </c>
      <c r="H7" s="2980" t="s">
        <v>3183</v>
      </c>
      <c r="I7" s="2980" t="s">
        <v>3189</v>
      </c>
      <c r="J7" s="2980" t="s">
        <v>3190</v>
      </c>
    </row>
    <row r="8" spans="1:10">
      <c r="A8" s="2980" t="s">
        <v>3191</v>
      </c>
      <c r="B8" s="2980" t="s">
        <v>3171</v>
      </c>
      <c r="C8" s="2980" t="s">
        <v>1326</v>
      </c>
      <c r="D8" s="2980" t="s">
        <v>3192</v>
      </c>
      <c r="E8" s="2980" t="s">
        <v>3165</v>
      </c>
      <c r="F8" s="2980" t="s">
        <v>3166</v>
      </c>
      <c r="G8" s="2980" t="s">
        <v>3167</v>
      </c>
      <c r="H8" s="2980" t="s">
        <v>3168</v>
      </c>
      <c r="I8" s="2980" t="s">
        <v>3193</v>
      </c>
      <c r="J8" s="2980" t="s">
        <v>3194</v>
      </c>
    </row>
    <row r="9" spans="1:10">
      <c r="A9" s="2980" t="s">
        <v>3191</v>
      </c>
      <c r="B9" s="2980" t="s">
        <v>3171</v>
      </c>
      <c r="C9" s="2980" t="s">
        <v>1326</v>
      </c>
      <c r="D9" s="2980" t="s">
        <v>3195</v>
      </c>
      <c r="E9" s="2980" t="s">
        <v>3165</v>
      </c>
      <c r="F9" s="2980" t="s">
        <v>3166</v>
      </c>
      <c r="G9" s="2980" t="s">
        <v>3167</v>
      </c>
      <c r="H9" s="2980" t="s">
        <v>3173</v>
      </c>
      <c r="I9" s="2980" t="s">
        <v>3196</v>
      </c>
      <c r="J9" s="2980" t="s">
        <v>3197</v>
      </c>
    </row>
    <row r="10" spans="1:10">
      <c r="A10" s="2980" t="s">
        <v>3198</v>
      </c>
      <c r="B10" s="2980" t="s">
        <v>3171</v>
      </c>
      <c r="C10" s="2980" t="s">
        <v>1326</v>
      </c>
      <c r="D10" s="2980" t="s">
        <v>3199</v>
      </c>
      <c r="E10" s="2980" t="s">
        <v>3165</v>
      </c>
      <c r="F10" s="2980" t="s">
        <v>3166</v>
      </c>
      <c r="G10" s="2980" t="s">
        <v>3167</v>
      </c>
      <c r="H10" s="2980" t="s">
        <v>3173</v>
      </c>
      <c r="I10" s="2980" t="s">
        <v>3200</v>
      </c>
      <c r="J10" s="2980" t="s">
        <v>3201</v>
      </c>
    </row>
    <row r="11" spans="1:10">
      <c r="A11" s="2980" t="s">
        <v>3198</v>
      </c>
      <c r="B11" s="2980" t="s">
        <v>3163</v>
      </c>
      <c r="C11" s="2980" t="s">
        <v>1326</v>
      </c>
      <c r="D11" s="2980" t="s">
        <v>3202</v>
      </c>
      <c r="E11" s="2980" t="s">
        <v>3165</v>
      </c>
      <c r="F11" s="2980" t="s">
        <v>3166</v>
      </c>
      <c r="G11" s="2980" t="s">
        <v>3182</v>
      </c>
      <c r="H11" s="2980" t="s">
        <v>3183</v>
      </c>
      <c r="I11" s="2980" t="s">
        <v>3203</v>
      </c>
      <c r="J11" s="2980" t="s">
        <v>3204</v>
      </c>
    </row>
    <row r="12" spans="1:10">
      <c r="A12" s="2980" t="s">
        <v>3205</v>
      </c>
      <c r="B12" s="2980" t="s">
        <v>3163</v>
      </c>
      <c r="C12" s="2980" t="s">
        <v>1326</v>
      </c>
      <c r="D12" s="2980" t="s">
        <v>3206</v>
      </c>
      <c r="E12" s="2980" t="s">
        <v>3165</v>
      </c>
      <c r="F12" s="2980" t="s">
        <v>3166</v>
      </c>
      <c r="G12" s="2980" t="s">
        <v>3182</v>
      </c>
      <c r="H12" s="2980" t="s">
        <v>3183</v>
      </c>
      <c r="I12" s="2980" t="s">
        <v>3207</v>
      </c>
      <c r="J12" s="2980" t="s">
        <v>3208</v>
      </c>
    </row>
    <row r="13" spans="1:10">
      <c r="A13" s="2980" t="s">
        <v>3209</v>
      </c>
      <c r="B13" s="2980" t="s">
        <v>3163</v>
      </c>
      <c r="C13" s="2980" t="s">
        <v>1326</v>
      </c>
      <c r="D13" s="2980" t="s">
        <v>3210</v>
      </c>
      <c r="E13" s="2980" t="s">
        <v>3165</v>
      </c>
      <c r="F13" s="2980" t="s">
        <v>3166</v>
      </c>
      <c r="G13" s="2980" t="s">
        <v>3182</v>
      </c>
      <c r="H13" s="2980" t="s">
        <v>3211</v>
      </c>
      <c r="I13" s="2980" t="s">
        <v>3212</v>
      </c>
      <c r="J13" s="2980" t="s">
        <v>3213</v>
      </c>
    </row>
    <row r="14" spans="1:10">
      <c r="A14" s="2980" t="s">
        <v>3214</v>
      </c>
      <c r="B14" s="2980" t="s">
        <v>3171</v>
      </c>
      <c r="C14" s="2980" t="s">
        <v>1326</v>
      </c>
      <c r="D14" s="2980" t="s">
        <v>3215</v>
      </c>
      <c r="E14" s="2980" t="s">
        <v>3165</v>
      </c>
      <c r="F14" s="2980" t="s">
        <v>3166</v>
      </c>
      <c r="G14" s="2980" t="s">
        <v>3167</v>
      </c>
      <c r="H14" s="2980" t="s">
        <v>3168</v>
      </c>
      <c r="I14" s="2980" t="s">
        <v>3216</v>
      </c>
      <c r="J14" s="2980" t="s">
        <v>3217</v>
      </c>
    </row>
    <row r="15" spans="1:10">
      <c r="A15" s="2980" t="s">
        <v>3214</v>
      </c>
      <c r="B15" s="2980" t="s">
        <v>3163</v>
      </c>
      <c r="C15" s="2980" t="s">
        <v>1326</v>
      </c>
      <c r="D15" s="2980" t="s">
        <v>3218</v>
      </c>
      <c r="E15" s="2980" t="s">
        <v>3165</v>
      </c>
      <c r="F15" s="2980" t="s">
        <v>3166</v>
      </c>
      <c r="G15" s="2980" t="s">
        <v>3182</v>
      </c>
      <c r="H15" s="2980" t="s">
        <v>3211</v>
      </c>
      <c r="I15" s="2980" t="s">
        <v>3219</v>
      </c>
      <c r="J15" s="2980" t="s">
        <v>3220</v>
      </c>
    </row>
  </sheetData>
  <phoneticPr fontId="143"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49"/>
  <sheetViews>
    <sheetView workbookViewId="0">
      <selection activeCell="I2" sqref="I2"/>
    </sheetView>
  </sheetViews>
  <sheetFormatPr defaultRowHeight="12.75"/>
  <cols>
    <col min="1" max="16384" width="9" style="2980"/>
  </cols>
  <sheetData>
    <row r="1" spans="1:10">
      <c r="A1" s="2980" t="s">
        <v>3125</v>
      </c>
      <c r="B1" s="2980" t="s">
        <v>3155</v>
      </c>
      <c r="C1" s="2980" t="s">
        <v>3156</v>
      </c>
      <c r="D1" s="2980" t="s">
        <v>3157</v>
      </c>
      <c r="E1" s="2980" t="s">
        <v>3158</v>
      </c>
      <c r="F1" s="2980" t="s">
        <v>3159</v>
      </c>
      <c r="G1" s="2980" t="s">
        <v>3160</v>
      </c>
      <c r="H1" s="2980" t="s">
        <v>3127</v>
      </c>
      <c r="I1" s="2980" t="s">
        <v>3129</v>
      </c>
      <c r="J1" s="2980" t="s">
        <v>3161</v>
      </c>
    </row>
    <row r="2" spans="1:10">
      <c r="A2" s="2980" t="s">
        <v>3221</v>
      </c>
      <c r="B2" s="2980" t="s">
        <v>3222</v>
      </c>
      <c r="C2" s="2980" t="s">
        <v>1326</v>
      </c>
      <c r="D2" s="2980" t="s">
        <v>3223</v>
      </c>
      <c r="E2" s="2980" t="s">
        <v>3224</v>
      </c>
      <c r="F2" s="2980" t="s">
        <v>3166</v>
      </c>
      <c r="G2" s="2980" t="s">
        <v>3182</v>
      </c>
      <c r="H2" s="2980" t="s">
        <v>3183</v>
      </c>
      <c r="I2" s="2980" t="s">
        <v>3225</v>
      </c>
      <c r="J2" s="2980" t="s">
        <v>3226</v>
      </c>
    </row>
    <row r="3" spans="1:10">
      <c r="A3" s="2980" t="s">
        <v>3221</v>
      </c>
      <c r="B3" s="2980" t="s">
        <v>3222</v>
      </c>
      <c r="C3" s="2980" t="s">
        <v>1326</v>
      </c>
      <c r="D3" s="2980" t="s">
        <v>3227</v>
      </c>
      <c r="E3" s="2980" t="s">
        <v>3224</v>
      </c>
      <c r="F3" s="2980" t="s">
        <v>3166</v>
      </c>
      <c r="G3" s="2980" t="s">
        <v>3182</v>
      </c>
      <c r="H3" s="2980" t="s">
        <v>3183</v>
      </c>
      <c r="I3" s="2980" t="s">
        <v>3228</v>
      </c>
      <c r="J3" s="2980" t="s">
        <v>3229</v>
      </c>
    </row>
    <row r="4" spans="1:10">
      <c r="A4" s="2980" t="s">
        <v>3221</v>
      </c>
      <c r="B4" s="2980" t="s">
        <v>3230</v>
      </c>
      <c r="C4" s="2980" t="s">
        <v>1326</v>
      </c>
      <c r="D4" s="2980" t="s">
        <v>3231</v>
      </c>
      <c r="E4" s="2980" t="s">
        <v>3224</v>
      </c>
      <c r="F4" s="2980" t="s">
        <v>3166</v>
      </c>
      <c r="G4" s="2980" t="s">
        <v>3182</v>
      </c>
      <c r="H4" s="2980" t="s">
        <v>3183</v>
      </c>
      <c r="I4" s="2980" t="s">
        <v>3232</v>
      </c>
      <c r="J4" s="2980" t="s">
        <v>3233</v>
      </c>
    </row>
    <row r="5" spans="1:10">
      <c r="A5" s="2980" t="s">
        <v>3234</v>
      </c>
      <c r="B5" s="2980" t="s">
        <v>3222</v>
      </c>
      <c r="C5" s="2980" t="s">
        <v>1326</v>
      </c>
      <c r="D5" s="2980" t="s">
        <v>3235</v>
      </c>
      <c r="E5" s="2980" t="s">
        <v>3224</v>
      </c>
      <c r="F5" s="2980" t="s">
        <v>3166</v>
      </c>
      <c r="G5" s="2980" t="s">
        <v>3182</v>
      </c>
      <c r="H5" s="2980" t="s">
        <v>3183</v>
      </c>
      <c r="I5" s="2980" t="s">
        <v>3225</v>
      </c>
      <c r="J5" s="2980" t="s">
        <v>3226</v>
      </c>
    </row>
    <row r="6" spans="1:10">
      <c r="A6" s="2980" t="s">
        <v>3234</v>
      </c>
      <c r="B6" s="2980" t="s">
        <v>3230</v>
      </c>
      <c r="C6" s="2980" t="s">
        <v>1326</v>
      </c>
      <c r="D6" s="2980" t="s">
        <v>3236</v>
      </c>
      <c r="E6" s="2980" t="s">
        <v>3224</v>
      </c>
      <c r="F6" s="2980" t="s">
        <v>3166</v>
      </c>
      <c r="G6" s="2980" t="s">
        <v>3182</v>
      </c>
      <c r="H6" s="2980" t="s">
        <v>3183</v>
      </c>
      <c r="I6" s="2980" t="s">
        <v>3237</v>
      </c>
      <c r="J6" s="2980" t="s">
        <v>3226</v>
      </c>
    </row>
    <row r="7" spans="1:10">
      <c r="A7" s="2980" t="s">
        <v>3234</v>
      </c>
      <c r="B7" s="2980" t="s">
        <v>3238</v>
      </c>
      <c r="C7" s="2980" t="s">
        <v>1326</v>
      </c>
      <c r="D7" s="2980" t="s">
        <v>3239</v>
      </c>
      <c r="E7" s="2980" t="s">
        <v>3224</v>
      </c>
      <c r="F7" s="2980" t="s">
        <v>3166</v>
      </c>
      <c r="G7" s="2980" t="s">
        <v>3182</v>
      </c>
      <c r="H7" s="2980" t="s">
        <v>3183</v>
      </c>
      <c r="I7" s="2980" t="s">
        <v>3240</v>
      </c>
      <c r="J7" s="2980" t="s">
        <v>3241</v>
      </c>
    </row>
    <row r="8" spans="1:10">
      <c r="A8" s="2980" t="s">
        <v>3242</v>
      </c>
      <c r="B8" s="2980" t="s">
        <v>3243</v>
      </c>
      <c r="C8" s="2980" t="s">
        <v>1326</v>
      </c>
      <c r="D8" s="2980" t="s">
        <v>3244</v>
      </c>
      <c r="E8" s="2980" t="s">
        <v>3224</v>
      </c>
      <c r="F8" s="2980" t="s">
        <v>3166</v>
      </c>
      <c r="G8" s="2980" t="s">
        <v>3182</v>
      </c>
      <c r="H8" s="2980" t="s">
        <v>3183</v>
      </c>
      <c r="I8" s="2980" t="s">
        <v>3245</v>
      </c>
      <c r="J8" s="2980" t="s">
        <v>3246</v>
      </c>
    </row>
    <row r="9" spans="1:10">
      <c r="A9" s="2980" t="s">
        <v>3247</v>
      </c>
      <c r="B9" s="2980" t="s">
        <v>3163</v>
      </c>
      <c r="C9" s="2980" t="s">
        <v>1326</v>
      </c>
      <c r="D9" s="2980" t="s">
        <v>3235</v>
      </c>
      <c r="E9" s="2980" t="s">
        <v>3224</v>
      </c>
      <c r="F9" s="2980" t="s">
        <v>3166</v>
      </c>
      <c r="G9" s="2980" t="s">
        <v>3182</v>
      </c>
      <c r="H9" s="2980" t="s">
        <v>3248</v>
      </c>
      <c r="I9" s="2980" t="s">
        <v>3249</v>
      </c>
      <c r="J9" s="2980" t="s">
        <v>3250</v>
      </c>
    </row>
    <row r="10" spans="1:10">
      <c r="A10" s="2980" t="s">
        <v>3251</v>
      </c>
      <c r="B10" s="2980" t="s">
        <v>3252</v>
      </c>
      <c r="C10" s="2980" t="s">
        <v>1326</v>
      </c>
      <c r="D10" s="2980" t="s">
        <v>3253</v>
      </c>
      <c r="E10" s="2980" t="s">
        <v>3224</v>
      </c>
      <c r="F10" s="2980" t="s">
        <v>3166</v>
      </c>
      <c r="G10" s="2980" t="s">
        <v>3182</v>
      </c>
      <c r="H10" s="2980" t="s">
        <v>3254</v>
      </c>
      <c r="I10" s="2980" t="s">
        <v>3255</v>
      </c>
      <c r="J10" s="2980" t="s">
        <v>3256</v>
      </c>
    </row>
    <row r="11" spans="1:10">
      <c r="A11" s="2980" t="s">
        <v>3257</v>
      </c>
      <c r="B11" s="2980" t="s">
        <v>3238</v>
      </c>
      <c r="C11" s="2980" t="s">
        <v>1326</v>
      </c>
      <c r="D11" s="2980" t="s">
        <v>3235</v>
      </c>
      <c r="E11" s="2980" t="s">
        <v>3224</v>
      </c>
      <c r="F11" s="2980" t="s">
        <v>3166</v>
      </c>
      <c r="G11" s="2980" t="s">
        <v>3182</v>
      </c>
      <c r="H11" s="2980" t="s">
        <v>3183</v>
      </c>
      <c r="I11" s="2980" t="s">
        <v>3258</v>
      </c>
      <c r="J11" s="2980" t="s">
        <v>3259</v>
      </c>
    </row>
    <row r="12" spans="1:10">
      <c r="A12" s="2980" t="s">
        <v>3162</v>
      </c>
      <c r="B12" s="2980" t="s">
        <v>3260</v>
      </c>
      <c r="C12" s="2980" t="s">
        <v>1326</v>
      </c>
      <c r="D12" s="2980" t="s">
        <v>3223</v>
      </c>
      <c r="E12" s="2980" t="s">
        <v>3224</v>
      </c>
      <c r="F12" s="2980" t="s">
        <v>3166</v>
      </c>
      <c r="G12" s="2980" t="s">
        <v>3182</v>
      </c>
      <c r="H12" s="2980" t="s">
        <v>3183</v>
      </c>
      <c r="I12" s="2980" t="s">
        <v>3261</v>
      </c>
      <c r="J12" s="2980" t="s">
        <v>3262</v>
      </c>
    </row>
    <row r="13" spans="1:10">
      <c r="A13" s="2980" t="s">
        <v>3162</v>
      </c>
      <c r="B13" s="2980" t="s">
        <v>3243</v>
      </c>
      <c r="C13" s="2980" t="s">
        <v>1326</v>
      </c>
      <c r="D13" s="2980" t="s">
        <v>3263</v>
      </c>
      <c r="E13" s="2980" t="s">
        <v>3224</v>
      </c>
      <c r="F13" s="2980" t="s">
        <v>3166</v>
      </c>
      <c r="G13" s="2980" t="s">
        <v>3167</v>
      </c>
      <c r="H13" s="2980" t="s">
        <v>3254</v>
      </c>
      <c r="I13" s="2980" t="s">
        <v>3255</v>
      </c>
      <c r="J13" s="2980" t="s">
        <v>3264</v>
      </c>
    </row>
    <row r="14" spans="1:10">
      <c r="A14" s="2980" t="s">
        <v>3265</v>
      </c>
      <c r="B14" s="2980" t="s">
        <v>3171</v>
      </c>
      <c r="C14" s="2980" t="s">
        <v>1326</v>
      </c>
      <c r="D14" s="2980" t="s">
        <v>3266</v>
      </c>
      <c r="E14" s="2980" t="s">
        <v>3224</v>
      </c>
      <c r="F14" s="2980" t="s">
        <v>3166</v>
      </c>
      <c r="G14" s="2980" t="s">
        <v>3182</v>
      </c>
      <c r="H14" s="2980" t="s">
        <v>3267</v>
      </c>
      <c r="I14" s="2980" t="s">
        <v>3268</v>
      </c>
      <c r="J14" s="2980" t="s">
        <v>3269</v>
      </c>
    </row>
    <row r="15" spans="1:10">
      <c r="A15" s="2980" t="s">
        <v>3270</v>
      </c>
      <c r="B15" s="2980" t="s">
        <v>3230</v>
      </c>
      <c r="C15" s="2980" t="s">
        <v>1326</v>
      </c>
      <c r="D15" s="2980" t="s">
        <v>3271</v>
      </c>
      <c r="E15" s="2980" t="s">
        <v>3224</v>
      </c>
      <c r="F15" s="2980" t="s">
        <v>3166</v>
      </c>
      <c r="G15" s="2980" t="s">
        <v>3182</v>
      </c>
      <c r="H15" s="2980" t="s">
        <v>3183</v>
      </c>
      <c r="I15" s="2980" t="s">
        <v>3272</v>
      </c>
      <c r="J15" s="2980" t="s">
        <v>3229</v>
      </c>
    </row>
    <row r="16" spans="1:10">
      <c r="A16" s="2980" t="s">
        <v>3198</v>
      </c>
      <c r="B16" s="2980" t="s">
        <v>3171</v>
      </c>
      <c r="C16" s="2980" t="s">
        <v>1326</v>
      </c>
      <c r="D16" s="2980" t="s">
        <v>3273</v>
      </c>
      <c r="E16" s="2980" t="s">
        <v>3224</v>
      </c>
      <c r="F16" s="2980" t="s">
        <v>3166</v>
      </c>
      <c r="G16" s="2980" t="s">
        <v>3182</v>
      </c>
      <c r="H16" s="2980" t="s">
        <v>3183</v>
      </c>
      <c r="I16" s="2980" t="s">
        <v>3274</v>
      </c>
      <c r="J16" s="2980" t="s">
        <v>3275</v>
      </c>
    </row>
    <row r="17" spans="1:10">
      <c r="A17" s="2980" t="s">
        <v>3276</v>
      </c>
      <c r="B17" s="2980" t="s">
        <v>3252</v>
      </c>
      <c r="C17" s="2980" t="s">
        <v>1326</v>
      </c>
      <c r="D17" s="2980" t="s">
        <v>3277</v>
      </c>
      <c r="E17" s="2980" t="s">
        <v>3224</v>
      </c>
      <c r="F17" s="2980" t="s">
        <v>3166</v>
      </c>
      <c r="G17" s="2980" t="s">
        <v>3278</v>
      </c>
      <c r="H17" s="2980" t="s">
        <v>3279</v>
      </c>
      <c r="I17" s="2980" t="s">
        <v>3280</v>
      </c>
      <c r="J17" s="2980" t="s">
        <v>3281</v>
      </c>
    </row>
    <row r="18" spans="1:10">
      <c r="A18" s="2980" t="s">
        <v>3276</v>
      </c>
      <c r="B18" s="2980" t="s">
        <v>3222</v>
      </c>
      <c r="C18" s="2980" t="s">
        <v>1326</v>
      </c>
      <c r="D18" s="2980" t="s">
        <v>3282</v>
      </c>
      <c r="E18" s="2980" t="s">
        <v>3224</v>
      </c>
      <c r="F18" s="2980" t="s">
        <v>3166</v>
      </c>
      <c r="G18" s="2980" t="s">
        <v>3182</v>
      </c>
      <c r="H18" s="2980" t="s">
        <v>3183</v>
      </c>
      <c r="I18" s="2980" t="s">
        <v>3283</v>
      </c>
      <c r="J18" s="2980" t="s">
        <v>3284</v>
      </c>
    </row>
    <row r="19" spans="1:10">
      <c r="A19" s="2980" t="s">
        <v>3276</v>
      </c>
      <c r="B19" s="2980" t="s">
        <v>3238</v>
      </c>
      <c r="C19" s="2980" t="s">
        <v>1326</v>
      </c>
      <c r="D19" s="2980" t="s">
        <v>3285</v>
      </c>
      <c r="E19" s="2980" t="s">
        <v>3224</v>
      </c>
      <c r="F19" s="2980" t="s">
        <v>3166</v>
      </c>
      <c r="G19" s="2980" t="s">
        <v>3182</v>
      </c>
      <c r="H19" s="2980" t="s">
        <v>3183</v>
      </c>
      <c r="I19" s="2980" t="s">
        <v>3286</v>
      </c>
      <c r="J19" s="2980" t="s">
        <v>3287</v>
      </c>
    </row>
    <row r="20" spans="1:10">
      <c r="A20" s="2980" t="s">
        <v>3288</v>
      </c>
      <c r="B20" s="2980" t="s">
        <v>3163</v>
      </c>
      <c r="C20" s="2980" t="s">
        <v>1326</v>
      </c>
      <c r="D20" s="2980" t="s">
        <v>3289</v>
      </c>
      <c r="E20" s="2980" t="s">
        <v>3224</v>
      </c>
      <c r="F20" s="2980" t="s">
        <v>3166</v>
      </c>
      <c r="G20" s="2980" t="s">
        <v>3182</v>
      </c>
      <c r="H20" s="2980" t="s">
        <v>3248</v>
      </c>
      <c r="I20" s="2980" t="s">
        <v>3290</v>
      </c>
      <c r="J20" s="2980" t="s">
        <v>3291</v>
      </c>
    </row>
    <row r="21" spans="1:10">
      <c r="A21" s="2980" t="s">
        <v>3205</v>
      </c>
      <c r="B21" s="2980" t="s">
        <v>3222</v>
      </c>
      <c r="C21" s="2980" t="s">
        <v>1326</v>
      </c>
      <c r="D21" s="2980" t="s">
        <v>3292</v>
      </c>
      <c r="E21" s="2980" t="s">
        <v>3224</v>
      </c>
      <c r="F21" s="2980" t="s">
        <v>3166</v>
      </c>
      <c r="G21" s="2980" t="s">
        <v>3182</v>
      </c>
      <c r="H21" s="2980" t="s">
        <v>3183</v>
      </c>
      <c r="I21" s="2980" t="s">
        <v>3293</v>
      </c>
      <c r="J21" s="2980" t="s">
        <v>3294</v>
      </c>
    </row>
    <row r="22" spans="1:10">
      <c r="A22" s="2980" t="s">
        <v>3205</v>
      </c>
      <c r="B22" s="2980" t="s">
        <v>3238</v>
      </c>
      <c r="C22" s="2980" t="s">
        <v>1326</v>
      </c>
      <c r="D22" s="2980" t="s">
        <v>3271</v>
      </c>
      <c r="E22" s="2980" t="s">
        <v>3224</v>
      </c>
      <c r="F22" s="2980" t="s">
        <v>3166</v>
      </c>
      <c r="G22" s="2980" t="s">
        <v>3295</v>
      </c>
      <c r="H22" s="2980" t="s">
        <v>3296</v>
      </c>
      <c r="I22" s="2980" t="s">
        <v>3297</v>
      </c>
      <c r="J22" s="2980" t="s">
        <v>3298</v>
      </c>
    </row>
    <row r="23" spans="1:10">
      <c r="A23" s="2980" t="s">
        <v>3205</v>
      </c>
      <c r="B23" s="2980" t="s">
        <v>3243</v>
      </c>
      <c r="C23" s="2980" t="s">
        <v>1326</v>
      </c>
      <c r="D23" s="2980" t="s">
        <v>3223</v>
      </c>
      <c r="E23" s="2980" t="s">
        <v>3224</v>
      </c>
      <c r="F23" s="2980" t="s">
        <v>3166</v>
      </c>
      <c r="G23" s="2980" t="s">
        <v>3182</v>
      </c>
      <c r="H23" s="2980" t="s">
        <v>3183</v>
      </c>
      <c r="I23" s="2980" t="s">
        <v>3299</v>
      </c>
      <c r="J23" s="2980" t="s">
        <v>3226</v>
      </c>
    </row>
    <row r="24" spans="1:10">
      <c r="A24" s="2980" t="s">
        <v>3214</v>
      </c>
      <c r="B24" s="2980" t="s">
        <v>3243</v>
      </c>
      <c r="C24" s="2980" t="s">
        <v>1326</v>
      </c>
      <c r="D24" s="2980" t="s">
        <v>3300</v>
      </c>
      <c r="E24" s="2980" t="s">
        <v>3224</v>
      </c>
      <c r="F24" s="2980" t="s">
        <v>3166</v>
      </c>
      <c r="G24" s="2980" t="s">
        <v>3182</v>
      </c>
      <c r="H24" s="2980" t="s">
        <v>3183</v>
      </c>
      <c r="I24" s="2980" t="s">
        <v>3301</v>
      </c>
      <c r="J24" s="2980" t="s">
        <v>3233</v>
      </c>
    </row>
    <row r="25" spans="1:10">
      <c r="A25" s="2980" t="s">
        <v>3302</v>
      </c>
      <c r="B25" s="2980" t="s">
        <v>3252</v>
      </c>
      <c r="C25" s="2980" t="s">
        <v>1326</v>
      </c>
      <c r="D25" s="2980" t="s">
        <v>3303</v>
      </c>
      <c r="E25" s="2980" t="s">
        <v>3224</v>
      </c>
      <c r="F25" s="2980" t="s">
        <v>3166</v>
      </c>
      <c r="G25" s="2980" t="s">
        <v>3167</v>
      </c>
      <c r="H25" s="2980" t="s">
        <v>3304</v>
      </c>
      <c r="I25" s="2980" t="s">
        <v>3305</v>
      </c>
      <c r="J25" s="2980" t="s">
        <v>3306</v>
      </c>
    </row>
    <row r="26" spans="1:10">
      <c r="A26" s="2980" t="s">
        <v>3302</v>
      </c>
      <c r="B26" s="2980" t="s">
        <v>3171</v>
      </c>
      <c r="C26" s="2980" t="s">
        <v>1326</v>
      </c>
      <c r="D26" s="2980" t="s">
        <v>3292</v>
      </c>
      <c r="E26" s="2980" t="s">
        <v>3224</v>
      </c>
      <c r="F26" s="2980" t="s">
        <v>3166</v>
      </c>
      <c r="G26" s="2980" t="s">
        <v>3182</v>
      </c>
      <c r="H26" s="2980" t="s">
        <v>3183</v>
      </c>
      <c r="I26" s="2980" t="s">
        <v>3307</v>
      </c>
      <c r="J26" s="2980" t="s">
        <v>3308</v>
      </c>
    </row>
    <row r="27" spans="1:10">
      <c r="A27" s="2980" t="s">
        <v>3302</v>
      </c>
      <c r="B27" s="2980" t="s">
        <v>3222</v>
      </c>
      <c r="C27" s="2980" t="s">
        <v>1326</v>
      </c>
      <c r="D27" s="2980" t="s">
        <v>3309</v>
      </c>
      <c r="E27" s="2980" t="s">
        <v>3224</v>
      </c>
      <c r="F27" s="2980" t="s">
        <v>3166</v>
      </c>
      <c r="G27" s="2980" t="s">
        <v>3182</v>
      </c>
      <c r="H27" s="2980" t="s">
        <v>3183</v>
      </c>
      <c r="I27" s="2980" t="s">
        <v>3310</v>
      </c>
      <c r="J27" s="2980" t="s">
        <v>3284</v>
      </c>
    </row>
    <row r="28" spans="1:10">
      <c r="A28" s="2980" t="s">
        <v>3311</v>
      </c>
      <c r="B28" s="2980" t="s">
        <v>3163</v>
      </c>
      <c r="C28" s="2980" t="s">
        <v>1326</v>
      </c>
      <c r="D28" s="2980" t="s">
        <v>3312</v>
      </c>
      <c r="E28" s="2980" t="s">
        <v>3224</v>
      </c>
      <c r="F28" s="2980" t="s">
        <v>3166</v>
      </c>
      <c r="G28" s="2980" t="s">
        <v>3182</v>
      </c>
      <c r="H28" s="2980" t="s">
        <v>3248</v>
      </c>
      <c r="I28" s="2980" t="s">
        <v>3313</v>
      </c>
      <c r="J28" s="2980" t="s">
        <v>3314</v>
      </c>
    </row>
    <row r="29" spans="1:10">
      <c r="A29" s="2980" t="s">
        <v>3311</v>
      </c>
      <c r="B29" s="2980" t="s">
        <v>3252</v>
      </c>
      <c r="C29" s="2980" t="s">
        <v>1326</v>
      </c>
      <c r="D29" s="2980" t="s">
        <v>3315</v>
      </c>
      <c r="E29" s="2980" t="s">
        <v>3224</v>
      </c>
      <c r="F29" s="2980" t="s">
        <v>3166</v>
      </c>
      <c r="G29" s="2980" t="s">
        <v>3167</v>
      </c>
      <c r="H29" s="2980" t="s">
        <v>3304</v>
      </c>
      <c r="I29" s="2980" t="s">
        <v>3305</v>
      </c>
      <c r="J29" s="2980" t="s">
        <v>3306</v>
      </c>
    </row>
    <row r="30" spans="1:10">
      <c r="A30" s="2980" t="s">
        <v>3316</v>
      </c>
      <c r="B30" s="2980" t="s">
        <v>3260</v>
      </c>
      <c r="C30" s="2980" t="s">
        <v>1326</v>
      </c>
      <c r="D30" s="2980" t="s">
        <v>3271</v>
      </c>
      <c r="E30" s="2980" t="s">
        <v>3224</v>
      </c>
      <c r="F30" s="2980" t="s">
        <v>3166</v>
      </c>
      <c r="G30" s="2980" t="s">
        <v>3295</v>
      </c>
      <c r="H30" s="2980" t="s">
        <v>3296</v>
      </c>
      <c r="I30" s="2980" t="s">
        <v>3317</v>
      </c>
      <c r="J30" s="2980" t="s">
        <v>3318</v>
      </c>
    </row>
    <row r="31" spans="1:10">
      <c r="A31" s="2980" t="s">
        <v>3316</v>
      </c>
      <c r="B31" s="2980" t="s">
        <v>3222</v>
      </c>
      <c r="C31" s="2980" t="s">
        <v>1326</v>
      </c>
      <c r="D31" s="2980" t="s">
        <v>3319</v>
      </c>
      <c r="E31" s="2980" t="s">
        <v>3224</v>
      </c>
      <c r="F31" s="2980" t="s">
        <v>3166</v>
      </c>
      <c r="G31" s="2980" t="s">
        <v>3182</v>
      </c>
      <c r="H31" s="2980" t="s">
        <v>3183</v>
      </c>
      <c r="I31" s="2980" t="s">
        <v>3320</v>
      </c>
      <c r="J31" s="2980" t="s">
        <v>3321</v>
      </c>
    </row>
    <row r="32" spans="1:10">
      <c r="A32" s="2980" t="s">
        <v>3322</v>
      </c>
      <c r="B32" s="2980" t="s">
        <v>3171</v>
      </c>
      <c r="C32" s="2980" t="s">
        <v>1326</v>
      </c>
      <c r="D32" s="2980" t="s">
        <v>3253</v>
      </c>
      <c r="E32" s="2980" t="s">
        <v>3224</v>
      </c>
      <c r="F32" s="2980" t="s">
        <v>3166</v>
      </c>
      <c r="G32" s="2980" t="s">
        <v>3182</v>
      </c>
      <c r="H32" s="2980" t="s">
        <v>3267</v>
      </c>
      <c r="I32" s="2980" t="s">
        <v>3268</v>
      </c>
      <c r="J32" s="2980" t="s">
        <v>3269</v>
      </c>
    </row>
    <row r="33" spans="1:10">
      <c r="A33" s="2980" t="s">
        <v>3322</v>
      </c>
      <c r="B33" s="2980" t="s">
        <v>3230</v>
      </c>
      <c r="C33" s="2980" t="s">
        <v>1326</v>
      </c>
      <c r="D33" s="2980" t="s">
        <v>3323</v>
      </c>
      <c r="E33" s="2980" t="s">
        <v>3224</v>
      </c>
      <c r="F33" s="2980" t="s">
        <v>3166</v>
      </c>
      <c r="G33" s="2980" t="s">
        <v>3182</v>
      </c>
      <c r="H33" s="2980" t="s">
        <v>3211</v>
      </c>
      <c r="I33" s="2980" t="s">
        <v>3324</v>
      </c>
      <c r="J33" s="2980" t="s">
        <v>3325</v>
      </c>
    </row>
    <row r="34" spans="1:10">
      <c r="A34" s="2980" t="s">
        <v>3326</v>
      </c>
      <c r="B34" s="2980" t="s">
        <v>3171</v>
      </c>
      <c r="C34" s="2980" t="s">
        <v>1326</v>
      </c>
      <c r="D34" s="2980" t="s">
        <v>3327</v>
      </c>
      <c r="E34" s="2980" t="s">
        <v>3224</v>
      </c>
      <c r="F34" s="2980" t="s">
        <v>3166</v>
      </c>
      <c r="G34" s="2980" t="s">
        <v>3182</v>
      </c>
      <c r="H34" s="2980" t="s">
        <v>3183</v>
      </c>
      <c r="I34" s="2980" t="s">
        <v>3328</v>
      </c>
      <c r="J34" s="2980" t="s">
        <v>3329</v>
      </c>
    </row>
    <row r="35" spans="1:10">
      <c r="A35" s="2980" t="s">
        <v>3330</v>
      </c>
      <c r="B35" s="2980" t="s">
        <v>3252</v>
      </c>
      <c r="C35" s="2980" t="s">
        <v>1326</v>
      </c>
      <c r="D35" s="2980" t="s">
        <v>3236</v>
      </c>
      <c r="E35" s="2980" t="s">
        <v>3224</v>
      </c>
      <c r="F35" s="2980" t="s">
        <v>3166</v>
      </c>
      <c r="G35" s="2980" t="s">
        <v>3182</v>
      </c>
      <c r="H35" s="2980" t="s">
        <v>3254</v>
      </c>
      <c r="I35" s="2980" t="s">
        <v>3255</v>
      </c>
      <c r="J35" s="2980" t="s">
        <v>3256</v>
      </c>
    </row>
    <row r="36" spans="1:10">
      <c r="A36" s="2980" t="s">
        <v>3330</v>
      </c>
      <c r="B36" s="2980" t="s">
        <v>3238</v>
      </c>
      <c r="C36" s="2980" t="s">
        <v>1326</v>
      </c>
      <c r="D36" s="2980" t="s">
        <v>3331</v>
      </c>
      <c r="E36" s="2980" t="s">
        <v>3224</v>
      </c>
      <c r="F36" s="2980" t="s">
        <v>3166</v>
      </c>
      <c r="G36" s="2980" t="s">
        <v>3295</v>
      </c>
      <c r="H36" s="2980" t="s">
        <v>3296</v>
      </c>
      <c r="I36" s="2980" t="s">
        <v>3332</v>
      </c>
      <c r="J36" s="2980" t="s">
        <v>3333</v>
      </c>
    </row>
    <row r="37" spans="1:10">
      <c r="A37" s="2980" t="s">
        <v>3334</v>
      </c>
      <c r="B37" s="2980" t="s">
        <v>3230</v>
      </c>
      <c r="C37" s="2980" t="s">
        <v>1326</v>
      </c>
      <c r="D37" s="2980" t="s">
        <v>3289</v>
      </c>
      <c r="E37" s="2980" t="s">
        <v>3224</v>
      </c>
      <c r="F37" s="2980" t="s">
        <v>3166</v>
      </c>
      <c r="G37" s="2980" t="s">
        <v>3182</v>
      </c>
      <c r="H37" s="2980" t="s">
        <v>3183</v>
      </c>
      <c r="I37" s="2980" t="s">
        <v>3335</v>
      </c>
      <c r="J37" s="2980" t="s">
        <v>3294</v>
      </c>
    </row>
    <row r="38" spans="1:10">
      <c r="A38" s="2980" t="s">
        <v>3336</v>
      </c>
      <c r="B38" s="2980" t="s">
        <v>3230</v>
      </c>
      <c r="C38" s="2980" t="s">
        <v>1326</v>
      </c>
      <c r="D38" s="2980" t="s">
        <v>3337</v>
      </c>
      <c r="E38" s="2980" t="s">
        <v>3224</v>
      </c>
      <c r="F38" s="2980" t="s">
        <v>3166</v>
      </c>
      <c r="G38" s="2980" t="s">
        <v>3182</v>
      </c>
      <c r="H38" s="2980" t="s">
        <v>3183</v>
      </c>
      <c r="I38" s="2980" t="s">
        <v>3338</v>
      </c>
      <c r="J38" s="2980" t="s">
        <v>3325</v>
      </c>
    </row>
    <row r="39" spans="1:10">
      <c r="A39" s="2980" t="s">
        <v>3336</v>
      </c>
      <c r="B39" s="2980" t="s">
        <v>3252</v>
      </c>
      <c r="C39" s="2980" t="s">
        <v>1326</v>
      </c>
      <c r="D39" s="2980" t="s">
        <v>3339</v>
      </c>
      <c r="E39" s="2980" t="s">
        <v>3224</v>
      </c>
      <c r="F39" s="2980" t="s">
        <v>3166</v>
      </c>
      <c r="G39" s="2980" t="s">
        <v>3182</v>
      </c>
      <c r="H39" s="2980" t="s">
        <v>3254</v>
      </c>
      <c r="I39" s="2980" t="s">
        <v>3255</v>
      </c>
      <c r="J39" s="2980" t="s">
        <v>3256</v>
      </c>
    </row>
    <row r="40" spans="1:10">
      <c r="A40" s="2980" t="s">
        <v>3336</v>
      </c>
      <c r="B40" s="2980" t="s">
        <v>3222</v>
      </c>
      <c r="C40" s="2980" t="s">
        <v>1326</v>
      </c>
      <c r="D40" s="2980" t="s">
        <v>3340</v>
      </c>
      <c r="E40" s="2980" t="s">
        <v>3224</v>
      </c>
      <c r="F40" s="2980" t="s">
        <v>3166</v>
      </c>
      <c r="G40" s="2980" t="s">
        <v>3182</v>
      </c>
      <c r="H40" s="2980" t="s">
        <v>3183</v>
      </c>
      <c r="I40" s="2980" t="s">
        <v>3225</v>
      </c>
      <c r="J40" s="2980" t="s">
        <v>3226</v>
      </c>
    </row>
    <row r="41" spans="1:10">
      <c r="A41" s="2980" t="s">
        <v>3341</v>
      </c>
      <c r="B41" s="2980" t="s">
        <v>3252</v>
      </c>
      <c r="C41" s="2980" t="s">
        <v>1326</v>
      </c>
      <c r="D41" s="2980" t="s">
        <v>3266</v>
      </c>
      <c r="E41" s="2980" t="s">
        <v>3224</v>
      </c>
      <c r="F41" s="2980" t="s">
        <v>3166</v>
      </c>
      <c r="G41" s="2980" t="s">
        <v>3182</v>
      </c>
      <c r="H41" s="2980" t="s">
        <v>3254</v>
      </c>
      <c r="I41" s="2980" t="s">
        <v>3255</v>
      </c>
      <c r="J41" s="2980" t="s">
        <v>3256</v>
      </c>
    </row>
    <row r="42" spans="1:10">
      <c r="A42" s="2980" t="s">
        <v>3341</v>
      </c>
      <c r="B42" s="2980" t="s">
        <v>3222</v>
      </c>
      <c r="C42" s="2980" t="s">
        <v>1326</v>
      </c>
      <c r="D42" s="2980" t="s">
        <v>3188</v>
      </c>
      <c r="E42" s="2980" t="s">
        <v>3224</v>
      </c>
      <c r="F42" s="2980" t="s">
        <v>3166</v>
      </c>
      <c r="G42" s="2980" t="s">
        <v>3182</v>
      </c>
      <c r="H42" s="2980" t="s">
        <v>3183</v>
      </c>
      <c r="I42" s="2980" t="s">
        <v>3342</v>
      </c>
      <c r="J42" s="2980" t="s">
        <v>3226</v>
      </c>
    </row>
    <row r="43" spans="1:10">
      <c r="A43" s="2980" t="s">
        <v>3341</v>
      </c>
      <c r="B43" s="2980" t="s">
        <v>3222</v>
      </c>
      <c r="C43" s="2980" t="s">
        <v>1326</v>
      </c>
      <c r="D43" s="2980" t="s">
        <v>3343</v>
      </c>
      <c r="E43" s="2980" t="s">
        <v>3224</v>
      </c>
      <c r="F43" s="2980" t="s">
        <v>3166</v>
      </c>
      <c r="G43" s="2980" t="s">
        <v>3182</v>
      </c>
      <c r="H43" s="2980" t="s">
        <v>3183</v>
      </c>
      <c r="I43" s="2980" t="s">
        <v>3344</v>
      </c>
      <c r="J43" s="2980" t="s">
        <v>3345</v>
      </c>
    </row>
    <row r="44" spans="1:10">
      <c r="A44" s="2980" t="s">
        <v>3346</v>
      </c>
      <c r="B44" s="2980" t="s">
        <v>3222</v>
      </c>
      <c r="C44" s="2980" t="s">
        <v>1326</v>
      </c>
      <c r="D44" s="2980" t="s">
        <v>3327</v>
      </c>
      <c r="E44" s="2980" t="s">
        <v>3224</v>
      </c>
      <c r="F44" s="2980" t="s">
        <v>3166</v>
      </c>
      <c r="G44" s="2980" t="s">
        <v>3182</v>
      </c>
      <c r="H44" s="2980" t="s">
        <v>3183</v>
      </c>
      <c r="I44" s="2980" t="s">
        <v>3228</v>
      </c>
      <c r="J44" s="2980" t="s">
        <v>3229</v>
      </c>
    </row>
    <row r="45" spans="1:10">
      <c r="A45" s="2980" t="s">
        <v>3346</v>
      </c>
      <c r="B45" s="2980" t="s">
        <v>3222</v>
      </c>
      <c r="C45" s="2980" t="s">
        <v>1326</v>
      </c>
      <c r="D45" s="2980" t="s">
        <v>3347</v>
      </c>
      <c r="E45" s="2980" t="s">
        <v>3224</v>
      </c>
      <c r="F45" s="2980" t="s">
        <v>3166</v>
      </c>
      <c r="G45" s="2980" t="s">
        <v>3182</v>
      </c>
      <c r="H45" s="2980" t="s">
        <v>3183</v>
      </c>
      <c r="I45" s="2980" t="s">
        <v>3348</v>
      </c>
      <c r="J45" s="2980" t="s">
        <v>3349</v>
      </c>
    </row>
    <row r="46" spans="1:10">
      <c r="A46" s="2980" t="s">
        <v>3350</v>
      </c>
      <c r="B46" s="2980" t="s">
        <v>3230</v>
      </c>
      <c r="C46" s="2980" t="s">
        <v>1326</v>
      </c>
      <c r="D46" s="2980" t="s">
        <v>3351</v>
      </c>
      <c r="E46" s="2980" t="s">
        <v>3224</v>
      </c>
      <c r="F46" s="2980" t="s">
        <v>3166</v>
      </c>
      <c r="G46" s="2980" t="s">
        <v>3182</v>
      </c>
      <c r="H46" s="2980" t="s">
        <v>3183</v>
      </c>
      <c r="I46" s="2980" t="s">
        <v>3352</v>
      </c>
      <c r="J46" s="2980" t="s">
        <v>3229</v>
      </c>
    </row>
    <row r="47" spans="1:10">
      <c r="A47" s="2980" t="s">
        <v>3350</v>
      </c>
      <c r="B47" s="2980" t="s">
        <v>3163</v>
      </c>
      <c r="C47" s="2980" t="s">
        <v>1326</v>
      </c>
      <c r="D47" s="2980" t="s">
        <v>3323</v>
      </c>
      <c r="E47" s="2980" t="s">
        <v>3224</v>
      </c>
      <c r="F47" s="2980" t="s">
        <v>3166</v>
      </c>
      <c r="G47" s="2980" t="s">
        <v>3182</v>
      </c>
      <c r="H47" s="2980" t="s">
        <v>3248</v>
      </c>
      <c r="I47" s="2980" t="s">
        <v>3353</v>
      </c>
      <c r="J47" s="2980" t="s">
        <v>3314</v>
      </c>
    </row>
    <row r="48" spans="1:10">
      <c r="A48" s="2980" t="s">
        <v>3350</v>
      </c>
      <c r="B48" s="2980" t="s">
        <v>3171</v>
      </c>
      <c r="C48" s="2980" t="s">
        <v>1326</v>
      </c>
      <c r="D48" s="2980" t="s">
        <v>3354</v>
      </c>
      <c r="E48" s="2980" t="s">
        <v>3224</v>
      </c>
      <c r="F48" s="2980" t="s">
        <v>3166</v>
      </c>
      <c r="G48" s="2980" t="s">
        <v>3182</v>
      </c>
      <c r="H48" s="2980" t="s">
        <v>3183</v>
      </c>
      <c r="I48" s="2980" t="s">
        <v>3274</v>
      </c>
      <c r="J48" s="2980" t="s">
        <v>3275</v>
      </c>
    </row>
    <row r="49" spans="1:10">
      <c r="A49" s="2980" t="s">
        <v>3355</v>
      </c>
      <c r="B49" s="2980" t="s">
        <v>3163</v>
      </c>
      <c r="C49" s="2980" t="s">
        <v>1326</v>
      </c>
      <c r="D49" s="2980" t="s">
        <v>1326</v>
      </c>
      <c r="E49" s="2980" t="s">
        <v>3224</v>
      </c>
      <c r="F49" s="2980" t="s">
        <v>3166</v>
      </c>
      <c r="G49" s="2980" t="s">
        <v>3182</v>
      </c>
      <c r="H49" s="2980" t="s">
        <v>3248</v>
      </c>
      <c r="I49" s="2980" t="s">
        <v>3356</v>
      </c>
      <c r="J49" s="2980" t="s">
        <v>3357</v>
      </c>
    </row>
    <row r="50" spans="1:10">
      <c r="A50" s="2980" t="s">
        <v>3358</v>
      </c>
      <c r="B50" s="2980" t="s">
        <v>3230</v>
      </c>
      <c r="C50" s="2980" t="s">
        <v>1326</v>
      </c>
      <c r="D50" s="2980" t="s">
        <v>1326</v>
      </c>
      <c r="E50" s="2980" t="s">
        <v>3224</v>
      </c>
      <c r="F50" s="2980" t="s">
        <v>3166</v>
      </c>
      <c r="G50" s="2980" t="s">
        <v>3182</v>
      </c>
      <c r="H50" s="2980" t="s">
        <v>3183</v>
      </c>
      <c r="I50" s="2980" t="s">
        <v>3359</v>
      </c>
      <c r="J50" s="2980" t="s">
        <v>3294</v>
      </c>
    </row>
    <row r="51" spans="1:10">
      <c r="A51" s="2980" t="s">
        <v>3360</v>
      </c>
      <c r="B51" s="2980" t="s">
        <v>3163</v>
      </c>
      <c r="C51" s="2980" t="s">
        <v>1326</v>
      </c>
      <c r="D51" s="2980" t="s">
        <v>1326</v>
      </c>
      <c r="E51" s="2980" t="s">
        <v>3224</v>
      </c>
      <c r="F51" s="2980" t="s">
        <v>3166</v>
      </c>
      <c r="G51" s="2980" t="s">
        <v>3182</v>
      </c>
      <c r="H51" s="2980" t="s">
        <v>3248</v>
      </c>
      <c r="I51" s="2980" t="s">
        <v>3249</v>
      </c>
      <c r="J51" s="2980" t="s">
        <v>3250</v>
      </c>
    </row>
    <row r="52" spans="1:10">
      <c r="A52" s="2980" t="s">
        <v>3361</v>
      </c>
      <c r="B52" s="2980" t="s">
        <v>3163</v>
      </c>
      <c r="C52" s="2980" t="s">
        <v>1326</v>
      </c>
      <c r="D52" s="2980" t="s">
        <v>1326</v>
      </c>
      <c r="E52" s="2980" t="s">
        <v>3224</v>
      </c>
      <c r="F52" s="2980" t="s">
        <v>3166</v>
      </c>
      <c r="G52" s="2980" t="s">
        <v>3182</v>
      </c>
      <c r="H52" s="2980" t="s">
        <v>3248</v>
      </c>
      <c r="I52" s="2980" t="s">
        <v>3362</v>
      </c>
      <c r="J52" s="2980" t="s">
        <v>3363</v>
      </c>
    </row>
    <row r="53" spans="1:10">
      <c r="A53" s="2980" t="s">
        <v>3364</v>
      </c>
      <c r="B53" s="2980" t="s">
        <v>3171</v>
      </c>
      <c r="C53" s="2980" t="s">
        <v>1326</v>
      </c>
      <c r="D53" s="2980" t="s">
        <v>1326</v>
      </c>
      <c r="E53" s="2980" t="s">
        <v>3224</v>
      </c>
      <c r="F53" s="2980" t="s">
        <v>3166</v>
      </c>
      <c r="G53" s="2980" t="s">
        <v>3167</v>
      </c>
      <c r="H53" s="2980" t="s">
        <v>3365</v>
      </c>
      <c r="I53" s="2980" t="s">
        <v>3366</v>
      </c>
      <c r="J53" s="2980" t="s">
        <v>3367</v>
      </c>
    </row>
    <row r="54" spans="1:10">
      <c r="A54" s="2980" t="s">
        <v>3368</v>
      </c>
      <c r="B54" s="2980" t="s">
        <v>3163</v>
      </c>
      <c r="C54" s="2980" t="s">
        <v>1326</v>
      </c>
      <c r="D54" s="2980" t="s">
        <v>1326</v>
      </c>
      <c r="E54" s="2980" t="s">
        <v>3224</v>
      </c>
      <c r="F54" s="2980" t="s">
        <v>3166</v>
      </c>
      <c r="G54" s="2980" t="s">
        <v>3182</v>
      </c>
      <c r="H54" s="2980" t="s">
        <v>3248</v>
      </c>
      <c r="I54" s="2980" t="s">
        <v>3369</v>
      </c>
      <c r="J54" s="2980" t="s">
        <v>3370</v>
      </c>
    </row>
    <row r="55" spans="1:10">
      <c r="A55" s="2980" t="s">
        <v>3371</v>
      </c>
      <c r="B55" s="2980" t="s">
        <v>3243</v>
      </c>
      <c r="C55" s="2980" t="s">
        <v>1326</v>
      </c>
      <c r="D55" s="2980" t="s">
        <v>1326</v>
      </c>
      <c r="E55" s="2980" t="s">
        <v>3224</v>
      </c>
      <c r="F55" s="2980" t="s">
        <v>3166</v>
      </c>
      <c r="G55" s="2980" t="s">
        <v>3182</v>
      </c>
      <c r="H55" s="2980" t="s">
        <v>3183</v>
      </c>
      <c r="I55" s="2980" t="s">
        <v>3372</v>
      </c>
      <c r="J55" s="2980" t="s">
        <v>3373</v>
      </c>
    </row>
    <row r="56" spans="1:10">
      <c r="A56" s="2980" t="s">
        <v>3374</v>
      </c>
      <c r="B56" s="2980" t="s">
        <v>3163</v>
      </c>
      <c r="C56" s="2980" t="s">
        <v>1326</v>
      </c>
      <c r="D56" s="2980" t="s">
        <v>1326</v>
      </c>
      <c r="E56" s="2980" t="s">
        <v>3224</v>
      </c>
      <c r="F56" s="2980" t="s">
        <v>3166</v>
      </c>
      <c r="G56" s="2980" t="s">
        <v>3182</v>
      </c>
      <c r="H56" s="2980" t="s">
        <v>3248</v>
      </c>
      <c r="I56" s="2980" t="s">
        <v>3375</v>
      </c>
      <c r="J56" s="2980" t="s">
        <v>3376</v>
      </c>
    </row>
    <row r="57" spans="1:10">
      <c r="A57" s="2980" t="s">
        <v>3374</v>
      </c>
      <c r="B57" s="2980" t="s">
        <v>3171</v>
      </c>
      <c r="C57" s="2980" t="s">
        <v>1326</v>
      </c>
      <c r="D57" s="2980" t="s">
        <v>1326</v>
      </c>
      <c r="E57" s="2980" t="s">
        <v>3224</v>
      </c>
      <c r="F57" s="2980" t="s">
        <v>3166</v>
      </c>
      <c r="G57" s="2980" t="s">
        <v>3182</v>
      </c>
      <c r="H57" s="2980" t="s">
        <v>3183</v>
      </c>
      <c r="I57" s="2980" t="s">
        <v>3377</v>
      </c>
      <c r="J57" s="2980" t="s">
        <v>3378</v>
      </c>
    </row>
    <row r="58" spans="1:10">
      <c r="A58" s="2980" t="s">
        <v>3374</v>
      </c>
      <c r="B58" s="2980" t="s">
        <v>3222</v>
      </c>
      <c r="C58" s="2980" t="s">
        <v>1326</v>
      </c>
      <c r="D58" s="2980" t="s">
        <v>1326</v>
      </c>
      <c r="E58" s="2980" t="s">
        <v>3224</v>
      </c>
      <c r="F58" s="2980" t="s">
        <v>3166</v>
      </c>
      <c r="G58" s="2980" t="s">
        <v>3182</v>
      </c>
      <c r="H58" s="2980" t="s">
        <v>3183</v>
      </c>
      <c r="I58" s="2980" t="s">
        <v>3379</v>
      </c>
      <c r="J58" s="2980" t="s">
        <v>3233</v>
      </c>
    </row>
    <row r="59" spans="1:10">
      <c r="A59" s="2980" t="s">
        <v>3374</v>
      </c>
      <c r="B59" s="2980" t="s">
        <v>3222</v>
      </c>
      <c r="C59" s="2980" t="s">
        <v>1326</v>
      </c>
      <c r="D59" s="2980" t="s">
        <v>1326</v>
      </c>
      <c r="E59" s="2980" t="s">
        <v>3224</v>
      </c>
      <c r="F59" s="2980" t="s">
        <v>3166</v>
      </c>
      <c r="G59" s="2980" t="s">
        <v>3182</v>
      </c>
      <c r="H59" s="2980" t="s">
        <v>3183</v>
      </c>
      <c r="I59" s="2980" t="s">
        <v>3380</v>
      </c>
      <c r="J59" s="2980" t="s">
        <v>3381</v>
      </c>
    </row>
    <row r="60" spans="1:10">
      <c r="A60" s="2980" t="s">
        <v>3382</v>
      </c>
      <c r="B60" s="2980" t="s">
        <v>3222</v>
      </c>
      <c r="C60" s="2980" t="s">
        <v>1326</v>
      </c>
      <c r="D60" s="2980" t="s">
        <v>1326</v>
      </c>
      <c r="E60" s="2980" t="s">
        <v>3224</v>
      </c>
      <c r="F60" s="2980" t="s">
        <v>3166</v>
      </c>
      <c r="G60" s="2980" t="s">
        <v>3182</v>
      </c>
      <c r="H60" s="2980" t="s">
        <v>3183</v>
      </c>
      <c r="I60" s="2980" t="s">
        <v>3383</v>
      </c>
      <c r="J60" s="2980" t="s">
        <v>3384</v>
      </c>
    </row>
    <row r="61" spans="1:10">
      <c r="A61" s="2980" t="s">
        <v>3382</v>
      </c>
      <c r="B61" s="2980" t="s">
        <v>3222</v>
      </c>
      <c r="C61" s="2980" t="s">
        <v>1326</v>
      </c>
      <c r="D61" s="2980" t="s">
        <v>1326</v>
      </c>
      <c r="E61" s="2980" t="s">
        <v>3224</v>
      </c>
      <c r="F61" s="2980" t="s">
        <v>3166</v>
      </c>
      <c r="G61" s="2980" t="s">
        <v>3182</v>
      </c>
      <c r="H61" s="2980" t="s">
        <v>3183</v>
      </c>
      <c r="I61" s="2980" t="s">
        <v>3225</v>
      </c>
      <c r="J61" s="2980" t="s">
        <v>3226</v>
      </c>
    </row>
    <row r="62" spans="1:10">
      <c r="A62" s="2980" t="s">
        <v>3382</v>
      </c>
      <c r="B62" s="2980" t="s">
        <v>3222</v>
      </c>
      <c r="C62" s="2980" t="s">
        <v>1326</v>
      </c>
      <c r="D62" s="2980" t="s">
        <v>1326</v>
      </c>
      <c r="E62" s="2980" t="s">
        <v>3224</v>
      </c>
      <c r="F62" s="2980" t="s">
        <v>3166</v>
      </c>
      <c r="G62" s="2980" t="s">
        <v>3182</v>
      </c>
      <c r="H62" s="2980" t="s">
        <v>3183</v>
      </c>
      <c r="I62" s="2980" t="s">
        <v>3385</v>
      </c>
      <c r="J62" s="2980" t="s">
        <v>3229</v>
      </c>
    </row>
    <row r="63" spans="1:10">
      <c r="A63" s="2980" t="s">
        <v>3382</v>
      </c>
      <c r="B63" s="2980" t="s">
        <v>3222</v>
      </c>
      <c r="C63" s="2980" t="s">
        <v>1326</v>
      </c>
      <c r="D63" s="2980" t="s">
        <v>1326</v>
      </c>
      <c r="E63" s="2980" t="s">
        <v>3224</v>
      </c>
      <c r="F63" s="2980" t="s">
        <v>3166</v>
      </c>
      <c r="G63" s="2980" t="s">
        <v>3182</v>
      </c>
      <c r="H63" s="2980" t="s">
        <v>3183</v>
      </c>
      <c r="I63" s="2980" t="s">
        <v>3386</v>
      </c>
      <c r="J63" s="2980" t="s">
        <v>3387</v>
      </c>
    </row>
    <row r="64" spans="1:10">
      <c r="A64" s="2980" t="s">
        <v>3382</v>
      </c>
      <c r="B64" s="2980" t="s">
        <v>3243</v>
      </c>
      <c r="C64" s="2980" t="s">
        <v>1326</v>
      </c>
      <c r="D64" s="2980" t="s">
        <v>1326</v>
      </c>
      <c r="E64" s="2980" t="s">
        <v>3224</v>
      </c>
      <c r="F64" s="2980" t="s">
        <v>3166</v>
      </c>
      <c r="G64" s="2980" t="s">
        <v>3167</v>
      </c>
      <c r="H64" s="2980" t="s">
        <v>3254</v>
      </c>
      <c r="I64" s="2980" t="s">
        <v>3255</v>
      </c>
      <c r="J64" s="2980" t="s">
        <v>3256</v>
      </c>
    </row>
    <row r="65" spans="1:10">
      <c r="A65" s="2980" t="s">
        <v>3388</v>
      </c>
      <c r="B65" s="2980" t="s">
        <v>3222</v>
      </c>
      <c r="C65" s="2980" t="s">
        <v>1326</v>
      </c>
      <c r="D65" s="2980" t="s">
        <v>1326</v>
      </c>
      <c r="E65" s="2980" t="s">
        <v>3224</v>
      </c>
      <c r="F65" s="2980" t="s">
        <v>3166</v>
      </c>
      <c r="G65" s="2980" t="s">
        <v>3182</v>
      </c>
      <c r="H65" s="2980" t="s">
        <v>3183</v>
      </c>
      <c r="I65" s="2980" t="s">
        <v>3228</v>
      </c>
      <c r="J65" s="2980" t="s">
        <v>3229</v>
      </c>
    </row>
    <row r="66" spans="1:10">
      <c r="A66" s="2980" t="s">
        <v>3389</v>
      </c>
      <c r="B66" s="2980" t="s">
        <v>3222</v>
      </c>
      <c r="C66" s="2980" t="s">
        <v>1326</v>
      </c>
      <c r="D66" s="2980" t="s">
        <v>1326</v>
      </c>
      <c r="E66" s="2980" t="s">
        <v>3224</v>
      </c>
      <c r="F66" s="2980" t="s">
        <v>3166</v>
      </c>
      <c r="G66" s="2980" t="s">
        <v>3182</v>
      </c>
      <c r="H66" s="2980" t="s">
        <v>3183</v>
      </c>
      <c r="I66" s="2980" t="s">
        <v>3390</v>
      </c>
      <c r="J66" s="2980" t="s">
        <v>3391</v>
      </c>
    </row>
    <row r="67" spans="1:10">
      <c r="A67" s="2980" t="s">
        <v>3392</v>
      </c>
      <c r="B67" s="2980" t="s">
        <v>3238</v>
      </c>
      <c r="C67" s="2980" t="s">
        <v>1326</v>
      </c>
      <c r="D67" s="2980" t="s">
        <v>1326</v>
      </c>
      <c r="E67" s="2980" t="s">
        <v>3224</v>
      </c>
      <c r="F67" s="2980" t="s">
        <v>3166</v>
      </c>
      <c r="G67" s="2980" t="s">
        <v>3182</v>
      </c>
      <c r="H67" s="2980" t="s">
        <v>3183</v>
      </c>
      <c r="I67" s="2980" t="s">
        <v>3393</v>
      </c>
      <c r="J67" s="2980" t="s">
        <v>3394</v>
      </c>
    </row>
    <row r="68" spans="1:10">
      <c r="A68" s="2980" t="s">
        <v>3395</v>
      </c>
      <c r="B68" s="2980" t="s">
        <v>3243</v>
      </c>
      <c r="C68" s="2980" t="s">
        <v>1326</v>
      </c>
      <c r="D68" s="2980" t="s">
        <v>1326</v>
      </c>
      <c r="E68" s="2980" t="s">
        <v>3224</v>
      </c>
      <c r="F68" s="2980" t="s">
        <v>3166</v>
      </c>
      <c r="G68" s="2980" t="s">
        <v>3167</v>
      </c>
      <c r="H68" s="2980" t="s">
        <v>3254</v>
      </c>
      <c r="I68" s="2980" t="s">
        <v>3255</v>
      </c>
      <c r="J68" s="2980" t="s">
        <v>3256</v>
      </c>
    </row>
    <row r="69" spans="1:10">
      <c r="A69" s="2980" t="s">
        <v>3396</v>
      </c>
      <c r="B69" s="2980" t="s">
        <v>3163</v>
      </c>
      <c r="C69" s="2980" t="s">
        <v>1326</v>
      </c>
      <c r="D69" s="2980" t="s">
        <v>1326</v>
      </c>
      <c r="E69" s="2980" t="s">
        <v>3224</v>
      </c>
      <c r="F69" s="2980" t="s">
        <v>3166</v>
      </c>
      <c r="G69" s="2980" t="s">
        <v>3182</v>
      </c>
      <c r="H69" s="2980" t="s">
        <v>3248</v>
      </c>
      <c r="I69" s="2980" t="s">
        <v>3397</v>
      </c>
      <c r="J69" s="2980" t="s">
        <v>3357</v>
      </c>
    </row>
    <row r="70" spans="1:10">
      <c r="A70" s="2980" t="s">
        <v>3396</v>
      </c>
      <c r="B70" s="2980" t="s">
        <v>3171</v>
      </c>
      <c r="C70" s="2980" t="s">
        <v>1326</v>
      </c>
      <c r="D70" s="2980" t="s">
        <v>1326</v>
      </c>
      <c r="E70" s="2980" t="s">
        <v>3224</v>
      </c>
      <c r="F70" s="2980" t="s">
        <v>3166</v>
      </c>
      <c r="G70" s="2980" t="s">
        <v>3167</v>
      </c>
      <c r="H70" s="2980" t="s">
        <v>3365</v>
      </c>
      <c r="I70" s="2980" t="s">
        <v>3398</v>
      </c>
      <c r="J70" s="2980" t="s">
        <v>3399</v>
      </c>
    </row>
    <row r="71" spans="1:10">
      <c r="A71" s="2980" t="s">
        <v>3396</v>
      </c>
      <c r="B71" s="2980" t="s">
        <v>3222</v>
      </c>
      <c r="C71" s="2980" t="s">
        <v>1326</v>
      </c>
      <c r="D71" s="2980" t="s">
        <v>1326</v>
      </c>
      <c r="E71" s="2980" t="s">
        <v>3224</v>
      </c>
      <c r="F71" s="2980" t="s">
        <v>3166</v>
      </c>
      <c r="G71" s="2980" t="s">
        <v>3182</v>
      </c>
      <c r="H71" s="2980" t="s">
        <v>3183</v>
      </c>
      <c r="I71" s="2980" t="s">
        <v>3400</v>
      </c>
      <c r="J71" s="2980" t="s">
        <v>3294</v>
      </c>
    </row>
    <row r="72" spans="1:10">
      <c r="A72" s="2980" t="s">
        <v>3401</v>
      </c>
      <c r="B72" s="2980" t="s">
        <v>3260</v>
      </c>
      <c r="C72" s="2980" t="s">
        <v>1326</v>
      </c>
      <c r="D72" s="2980" t="s">
        <v>1326</v>
      </c>
      <c r="E72" s="2980" t="s">
        <v>3224</v>
      </c>
      <c r="F72" s="2980" t="s">
        <v>3166</v>
      </c>
      <c r="G72" s="2980" t="s">
        <v>3182</v>
      </c>
      <c r="H72" s="2980" t="s">
        <v>3211</v>
      </c>
      <c r="I72" s="2980" t="s">
        <v>3402</v>
      </c>
      <c r="J72" s="2980" t="s">
        <v>3403</v>
      </c>
    </row>
    <row r="73" spans="1:10">
      <c r="A73" s="2980" t="s">
        <v>3401</v>
      </c>
      <c r="B73" s="2980" t="s">
        <v>3260</v>
      </c>
      <c r="C73" s="2980" t="s">
        <v>1326</v>
      </c>
      <c r="D73" s="2980" t="s">
        <v>1326</v>
      </c>
      <c r="E73" s="2980" t="s">
        <v>3224</v>
      </c>
      <c r="F73" s="2980" t="s">
        <v>3166</v>
      </c>
      <c r="G73" s="2980" t="s">
        <v>3295</v>
      </c>
      <c r="H73" s="2980" t="s">
        <v>3296</v>
      </c>
      <c r="I73" s="2980" t="s">
        <v>3404</v>
      </c>
      <c r="J73" s="2980" t="s">
        <v>3405</v>
      </c>
    </row>
    <row r="74" spans="1:10">
      <c r="A74" s="2980" t="s">
        <v>3406</v>
      </c>
      <c r="B74" s="2980" t="s">
        <v>3171</v>
      </c>
      <c r="C74" s="2980" t="s">
        <v>1326</v>
      </c>
      <c r="D74" s="2980" t="s">
        <v>1326</v>
      </c>
      <c r="E74" s="2980" t="s">
        <v>3224</v>
      </c>
      <c r="F74" s="2980" t="s">
        <v>3166</v>
      </c>
      <c r="G74" s="2980" t="s">
        <v>3182</v>
      </c>
      <c r="H74" s="2980" t="s">
        <v>3183</v>
      </c>
      <c r="I74" s="2980" t="s">
        <v>3407</v>
      </c>
      <c r="J74" s="2980" t="s">
        <v>3408</v>
      </c>
    </row>
    <row r="75" spans="1:10">
      <c r="A75" s="2980" t="s">
        <v>3406</v>
      </c>
      <c r="B75" s="2980" t="s">
        <v>3243</v>
      </c>
      <c r="C75" s="2980" t="s">
        <v>1326</v>
      </c>
      <c r="D75" s="2980" t="s">
        <v>1326</v>
      </c>
      <c r="E75" s="2980" t="s">
        <v>3224</v>
      </c>
      <c r="F75" s="2980" t="s">
        <v>3166</v>
      </c>
      <c r="G75" s="2980" t="s">
        <v>3167</v>
      </c>
      <c r="H75" s="2980" t="s">
        <v>3409</v>
      </c>
      <c r="I75" s="2980" t="s">
        <v>3410</v>
      </c>
      <c r="J75" s="2980" t="s">
        <v>3411</v>
      </c>
    </row>
    <row r="76" spans="1:10">
      <c r="A76" s="2980" t="s">
        <v>3412</v>
      </c>
      <c r="B76" s="2980" t="s">
        <v>3222</v>
      </c>
      <c r="C76" s="2980" t="s">
        <v>1326</v>
      </c>
      <c r="D76" s="2980" t="s">
        <v>1326</v>
      </c>
      <c r="E76" s="2980" t="s">
        <v>3224</v>
      </c>
      <c r="F76" s="2980" t="s">
        <v>3166</v>
      </c>
      <c r="G76" s="2980" t="s">
        <v>3182</v>
      </c>
      <c r="H76" s="2980" t="s">
        <v>3183</v>
      </c>
      <c r="I76" s="2980" t="s">
        <v>3413</v>
      </c>
      <c r="J76" s="2980" t="s">
        <v>3414</v>
      </c>
    </row>
    <row r="77" spans="1:10">
      <c r="A77" s="2980" t="s">
        <v>3415</v>
      </c>
      <c r="B77" s="2980" t="s">
        <v>3163</v>
      </c>
      <c r="C77" s="2980" t="s">
        <v>1326</v>
      </c>
      <c r="D77" s="2980" t="s">
        <v>1326</v>
      </c>
      <c r="E77" s="2980" t="s">
        <v>3224</v>
      </c>
      <c r="F77" s="2980" t="s">
        <v>3166</v>
      </c>
      <c r="G77" s="2980" t="s">
        <v>3182</v>
      </c>
      <c r="H77" s="2980" t="s">
        <v>3248</v>
      </c>
      <c r="I77" s="2980" t="s">
        <v>3416</v>
      </c>
      <c r="J77" s="2980" t="s">
        <v>3417</v>
      </c>
    </row>
    <row r="78" spans="1:10">
      <c r="A78" s="2980" t="s">
        <v>3415</v>
      </c>
      <c r="B78" s="2980" t="s">
        <v>3222</v>
      </c>
      <c r="C78" s="2980" t="s">
        <v>1326</v>
      </c>
      <c r="D78" s="2980" t="s">
        <v>1326</v>
      </c>
      <c r="E78" s="2980" t="s">
        <v>3224</v>
      </c>
      <c r="F78" s="2980" t="s">
        <v>3166</v>
      </c>
      <c r="G78" s="2980" t="s">
        <v>3182</v>
      </c>
      <c r="H78" s="2980" t="s">
        <v>3183</v>
      </c>
      <c r="I78" s="2980" t="s">
        <v>3418</v>
      </c>
      <c r="J78" s="2980" t="s">
        <v>3246</v>
      </c>
    </row>
    <row r="79" spans="1:10">
      <c r="A79" s="2980" t="s">
        <v>3419</v>
      </c>
      <c r="B79" s="2980" t="s">
        <v>3163</v>
      </c>
      <c r="C79" s="2980" t="s">
        <v>1326</v>
      </c>
      <c r="D79" s="2980" t="s">
        <v>1326</v>
      </c>
      <c r="E79" s="2980" t="s">
        <v>3224</v>
      </c>
      <c r="F79" s="2980" t="s">
        <v>3166</v>
      </c>
      <c r="G79" s="2980" t="s">
        <v>3182</v>
      </c>
      <c r="H79" s="2980" t="s">
        <v>3248</v>
      </c>
      <c r="I79" s="2980" t="s">
        <v>3420</v>
      </c>
      <c r="J79" s="2980" t="s">
        <v>3421</v>
      </c>
    </row>
    <row r="80" spans="1:10">
      <c r="A80" s="2980" t="s">
        <v>3422</v>
      </c>
      <c r="B80" s="2980" t="s">
        <v>3171</v>
      </c>
      <c r="C80" s="2980" t="s">
        <v>1326</v>
      </c>
      <c r="D80" s="2980" t="s">
        <v>1326</v>
      </c>
      <c r="E80" s="2980" t="s">
        <v>3224</v>
      </c>
      <c r="F80" s="2980" t="s">
        <v>3166</v>
      </c>
      <c r="G80" s="2980" t="s">
        <v>3182</v>
      </c>
      <c r="H80" s="2980" t="s">
        <v>3248</v>
      </c>
      <c r="I80" s="2980" t="s">
        <v>3423</v>
      </c>
      <c r="J80" s="2980" t="s">
        <v>3424</v>
      </c>
    </row>
    <row r="81" spans="1:10">
      <c r="A81" s="2980" t="s">
        <v>3422</v>
      </c>
      <c r="B81" s="2980" t="s">
        <v>3243</v>
      </c>
      <c r="C81" s="2980" t="s">
        <v>1326</v>
      </c>
      <c r="D81" s="2980" t="s">
        <v>1326</v>
      </c>
      <c r="E81" s="2980" t="s">
        <v>3224</v>
      </c>
      <c r="F81" s="2980" t="s">
        <v>3166</v>
      </c>
      <c r="G81" s="2980" t="s">
        <v>3167</v>
      </c>
      <c r="H81" s="2980" t="s">
        <v>3254</v>
      </c>
      <c r="I81" s="2980" t="s">
        <v>3255</v>
      </c>
      <c r="J81" s="2980" t="s">
        <v>3425</v>
      </c>
    </row>
    <row r="82" spans="1:10">
      <c r="A82" s="2980" t="s">
        <v>3426</v>
      </c>
      <c r="B82" s="2980" t="s">
        <v>3243</v>
      </c>
      <c r="C82" s="2980" t="s">
        <v>1326</v>
      </c>
      <c r="D82" s="2980" t="s">
        <v>1326</v>
      </c>
      <c r="E82" s="2980" t="s">
        <v>3224</v>
      </c>
      <c r="F82" s="2980" t="s">
        <v>3166</v>
      </c>
      <c r="G82" s="2980" t="s">
        <v>3167</v>
      </c>
      <c r="H82" s="2980" t="s">
        <v>3254</v>
      </c>
      <c r="I82" s="2980" t="s">
        <v>3255</v>
      </c>
      <c r="J82" s="2980" t="s">
        <v>3425</v>
      </c>
    </row>
    <row r="83" spans="1:10">
      <c r="A83" s="2980" t="s">
        <v>3426</v>
      </c>
      <c r="B83" s="2980" t="s">
        <v>3252</v>
      </c>
      <c r="C83" s="2980" t="s">
        <v>1326</v>
      </c>
      <c r="D83" s="2980" t="s">
        <v>1326</v>
      </c>
      <c r="E83" s="2980" t="s">
        <v>3224</v>
      </c>
      <c r="F83" s="2980" t="s">
        <v>3166</v>
      </c>
      <c r="G83" s="2980" t="s">
        <v>3167</v>
      </c>
      <c r="H83" s="2980" t="s">
        <v>3304</v>
      </c>
      <c r="I83" s="2980" t="s">
        <v>3305</v>
      </c>
      <c r="J83" s="2980" t="s">
        <v>3306</v>
      </c>
    </row>
    <row r="84" spans="1:10">
      <c r="A84" s="2980" t="s">
        <v>3427</v>
      </c>
      <c r="B84" s="2980" t="s">
        <v>3243</v>
      </c>
      <c r="C84" s="2980" t="s">
        <v>1326</v>
      </c>
      <c r="D84" s="2980" t="s">
        <v>1326</v>
      </c>
      <c r="E84" s="2980" t="s">
        <v>3224</v>
      </c>
      <c r="F84" s="2980" t="s">
        <v>3166</v>
      </c>
      <c r="G84" s="2980" t="s">
        <v>3167</v>
      </c>
      <c r="H84" s="2980" t="s">
        <v>3254</v>
      </c>
      <c r="I84" s="2980" t="s">
        <v>3255</v>
      </c>
      <c r="J84" s="2980" t="s">
        <v>3256</v>
      </c>
    </row>
    <row r="85" spans="1:10">
      <c r="A85" s="2980" t="s">
        <v>3428</v>
      </c>
      <c r="B85" s="2980" t="s">
        <v>3243</v>
      </c>
      <c r="C85" s="2980" t="s">
        <v>1326</v>
      </c>
      <c r="D85" s="2980" t="s">
        <v>1326</v>
      </c>
      <c r="E85" s="2980" t="s">
        <v>3224</v>
      </c>
      <c r="F85" s="2980" t="s">
        <v>3166</v>
      </c>
      <c r="G85" s="2980" t="s">
        <v>3167</v>
      </c>
      <c r="H85" s="2980" t="s">
        <v>3254</v>
      </c>
      <c r="I85" s="2980" t="s">
        <v>3255</v>
      </c>
      <c r="J85" s="2980" t="s">
        <v>3256</v>
      </c>
    </row>
    <row r="86" spans="1:10">
      <c r="A86" s="2980" t="s">
        <v>3429</v>
      </c>
      <c r="B86" s="2980" t="s">
        <v>3222</v>
      </c>
      <c r="C86" s="2980" t="s">
        <v>1326</v>
      </c>
      <c r="D86" s="2980" t="s">
        <v>1326</v>
      </c>
      <c r="E86" s="2980" t="s">
        <v>3224</v>
      </c>
      <c r="F86" s="2980" t="s">
        <v>3166</v>
      </c>
      <c r="G86" s="2980" t="s">
        <v>3182</v>
      </c>
      <c r="H86" s="2980" t="s">
        <v>3183</v>
      </c>
      <c r="I86" s="2980" t="s">
        <v>3430</v>
      </c>
      <c r="J86" s="2980" t="s">
        <v>3391</v>
      </c>
    </row>
    <row r="87" spans="1:10">
      <c r="A87" s="2980" t="s">
        <v>3431</v>
      </c>
      <c r="B87" s="2980" t="s">
        <v>3252</v>
      </c>
      <c r="C87" s="2980" t="s">
        <v>1326</v>
      </c>
      <c r="D87" s="2980" t="s">
        <v>1326</v>
      </c>
      <c r="E87" s="2980" t="s">
        <v>3224</v>
      </c>
      <c r="F87" s="2980" t="s">
        <v>3166</v>
      </c>
      <c r="G87" s="2980" t="s">
        <v>3278</v>
      </c>
      <c r="H87" s="2980" t="s">
        <v>3432</v>
      </c>
      <c r="I87" s="2980" t="s">
        <v>3433</v>
      </c>
      <c r="J87" s="2980" t="s">
        <v>3434</v>
      </c>
    </row>
    <row r="88" spans="1:10">
      <c r="A88" s="2980" t="s">
        <v>3431</v>
      </c>
      <c r="B88" s="2980" t="s">
        <v>3171</v>
      </c>
      <c r="C88" s="2980" t="s">
        <v>1326</v>
      </c>
      <c r="D88" s="2980" t="s">
        <v>1326</v>
      </c>
      <c r="E88" s="2980" t="s">
        <v>3224</v>
      </c>
      <c r="F88" s="2980" t="s">
        <v>3166</v>
      </c>
      <c r="G88" s="2980" t="s">
        <v>3182</v>
      </c>
      <c r="H88" s="2980" t="s">
        <v>3183</v>
      </c>
      <c r="I88" s="2980" t="s">
        <v>3435</v>
      </c>
      <c r="J88" s="2980" t="s">
        <v>3436</v>
      </c>
    </row>
    <row r="89" spans="1:10">
      <c r="A89" s="2980" t="s">
        <v>3437</v>
      </c>
      <c r="B89" s="2980" t="s">
        <v>3243</v>
      </c>
      <c r="C89" s="2980" t="s">
        <v>1326</v>
      </c>
      <c r="D89" s="2980" t="s">
        <v>1326</v>
      </c>
      <c r="E89" s="2980" t="s">
        <v>3224</v>
      </c>
      <c r="F89" s="2980" t="s">
        <v>3166</v>
      </c>
      <c r="G89" s="2980" t="s">
        <v>3182</v>
      </c>
      <c r="H89" s="2980" t="s">
        <v>3211</v>
      </c>
      <c r="I89" s="2980" t="s">
        <v>3438</v>
      </c>
      <c r="J89" s="2980" t="s">
        <v>3233</v>
      </c>
    </row>
    <row r="90" spans="1:10">
      <c r="A90" s="2980" t="s">
        <v>3437</v>
      </c>
      <c r="B90" s="2980" t="s">
        <v>3163</v>
      </c>
      <c r="C90" s="2980" t="s">
        <v>1326</v>
      </c>
      <c r="D90" s="2980" t="s">
        <v>1326</v>
      </c>
      <c r="E90" s="2980" t="s">
        <v>3224</v>
      </c>
      <c r="F90" s="2980" t="s">
        <v>3166</v>
      </c>
      <c r="G90" s="2980" t="s">
        <v>3182</v>
      </c>
      <c r="H90" s="2980" t="s">
        <v>3248</v>
      </c>
      <c r="I90" s="2980" t="s">
        <v>3439</v>
      </c>
      <c r="J90" s="2980" t="s">
        <v>3440</v>
      </c>
    </row>
    <row r="91" spans="1:10">
      <c r="A91" s="2980" t="s">
        <v>3441</v>
      </c>
      <c r="B91" s="2980" t="s">
        <v>3163</v>
      </c>
      <c r="C91" s="2980" t="s">
        <v>1326</v>
      </c>
      <c r="D91" s="2980" t="s">
        <v>1326</v>
      </c>
      <c r="E91" s="2980" t="s">
        <v>3224</v>
      </c>
      <c r="F91" s="2980" t="s">
        <v>3166</v>
      </c>
      <c r="G91" s="2980" t="s">
        <v>3182</v>
      </c>
      <c r="H91" s="2980" t="s">
        <v>3248</v>
      </c>
      <c r="I91" s="2980" t="s">
        <v>3442</v>
      </c>
      <c r="J91" s="2980" t="s">
        <v>3443</v>
      </c>
    </row>
    <row r="92" spans="1:10">
      <c r="A92" s="2980" t="s">
        <v>3444</v>
      </c>
      <c r="B92" s="2980" t="s">
        <v>3171</v>
      </c>
      <c r="C92" s="2980" t="s">
        <v>1326</v>
      </c>
      <c r="D92" s="2980" t="s">
        <v>1326</v>
      </c>
      <c r="E92" s="2980" t="s">
        <v>3224</v>
      </c>
      <c r="F92" s="2980" t="s">
        <v>3166</v>
      </c>
      <c r="G92" s="2980" t="s">
        <v>3182</v>
      </c>
      <c r="H92" s="2980" t="s">
        <v>3183</v>
      </c>
      <c r="I92" s="2980" t="s">
        <v>3307</v>
      </c>
      <c r="J92" s="2980" t="s">
        <v>3308</v>
      </c>
    </row>
    <row r="93" spans="1:10">
      <c r="A93" s="2980" t="s">
        <v>3444</v>
      </c>
      <c r="B93" s="2980" t="s">
        <v>3252</v>
      </c>
      <c r="C93" s="2980" t="s">
        <v>1326</v>
      </c>
      <c r="D93" s="2980" t="s">
        <v>1326</v>
      </c>
      <c r="E93" s="2980" t="s">
        <v>3224</v>
      </c>
      <c r="F93" s="2980" t="s">
        <v>3166</v>
      </c>
      <c r="G93" s="2980" t="s">
        <v>3167</v>
      </c>
      <c r="H93" s="2980" t="s">
        <v>3304</v>
      </c>
      <c r="I93" s="2980" t="s">
        <v>3305</v>
      </c>
      <c r="J93" s="2980" t="s">
        <v>3306</v>
      </c>
    </row>
    <row r="94" spans="1:10">
      <c r="A94" s="2980" t="s">
        <v>3445</v>
      </c>
      <c r="B94" s="2980" t="s">
        <v>3243</v>
      </c>
      <c r="C94" s="2980" t="s">
        <v>1326</v>
      </c>
      <c r="D94" s="2980" t="s">
        <v>1326</v>
      </c>
      <c r="E94" s="2980" t="s">
        <v>3224</v>
      </c>
      <c r="F94" s="2980" t="s">
        <v>3166</v>
      </c>
      <c r="G94" s="2980" t="s">
        <v>3278</v>
      </c>
      <c r="H94" s="2980" t="s">
        <v>3446</v>
      </c>
      <c r="I94" s="2980" t="s">
        <v>3447</v>
      </c>
      <c r="J94" s="2980" t="s">
        <v>3448</v>
      </c>
    </row>
    <row r="95" spans="1:10">
      <c r="A95" s="2980" t="s">
        <v>3449</v>
      </c>
      <c r="B95" s="2980" t="s">
        <v>3238</v>
      </c>
      <c r="C95" s="2980" t="s">
        <v>1326</v>
      </c>
      <c r="D95" s="2980" t="s">
        <v>1326</v>
      </c>
      <c r="E95" s="2980" t="s">
        <v>3224</v>
      </c>
      <c r="F95" s="2980" t="s">
        <v>3166</v>
      </c>
      <c r="G95" s="2980" t="s">
        <v>3182</v>
      </c>
      <c r="H95" s="2980" t="s">
        <v>3183</v>
      </c>
      <c r="I95" s="2980" t="s">
        <v>3393</v>
      </c>
      <c r="J95" s="2980" t="s">
        <v>3394</v>
      </c>
    </row>
    <row r="96" spans="1:10">
      <c r="A96" s="2980" t="s">
        <v>3449</v>
      </c>
      <c r="B96" s="2980" t="s">
        <v>3171</v>
      </c>
      <c r="C96" s="2980" t="s">
        <v>1326</v>
      </c>
      <c r="D96" s="2980" t="s">
        <v>1326</v>
      </c>
      <c r="E96" s="2980" t="s">
        <v>3224</v>
      </c>
      <c r="F96" s="2980" t="s">
        <v>3166</v>
      </c>
      <c r="G96" s="2980" t="s">
        <v>3182</v>
      </c>
      <c r="H96" s="2980" t="s">
        <v>3183</v>
      </c>
      <c r="I96" s="2980" t="s">
        <v>3377</v>
      </c>
      <c r="J96" s="2980" t="s">
        <v>3378</v>
      </c>
    </row>
    <row r="97" spans="1:10">
      <c r="A97" s="2980" t="s">
        <v>3450</v>
      </c>
      <c r="B97" s="2980" t="s">
        <v>3222</v>
      </c>
      <c r="C97" s="2980" t="s">
        <v>1326</v>
      </c>
      <c r="D97" s="2980" t="s">
        <v>1326</v>
      </c>
      <c r="E97" s="2980" t="s">
        <v>3224</v>
      </c>
      <c r="F97" s="2980" t="s">
        <v>3166</v>
      </c>
      <c r="G97" s="2980" t="s">
        <v>3182</v>
      </c>
      <c r="H97" s="2980" t="s">
        <v>3183</v>
      </c>
      <c r="I97" s="2980" t="s">
        <v>3451</v>
      </c>
      <c r="J97" s="2980" t="s">
        <v>3452</v>
      </c>
    </row>
    <row r="98" spans="1:10">
      <c r="A98" s="2980" t="s">
        <v>3453</v>
      </c>
      <c r="B98" s="2980" t="s">
        <v>3171</v>
      </c>
      <c r="C98" s="2980" t="s">
        <v>1326</v>
      </c>
      <c r="D98" s="2980" t="s">
        <v>1326</v>
      </c>
      <c r="E98" s="2980" t="s">
        <v>3224</v>
      </c>
      <c r="F98" s="2980" t="s">
        <v>3166</v>
      </c>
      <c r="G98" s="2980" t="s">
        <v>3182</v>
      </c>
      <c r="H98" s="2980" t="s">
        <v>3183</v>
      </c>
      <c r="I98" s="2980" t="s">
        <v>3377</v>
      </c>
      <c r="J98" s="2980" t="s">
        <v>3378</v>
      </c>
    </row>
    <row r="99" spans="1:10">
      <c r="A99" s="2980" t="s">
        <v>3454</v>
      </c>
      <c r="B99" s="2980" t="s">
        <v>3171</v>
      </c>
      <c r="C99" s="2980" t="s">
        <v>1326</v>
      </c>
      <c r="D99" s="2980" t="s">
        <v>1326</v>
      </c>
      <c r="E99" s="2980" t="s">
        <v>3224</v>
      </c>
      <c r="F99" s="2980" t="s">
        <v>3166</v>
      </c>
      <c r="G99" s="2980" t="s">
        <v>3182</v>
      </c>
      <c r="H99" s="2980" t="s">
        <v>3183</v>
      </c>
      <c r="I99" s="2980" t="s">
        <v>3455</v>
      </c>
      <c r="J99" s="2980" t="s">
        <v>3456</v>
      </c>
    </row>
    <row r="100" spans="1:10">
      <c r="A100" s="2980" t="s">
        <v>3457</v>
      </c>
      <c r="B100" s="2980" t="s">
        <v>3243</v>
      </c>
      <c r="C100" s="2980" t="s">
        <v>1326</v>
      </c>
      <c r="D100" s="2980" t="s">
        <v>1326</v>
      </c>
      <c r="E100" s="2980" t="s">
        <v>3224</v>
      </c>
      <c r="F100" s="2980" t="s">
        <v>3166</v>
      </c>
      <c r="G100" s="2980" t="s">
        <v>3167</v>
      </c>
      <c r="H100" s="2980" t="s">
        <v>3254</v>
      </c>
      <c r="I100" s="2980" t="s">
        <v>3255</v>
      </c>
      <c r="J100" s="2980" t="s">
        <v>3256</v>
      </c>
    </row>
    <row r="101" spans="1:10">
      <c r="A101" s="2980" t="s">
        <v>3458</v>
      </c>
      <c r="B101" s="2980" t="s">
        <v>3243</v>
      </c>
      <c r="C101" s="2980" t="s">
        <v>1326</v>
      </c>
      <c r="D101" s="2980" t="s">
        <v>1326</v>
      </c>
      <c r="E101" s="2980" t="s">
        <v>3224</v>
      </c>
      <c r="F101" s="2980" t="s">
        <v>3166</v>
      </c>
      <c r="G101" s="2980" t="s">
        <v>3167</v>
      </c>
      <c r="H101" s="2980" t="s">
        <v>3254</v>
      </c>
      <c r="I101" s="2980" t="s">
        <v>3255</v>
      </c>
      <c r="J101" s="2980" t="s">
        <v>3425</v>
      </c>
    </row>
    <row r="102" spans="1:10">
      <c r="A102" s="2980" t="s">
        <v>3459</v>
      </c>
      <c r="B102" s="2980" t="s">
        <v>3163</v>
      </c>
      <c r="C102" s="2980" t="s">
        <v>1326</v>
      </c>
      <c r="D102" s="2980" t="s">
        <v>1326</v>
      </c>
      <c r="E102" s="2980" t="s">
        <v>3224</v>
      </c>
      <c r="F102" s="2980" t="s">
        <v>3166</v>
      </c>
      <c r="G102" s="2980" t="s">
        <v>3182</v>
      </c>
      <c r="H102" s="2980" t="s">
        <v>3248</v>
      </c>
      <c r="I102" s="2980" t="s">
        <v>3460</v>
      </c>
      <c r="J102" s="2980" t="s">
        <v>3376</v>
      </c>
    </row>
    <row r="103" spans="1:10">
      <c r="A103" s="2980" t="s">
        <v>3459</v>
      </c>
      <c r="B103" s="2980" t="s">
        <v>3222</v>
      </c>
      <c r="C103" s="2980" t="s">
        <v>1326</v>
      </c>
      <c r="D103" s="2980" t="s">
        <v>1326</v>
      </c>
      <c r="E103" s="2980" t="s">
        <v>3224</v>
      </c>
      <c r="F103" s="2980" t="s">
        <v>3166</v>
      </c>
      <c r="G103" s="2980" t="s">
        <v>3182</v>
      </c>
      <c r="H103" s="2980" t="s">
        <v>3183</v>
      </c>
      <c r="I103" s="2980" t="s">
        <v>3461</v>
      </c>
      <c r="J103" s="2980" t="s">
        <v>3233</v>
      </c>
    </row>
    <row r="104" spans="1:10">
      <c r="A104" s="2980" t="s">
        <v>3459</v>
      </c>
      <c r="B104" s="2980" t="s">
        <v>3243</v>
      </c>
      <c r="C104" s="2980" t="s">
        <v>1326</v>
      </c>
      <c r="D104" s="2980" t="s">
        <v>1326</v>
      </c>
      <c r="E104" s="2980" t="s">
        <v>3224</v>
      </c>
      <c r="F104" s="2980" t="s">
        <v>3166</v>
      </c>
      <c r="G104" s="2980" t="s">
        <v>3167</v>
      </c>
      <c r="H104" s="2980" t="s">
        <v>3254</v>
      </c>
      <c r="I104" s="2980" t="s">
        <v>3255</v>
      </c>
      <c r="J104" s="2980" t="s">
        <v>3425</v>
      </c>
    </row>
    <row r="105" spans="1:10">
      <c r="A105" s="2980" t="s">
        <v>3462</v>
      </c>
      <c r="B105" s="2980" t="s">
        <v>3222</v>
      </c>
      <c r="C105" s="2980" t="s">
        <v>1326</v>
      </c>
      <c r="D105" s="2980" t="s">
        <v>1326</v>
      </c>
      <c r="E105" s="2980" t="s">
        <v>3224</v>
      </c>
      <c r="F105" s="2980" t="s">
        <v>3166</v>
      </c>
      <c r="G105" s="2980" t="s">
        <v>3182</v>
      </c>
      <c r="H105" s="2980" t="s">
        <v>3183</v>
      </c>
      <c r="I105" s="2980" t="s">
        <v>3310</v>
      </c>
      <c r="J105" s="2980" t="s">
        <v>3284</v>
      </c>
    </row>
    <row r="106" spans="1:10">
      <c r="A106" s="2980" t="s">
        <v>3463</v>
      </c>
      <c r="B106" s="2980" t="s">
        <v>3222</v>
      </c>
      <c r="C106" s="2980" t="s">
        <v>1326</v>
      </c>
      <c r="D106" s="2980" t="s">
        <v>1326</v>
      </c>
      <c r="E106" s="2980" t="s">
        <v>3224</v>
      </c>
      <c r="F106" s="2980" t="s">
        <v>3166</v>
      </c>
      <c r="G106" s="2980" t="s">
        <v>3182</v>
      </c>
      <c r="H106" s="2980" t="s">
        <v>3183</v>
      </c>
      <c r="I106" s="2980" t="s">
        <v>3464</v>
      </c>
      <c r="J106" s="2980" t="s">
        <v>3465</v>
      </c>
    </row>
    <row r="107" spans="1:10">
      <c r="A107" s="2980" t="s">
        <v>3463</v>
      </c>
      <c r="B107" s="2980" t="s">
        <v>3252</v>
      </c>
      <c r="C107" s="2980" t="s">
        <v>1326</v>
      </c>
      <c r="D107" s="2980" t="s">
        <v>1326</v>
      </c>
      <c r="E107" s="2980" t="s">
        <v>3224</v>
      </c>
      <c r="F107" s="2980" t="s">
        <v>3166</v>
      </c>
      <c r="G107" s="2980" t="s">
        <v>3167</v>
      </c>
      <c r="H107" s="2980" t="s">
        <v>3304</v>
      </c>
      <c r="I107" s="2980" t="s">
        <v>3305</v>
      </c>
      <c r="J107" s="2980" t="s">
        <v>3306</v>
      </c>
    </row>
    <row r="108" spans="1:10">
      <c r="A108" s="2980" t="s">
        <v>3463</v>
      </c>
      <c r="B108" s="2980" t="s">
        <v>3222</v>
      </c>
      <c r="C108" s="2980" t="s">
        <v>1326</v>
      </c>
      <c r="D108" s="2980" t="s">
        <v>1326</v>
      </c>
      <c r="E108" s="2980" t="s">
        <v>3224</v>
      </c>
      <c r="F108" s="2980" t="s">
        <v>3166</v>
      </c>
      <c r="G108" s="2980" t="s">
        <v>3182</v>
      </c>
      <c r="H108" s="2980" t="s">
        <v>3183</v>
      </c>
      <c r="I108" s="2980" t="s">
        <v>3466</v>
      </c>
      <c r="J108" s="2980" t="s">
        <v>3467</v>
      </c>
    </row>
    <row r="109" spans="1:10">
      <c r="A109" s="2980" t="s">
        <v>3468</v>
      </c>
      <c r="B109" s="2980" t="s">
        <v>3163</v>
      </c>
      <c r="C109" s="2980" t="s">
        <v>1326</v>
      </c>
      <c r="D109" s="2980" t="s">
        <v>1326</v>
      </c>
      <c r="E109" s="2980" t="s">
        <v>3224</v>
      </c>
      <c r="F109" s="2980" t="s">
        <v>3166</v>
      </c>
      <c r="G109" s="2980" t="s">
        <v>3182</v>
      </c>
      <c r="H109" s="2980" t="s">
        <v>3248</v>
      </c>
      <c r="I109" s="2980" t="s">
        <v>3469</v>
      </c>
      <c r="J109" s="2980" t="s">
        <v>3470</v>
      </c>
    </row>
    <row r="110" spans="1:10">
      <c r="A110" s="2980" t="s">
        <v>3471</v>
      </c>
      <c r="B110" s="2980" t="s">
        <v>3171</v>
      </c>
      <c r="C110" s="2980" t="s">
        <v>1326</v>
      </c>
      <c r="D110" s="2980" t="s">
        <v>1326</v>
      </c>
      <c r="E110" s="2980" t="s">
        <v>3224</v>
      </c>
      <c r="F110" s="2980" t="s">
        <v>3166</v>
      </c>
      <c r="G110" s="2980" t="s">
        <v>3182</v>
      </c>
      <c r="H110" s="2980" t="s">
        <v>3183</v>
      </c>
      <c r="I110" s="2980" t="s">
        <v>3455</v>
      </c>
      <c r="J110" s="2980" t="s">
        <v>3456</v>
      </c>
    </row>
    <row r="111" spans="1:10">
      <c r="A111" s="2980" t="s">
        <v>3472</v>
      </c>
      <c r="B111" s="2980" t="s">
        <v>3260</v>
      </c>
      <c r="C111" s="2980" t="s">
        <v>1326</v>
      </c>
      <c r="D111" s="2980" t="s">
        <v>1326</v>
      </c>
      <c r="E111" s="2980" t="s">
        <v>3224</v>
      </c>
      <c r="F111" s="2980" t="s">
        <v>3166</v>
      </c>
      <c r="G111" s="2980" t="s">
        <v>3295</v>
      </c>
      <c r="H111" s="2980" t="s">
        <v>3296</v>
      </c>
      <c r="I111" s="2980" t="s">
        <v>3473</v>
      </c>
      <c r="J111" s="2980" t="s">
        <v>3474</v>
      </c>
    </row>
    <row r="112" spans="1:10">
      <c r="A112" s="2980" t="s">
        <v>3472</v>
      </c>
      <c r="B112" s="2980" t="s">
        <v>3171</v>
      </c>
      <c r="C112" s="2980" t="s">
        <v>1326</v>
      </c>
      <c r="D112" s="2980" t="s">
        <v>1326</v>
      </c>
      <c r="E112" s="2980" t="s">
        <v>3224</v>
      </c>
      <c r="F112" s="2980" t="s">
        <v>3166</v>
      </c>
      <c r="G112" s="2980" t="s">
        <v>3182</v>
      </c>
      <c r="H112" s="2980" t="s">
        <v>3211</v>
      </c>
      <c r="I112" s="2980" t="s">
        <v>3475</v>
      </c>
      <c r="J112" s="2980" t="s">
        <v>3476</v>
      </c>
    </row>
    <row r="113" spans="1:10">
      <c r="A113" s="2980" t="s">
        <v>3477</v>
      </c>
      <c r="B113" s="2980" t="s">
        <v>3222</v>
      </c>
      <c r="C113" s="2980" t="s">
        <v>1326</v>
      </c>
      <c r="D113" s="2980" t="s">
        <v>3478</v>
      </c>
      <c r="E113" s="2980" t="s">
        <v>3224</v>
      </c>
      <c r="F113" s="2980" t="s">
        <v>3166</v>
      </c>
      <c r="G113" s="2980" t="s">
        <v>3182</v>
      </c>
      <c r="H113" s="2980" t="s">
        <v>3183</v>
      </c>
      <c r="I113" s="2980" t="s">
        <v>3479</v>
      </c>
      <c r="J113" s="2980" t="s">
        <v>3480</v>
      </c>
    </row>
    <row r="114" spans="1:10">
      <c r="A114" s="2980" t="s">
        <v>3477</v>
      </c>
      <c r="B114" s="2980" t="s">
        <v>3171</v>
      </c>
      <c r="C114" s="2980" t="s">
        <v>1326</v>
      </c>
      <c r="D114" s="2980" t="s">
        <v>3481</v>
      </c>
      <c r="E114" s="2980" t="s">
        <v>3224</v>
      </c>
      <c r="F114" s="2980" t="s">
        <v>3166</v>
      </c>
      <c r="G114" s="2980" t="s">
        <v>3182</v>
      </c>
      <c r="H114" s="2980" t="s">
        <v>3211</v>
      </c>
      <c r="I114" s="2980" t="s">
        <v>3475</v>
      </c>
      <c r="J114" s="2980" t="s">
        <v>3476</v>
      </c>
    </row>
    <row r="115" spans="1:10">
      <c r="A115" s="2980" t="s">
        <v>3477</v>
      </c>
      <c r="B115" s="2980" t="s">
        <v>3222</v>
      </c>
      <c r="C115" s="2980" t="s">
        <v>1326</v>
      </c>
      <c r="D115" s="2980" t="s">
        <v>3231</v>
      </c>
      <c r="E115" s="2980" t="s">
        <v>3224</v>
      </c>
      <c r="F115" s="2980" t="s">
        <v>3166</v>
      </c>
      <c r="G115" s="2980" t="s">
        <v>3182</v>
      </c>
      <c r="H115" s="2980" t="s">
        <v>3183</v>
      </c>
      <c r="I115" s="2980" t="s">
        <v>3482</v>
      </c>
      <c r="J115" s="2980" t="s">
        <v>3483</v>
      </c>
    </row>
    <row r="116" spans="1:10">
      <c r="A116" s="2980" t="s">
        <v>3477</v>
      </c>
      <c r="B116" s="2980" t="s">
        <v>3252</v>
      </c>
      <c r="C116" s="2980" t="s">
        <v>1326</v>
      </c>
      <c r="D116" s="2980" t="s">
        <v>3484</v>
      </c>
      <c r="E116" s="2980" t="s">
        <v>3224</v>
      </c>
      <c r="F116" s="2980" t="s">
        <v>3166</v>
      </c>
      <c r="G116" s="2980" t="s">
        <v>3167</v>
      </c>
      <c r="H116" s="2980" t="s">
        <v>3304</v>
      </c>
      <c r="I116" s="2980" t="s">
        <v>3305</v>
      </c>
      <c r="J116" s="2980" t="s">
        <v>3306</v>
      </c>
    </row>
    <row r="117" spans="1:10">
      <c r="A117" s="2980" t="s">
        <v>3485</v>
      </c>
      <c r="B117" s="2980" t="s">
        <v>3230</v>
      </c>
      <c r="C117" s="2980" t="s">
        <v>1326</v>
      </c>
      <c r="D117" s="2980" t="s">
        <v>3273</v>
      </c>
      <c r="E117" s="2980" t="s">
        <v>3224</v>
      </c>
      <c r="F117" s="2980" t="s">
        <v>3166</v>
      </c>
      <c r="G117" s="2980" t="s">
        <v>3182</v>
      </c>
      <c r="H117" s="2980" t="s">
        <v>3183</v>
      </c>
      <c r="I117" s="2980" t="s">
        <v>3486</v>
      </c>
      <c r="J117" s="2980" t="s">
        <v>3465</v>
      </c>
    </row>
    <row r="118" spans="1:10">
      <c r="A118" s="2980" t="s">
        <v>3485</v>
      </c>
      <c r="B118" s="2980" t="s">
        <v>3238</v>
      </c>
      <c r="C118" s="2980" t="s">
        <v>1326</v>
      </c>
      <c r="D118" s="2980" t="s">
        <v>3181</v>
      </c>
      <c r="E118" s="2980" t="s">
        <v>3224</v>
      </c>
      <c r="F118" s="2980" t="s">
        <v>3166</v>
      </c>
      <c r="G118" s="2980" t="s">
        <v>3182</v>
      </c>
      <c r="H118" s="2980" t="s">
        <v>3183</v>
      </c>
      <c r="I118" s="2980" t="s">
        <v>3240</v>
      </c>
      <c r="J118" s="2980" t="s">
        <v>3241</v>
      </c>
    </row>
    <row r="119" spans="1:10">
      <c r="A119" s="2980" t="s">
        <v>3485</v>
      </c>
      <c r="B119" s="2980" t="s">
        <v>3252</v>
      </c>
      <c r="C119" s="2980" t="s">
        <v>1326</v>
      </c>
      <c r="D119" s="2980" t="s">
        <v>3487</v>
      </c>
      <c r="E119" s="2980" t="s">
        <v>3224</v>
      </c>
      <c r="F119" s="2980" t="s">
        <v>3166</v>
      </c>
      <c r="G119" s="2980" t="s">
        <v>3167</v>
      </c>
      <c r="H119" s="2980" t="s">
        <v>3304</v>
      </c>
      <c r="I119" s="2980" t="s">
        <v>3305</v>
      </c>
      <c r="J119" s="2980" t="s">
        <v>3306</v>
      </c>
    </row>
    <row r="120" spans="1:10">
      <c r="A120" s="2980" t="s">
        <v>3485</v>
      </c>
      <c r="B120" s="2980" t="s">
        <v>3243</v>
      </c>
      <c r="C120" s="2980" t="s">
        <v>1326</v>
      </c>
      <c r="D120" s="2980" t="s">
        <v>3488</v>
      </c>
      <c r="E120" s="2980" t="s">
        <v>3224</v>
      </c>
      <c r="F120" s="2980" t="s">
        <v>3166</v>
      </c>
      <c r="G120" s="2980" t="s">
        <v>3167</v>
      </c>
      <c r="H120" s="2980" t="s">
        <v>3254</v>
      </c>
      <c r="I120" s="2980" t="s">
        <v>3255</v>
      </c>
      <c r="J120" s="2980" t="s">
        <v>3256</v>
      </c>
    </row>
    <row r="121" spans="1:10">
      <c r="A121" s="2980" t="s">
        <v>3489</v>
      </c>
      <c r="B121" s="2980" t="s">
        <v>3243</v>
      </c>
      <c r="C121" s="2980" t="s">
        <v>1326</v>
      </c>
      <c r="D121" s="2980" t="s">
        <v>3490</v>
      </c>
      <c r="E121" s="2980" t="s">
        <v>3224</v>
      </c>
      <c r="F121" s="2980" t="s">
        <v>3166</v>
      </c>
      <c r="G121" s="2980" t="s">
        <v>3167</v>
      </c>
      <c r="H121" s="2980" t="s">
        <v>3491</v>
      </c>
      <c r="I121" s="2980" t="s">
        <v>3255</v>
      </c>
      <c r="J121" s="2980" t="s">
        <v>3492</v>
      </c>
    </row>
    <row r="122" spans="1:10">
      <c r="A122" s="2980" t="s">
        <v>3493</v>
      </c>
      <c r="B122" s="2980" t="s">
        <v>3243</v>
      </c>
      <c r="C122" s="2980" t="s">
        <v>1326</v>
      </c>
      <c r="D122" s="2980" t="s">
        <v>3266</v>
      </c>
      <c r="E122" s="2980" t="s">
        <v>3224</v>
      </c>
      <c r="F122" s="2980" t="s">
        <v>3166</v>
      </c>
      <c r="G122" s="2980" t="s">
        <v>3167</v>
      </c>
      <c r="H122" s="2980" t="s">
        <v>3254</v>
      </c>
      <c r="I122" s="2980" t="s">
        <v>3255</v>
      </c>
      <c r="J122" s="2980" t="s">
        <v>3425</v>
      </c>
    </row>
    <row r="123" spans="1:10">
      <c r="A123" s="2980" t="s">
        <v>3494</v>
      </c>
      <c r="B123" s="2980" t="s">
        <v>3252</v>
      </c>
      <c r="C123" s="2980" t="s">
        <v>1326</v>
      </c>
      <c r="D123" s="2980" t="s">
        <v>3495</v>
      </c>
      <c r="E123" s="2980" t="s">
        <v>3224</v>
      </c>
      <c r="F123" s="2980" t="s">
        <v>3166</v>
      </c>
      <c r="G123" s="2980" t="s">
        <v>3278</v>
      </c>
      <c r="H123" s="2980" t="s">
        <v>3496</v>
      </c>
      <c r="I123" s="2980" t="s">
        <v>3497</v>
      </c>
      <c r="J123" s="2980" t="s">
        <v>3498</v>
      </c>
    </row>
    <row r="124" spans="1:10">
      <c r="A124" s="2980" t="s">
        <v>3499</v>
      </c>
      <c r="B124" s="2980" t="s">
        <v>3163</v>
      </c>
      <c r="C124" s="2980" t="s">
        <v>1326</v>
      </c>
      <c r="D124" s="2980" t="s">
        <v>3273</v>
      </c>
      <c r="E124" s="2980" t="s">
        <v>3224</v>
      </c>
      <c r="F124" s="2980" t="s">
        <v>3166</v>
      </c>
      <c r="G124" s="2980" t="s">
        <v>3182</v>
      </c>
      <c r="H124" s="2980" t="s">
        <v>3248</v>
      </c>
      <c r="I124" s="2980" t="s">
        <v>3500</v>
      </c>
      <c r="J124" s="2980" t="s">
        <v>3501</v>
      </c>
    </row>
    <row r="125" spans="1:10">
      <c r="A125" s="2980" t="s">
        <v>3499</v>
      </c>
      <c r="B125" s="2980" t="s">
        <v>3260</v>
      </c>
      <c r="C125" s="2980" t="s">
        <v>1326</v>
      </c>
      <c r="D125" s="2980" t="s">
        <v>3343</v>
      </c>
      <c r="E125" s="2980" t="s">
        <v>3224</v>
      </c>
      <c r="F125" s="2980" t="s">
        <v>3166</v>
      </c>
      <c r="G125" s="2980" t="s">
        <v>3182</v>
      </c>
      <c r="H125" s="2980" t="s">
        <v>3211</v>
      </c>
      <c r="I125" s="2980" t="s">
        <v>3502</v>
      </c>
      <c r="J125" s="2980" t="s">
        <v>3503</v>
      </c>
    </row>
    <row r="126" spans="1:10">
      <c r="A126" s="2980" t="s">
        <v>3504</v>
      </c>
      <c r="B126" s="2980" t="s">
        <v>3252</v>
      </c>
      <c r="C126" s="2980" t="s">
        <v>1326</v>
      </c>
      <c r="D126" s="2980" t="s">
        <v>3505</v>
      </c>
      <c r="E126" s="2980" t="s">
        <v>3224</v>
      </c>
      <c r="F126" s="2980" t="s">
        <v>3166</v>
      </c>
      <c r="G126" s="2980" t="s">
        <v>3278</v>
      </c>
      <c r="H126" s="2980" t="s">
        <v>3496</v>
      </c>
      <c r="I126" s="2980" t="s">
        <v>3506</v>
      </c>
      <c r="J126" s="2980" t="s">
        <v>3507</v>
      </c>
    </row>
    <row r="127" spans="1:10">
      <c r="A127" s="2980" t="s">
        <v>3504</v>
      </c>
      <c r="B127" s="2980" t="s">
        <v>3222</v>
      </c>
      <c r="C127" s="2980" t="s">
        <v>1326</v>
      </c>
      <c r="D127" s="2980" t="s">
        <v>3508</v>
      </c>
      <c r="E127" s="2980" t="s">
        <v>3224</v>
      </c>
      <c r="F127" s="2980" t="s">
        <v>3166</v>
      </c>
      <c r="G127" s="2980" t="s">
        <v>3182</v>
      </c>
      <c r="H127" s="2980" t="s">
        <v>3183</v>
      </c>
      <c r="I127" s="2980" t="s">
        <v>3379</v>
      </c>
      <c r="J127" s="2980" t="s">
        <v>3233</v>
      </c>
    </row>
    <row r="128" spans="1:10">
      <c r="A128" s="2980" t="s">
        <v>3504</v>
      </c>
      <c r="B128" s="2980" t="s">
        <v>3243</v>
      </c>
      <c r="C128" s="2980" t="s">
        <v>1326</v>
      </c>
      <c r="D128" s="2980" t="s">
        <v>3509</v>
      </c>
      <c r="E128" s="2980" t="s">
        <v>3224</v>
      </c>
      <c r="F128" s="2980" t="s">
        <v>3166</v>
      </c>
      <c r="G128" s="2980" t="s">
        <v>3167</v>
      </c>
      <c r="H128" s="2980" t="s">
        <v>3254</v>
      </c>
      <c r="I128" s="2980" t="s">
        <v>3255</v>
      </c>
      <c r="J128" s="2980" t="s">
        <v>3264</v>
      </c>
    </row>
    <row r="129" spans="1:10">
      <c r="A129" s="2980" t="s">
        <v>3510</v>
      </c>
      <c r="B129" s="2980" t="s">
        <v>3171</v>
      </c>
      <c r="C129" s="2980" t="s">
        <v>1326</v>
      </c>
      <c r="D129" s="2980" t="s">
        <v>3181</v>
      </c>
      <c r="E129" s="2980" t="s">
        <v>3224</v>
      </c>
      <c r="F129" s="2980" t="s">
        <v>3166</v>
      </c>
      <c r="G129" s="2980" t="s">
        <v>3182</v>
      </c>
      <c r="H129" s="2980" t="s">
        <v>3183</v>
      </c>
      <c r="I129" s="2980" t="s">
        <v>3435</v>
      </c>
      <c r="J129" s="2980" t="s">
        <v>3436</v>
      </c>
    </row>
    <row r="130" spans="1:10">
      <c r="A130" s="2980" t="s">
        <v>3511</v>
      </c>
      <c r="B130" s="2980" t="s">
        <v>3222</v>
      </c>
      <c r="C130" s="2980" t="s">
        <v>1326</v>
      </c>
      <c r="D130" s="2980" t="s">
        <v>3512</v>
      </c>
      <c r="E130" s="2980" t="s">
        <v>3224</v>
      </c>
      <c r="F130" s="2980" t="s">
        <v>3166</v>
      </c>
      <c r="G130" s="2980" t="s">
        <v>3182</v>
      </c>
      <c r="H130" s="2980" t="s">
        <v>3183</v>
      </c>
      <c r="I130" s="2980" t="s">
        <v>3513</v>
      </c>
      <c r="J130" s="2980" t="s">
        <v>3514</v>
      </c>
    </row>
    <row r="131" spans="1:10">
      <c r="A131" s="2980" t="s">
        <v>3515</v>
      </c>
      <c r="B131" s="2980" t="s">
        <v>3171</v>
      </c>
      <c r="C131" s="2980" t="s">
        <v>1326</v>
      </c>
      <c r="D131" s="2980" t="s">
        <v>3516</v>
      </c>
      <c r="E131" s="2980" t="s">
        <v>3224</v>
      </c>
      <c r="F131" s="2980" t="s">
        <v>3166</v>
      </c>
      <c r="G131" s="2980" t="s">
        <v>3182</v>
      </c>
      <c r="H131" s="2980" t="s">
        <v>3248</v>
      </c>
      <c r="I131" s="2980" t="s">
        <v>3517</v>
      </c>
      <c r="J131" s="2980" t="s">
        <v>3518</v>
      </c>
    </row>
    <row r="132" spans="1:10">
      <c r="A132" s="2980" t="s">
        <v>3519</v>
      </c>
      <c r="B132" s="2980" t="s">
        <v>3163</v>
      </c>
      <c r="C132" s="2980" t="s">
        <v>1326</v>
      </c>
      <c r="D132" s="2980" t="s">
        <v>3520</v>
      </c>
      <c r="E132" s="2980" t="s">
        <v>3224</v>
      </c>
      <c r="F132" s="2980" t="s">
        <v>3166</v>
      </c>
      <c r="G132" s="2980" t="s">
        <v>3182</v>
      </c>
      <c r="H132" s="2980" t="s">
        <v>3248</v>
      </c>
      <c r="I132" s="2980" t="s">
        <v>3521</v>
      </c>
      <c r="J132" s="2980" t="s">
        <v>3522</v>
      </c>
    </row>
    <row r="133" spans="1:10">
      <c r="A133" s="2980" t="s">
        <v>3519</v>
      </c>
      <c r="B133" s="2980" t="s">
        <v>3171</v>
      </c>
      <c r="C133" s="2980" t="s">
        <v>1326</v>
      </c>
      <c r="D133" s="2980" t="s">
        <v>3523</v>
      </c>
      <c r="E133" s="2980" t="s">
        <v>3224</v>
      </c>
      <c r="F133" s="2980" t="s">
        <v>3166</v>
      </c>
      <c r="G133" s="2980" t="s">
        <v>3182</v>
      </c>
      <c r="H133" s="2980" t="s">
        <v>3211</v>
      </c>
      <c r="I133" s="2980" t="s">
        <v>3524</v>
      </c>
      <c r="J133" s="2980" t="s">
        <v>3525</v>
      </c>
    </row>
    <row r="134" spans="1:10">
      <c r="A134" s="2980" t="s">
        <v>3526</v>
      </c>
      <c r="B134" s="2980" t="s">
        <v>3243</v>
      </c>
      <c r="C134" s="2980" t="s">
        <v>1326</v>
      </c>
      <c r="D134" s="2980" t="s">
        <v>3319</v>
      </c>
      <c r="E134" s="2980" t="s">
        <v>3224</v>
      </c>
      <c r="F134" s="2980" t="s">
        <v>3166</v>
      </c>
      <c r="G134" s="2980" t="s">
        <v>3167</v>
      </c>
      <c r="H134" s="2980" t="s">
        <v>3254</v>
      </c>
      <c r="I134" s="2980" t="s">
        <v>3255</v>
      </c>
      <c r="J134" s="2980" t="s">
        <v>3425</v>
      </c>
    </row>
    <row r="135" spans="1:10">
      <c r="A135" s="2980" t="s">
        <v>3526</v>
      </c>
      <c r="B135" s="2980" t="s">
        <v>3222</v>
      </c>
      <c r="C135" s="2980" t="s">
        <v>1326</v>
      </c>
      <c r="D135" s="2980" t="s">
        <v>3527</v>
      </c>
      <c r="E135" s="2980" t="s">
        <v>3224</v>
      </c>
      <c r="F135" s="2980" t="s">
        <v>3166</v>
      </c>
      <c r="G135" s="2980" t="s">
        <v>3182</v>
      </c>
      <c r="H135" s="2980" t="s">
        <v>3183</v>
      </c>
      <c r="I135" s="2980" t="s">
        <v>3310</v>
      </c>
      <c r="J135" s="2980" t="s">
        <v>3284</v>
      </c>
    </row>
    <row r="136" spans="1:10">
      <c r="A136" s="2980" t="s">
        <v>3526</v>
      </c>
      <c r="B136" s="2980" t="s">
        <v>3171</v>
      </c>
      <c r="C136" s="2980" t="s">
        <v>1326</v>
      </c>
      <c r="D136" s="2980" t="s">
        <v>3528</v>
      </c>
      <c r="E136" s="2980" t="s">
        <v>3224</v>
      </c>
      <c r="F136" s="2980" t="s">
        <v>3166</v>
      </c>
      <c r="G136" s="2980" t="s">
        <v>3182</v>
      </c>
      <c r="H136" s="2980" t="s">
        <v>3248</v>
      </c>
      <c r="I136" s="2980" t="s">
        <v>3529</v>
      </c>
      <c r="J136" s="2980" t="s">
        <v>3530</v>
      </c>
    </row>
    <row r="137" spans="1:10">
      <c r="A137" s="2980" t="s">
        <v>3531</v>
      </c>
      <c r="B137" s="2980" t="s">
        <v>3163</v>
      </c>
      <c r="C137" s="2980" t="s">
        <v>1326</v>
      </c>
      <c r="D137" s="2980" t="s">
        <v>3532</v>
      </c>
      <c r="E137" s="2980" t="s">
        <v>3224</v>
      </c>
      <c r="F137" s="2980" t="s">
        <v>3166</v>
      </c>
      <c r="G137" s="2980" t="s">
        <v>3182</v>
      </c>
      <c r="H137" s="2980" t="s">
        <v>3248</v>
      </c>
      <c r="I137" s="2980" t="s">
        <v>3533</v>
      </c>
      <c r="J137" s="2980" t="s">
        <v>3534</v>
      </c>
    </row>
    <row r="138" spans="1:10">
      <c r="A138" s="2980" t="s">
        <v>3535</v>
      </c>
      <c r="B138" s="2980" t="s">
        <v>3171</v>
      </c>
      <c r="C138" s="2980" t="s">
        <v>1326</v>
      </c>
      <c r="D138" s="2980" t="s">
        <v>3536</v>
      </c>
      <c r="E138" s="2980" t="s">
        <v>3224</v>
      </c>
      <c r="F138" s="2980" t="s">
        <v>3166</v>
      </c>
      <c r="G138" s="2980" t="s">
        <v>3182</v>
      </c>
      <c r="H138" s="2980" t="s">
        <v>3183</v>
      </c>
      <c r="I138" s="2980" t="s">
        <v>3377</v>
      </c>
      <c r="J138" s="2980" t="s">
        <v>3378</v>
      </c>
    </row>
    <row r="139" spans="1:10">
      <c r="A139" s="2980" t="s">
        <v>3535</v>
      </c>
      <c r="B139" s="2980" t="s">
        <v>3171</v>
      </c>
      <c r="C139" s="2980" t="s">
        <v>1326</v>
      </c>
      <c r="D139" s="2980" t="s">
        <v>3537</v>
      </c>
      <c r="E139" s="2980" t="s">
        <v>3224</v>
      </c>
      <c r="F139" s="2980" t="s">
        <v>3166</v>
      </c>
      <c r="G139" s="2980" t="s">
        <v>3182</v>
      </c>
      <c r="H139" s="2980" t="s">
        <v>3183</v>
      </c>
      <c r="I139" s="2980" t="s">
        <v>3538</v>
      </c>
      <c r="J139" s="2980" t="s">
        <v>3539</v>
      </c>
    </row>
    <row r="140" spans="1:10">
      <c r="A140" s="2980" t="s">
        <v>3540</v>
      </c>
      <c r="B140" s="2980" t="s">
        <v>3171</v>
      </c>
      <c r="C140" s="2980" t="s">
        <v>1326</v>
      </c>
      <c r="D140" s="2980" t="s">
        <v>3312</v>
      </c>
      <c r="E140" s="2980" t="s">
        <v>3224</v>
      </c>
      <c r="F140" s="2980" t="s">
        <v>3166</v>
      </c>
      <c r="G140" s="2980" t="s">
        <v>3182</v>
      </c>
      <c r="H140" s="2980" t="s">
        <v>3183</v>
      </c>
      <c r="I140" s="2980" t="s">
        <v>3541</v>
      </c>
      <c r="J140" s="2980" t="s">
        <v>3542</v>
      </c>
    </row>
    <row r="141" spans="1:10">
      <c r="A141" s="2980" t="s">
        <v>3543</v>
      </c>
      <c r="B141" s="2980" t="s">
        <v>3163</v>
      </c>
      <c r="C141" s="2980" t="s">
        <v>1326</v>
      </c>
      <c r="D141" s="2980" t="s">
        <v>3527</v>
      </c>
      <c r="E141" s="2980" t="s">
        <v>3224</v>
      </c>
      <c r="F141" s="2980" t="s">
        <v>3166</v>
      </c>
      <c r="G141" s="2980" t="s">
        <v>3182</v>
      </c>
      <c r="H141" s="2980" t="s">
        <v>3248</v>
      </c>
      <c r="I141" s="2980" t="s">
        <v>3544</v>
      </c>
      <c r="J141" s="2980" t="s">
        <v>3545</v>
      </c>
    </row>
    <row r="142" spans="1:10">
      <c r="A142" s="2980" t="s">
        <v>3543</v>
      </c>
      <c r="B142" s="2980" t="s">
        <v>3171</v>
      </c>
      <c r="C142" s="2980" t="s">
        <v>1326</v>
      </c>
      <c r="D142" s="2980" t="s">
        <v>3309</v>
      </c>
      <c r="E142" s="2980" t="s">
        <v>3224</v>
      </c>
      <c r="F142" s="2980" t="s">
        <v>3166</v>
      </c>
      <c r="G142" s="2980" t="s">
        <v>3182</v>
      </c>
      <c r="H142" s="2980" t="s">
        <v>3183</v>
      </c>
      <c r="I142" s="2980" t="s">
        <v>3546</v>
      </c>
      <c r="J142" s="2980" t="s">
        <v>3547</v>
      </c>
    </row>
    <row r="143" spans="1:10">
      <c r="A143" s="2980" t="s">
        <v>3548</v>
      </c>
      <c r="B143" s="2980" t="s">
        <v>3222</v>
      </c>
      <c r="C143" s="2980" t="s">
        <v>1326</v>
      </c>
      <c r="D143" s="2980" t="s">
        <v>3236</v>
      </c>
      <c r="E143" s="2980" t="s">
        <v>3224</v>
      </c>
      <c r="F143" s="2980" t="s">
        <v>3166</v>
      </c>
      <c r="G143" s="2980" t="s">
        <v>3182</v>
      </c>
      <c r="H143" s="2980" t="s">
        <v>3183</v>
      </c>
      <c r="I143" s="2980" t="s">
        <v>3549</v>
      </c>
      <c r="J143" s="2980" t="s">
        <v>3550</v>
      </c>
    </row>
    <row r="144" spans="1:10">
      <c r="A144" s="2980" t="s">
        <v>3548</v>
      </c>
      <c r="B144" s="2980" t="s">
        <v>3222</v>
      </c>
      <c r="C144" s="2980" t="s">
        <v>1326</v>
      </c>
      <c r="D144" s="2980" t="s">
        <v>3551</v>
      </c>
      <c r="E144" s="2980" t="s">
        <v>3224</v>
      </c>
      <c r="F144" s="2980" t="s">
        <v>3166</v>
      </c>
      <c r="G144" s="2980" t="s">
        <v>3182</v>
      </c>
      <c r="H144" s="2980" t="s">
        <v>3183</v>
      </c>
      <c r="I144" s="2980" t="s">
        <v>3552</v>
      </c>
      <c r="J144" s="2980" t="s">
        <v>3553</v>
      </c>
    </row>
    <row r="145" spans="1:10">
      <c r="A145" s="2980" t="s">
        <v>3548</v>
      </c>
      <c r="B145" s="2980" t="s">
        <v>3163</v>
      </c>
      <c r="C145" s="2980" t="s">
        <v>1326</v>
      </c>
      <c r="D145" s="2980" t="s">
        <v>3551</v>
      </c>
      <c r="E145" s="2980" t="s">
        <v>3224</v>
      </c>
      <c r="F145" s="2980" t="s">
        <v>3166</v>
      </c>
      <c r="G145" s="2980" t="s">
        <v>3182</v>
      </c>
      <c r="H145" s="2980" t="s">
        <v>3248</v>
      </c>
      <c r="I145" s="2980" t="s">
        <v>3313</v>
      </c>
      <c r="J145" s="2980" t="s">
        <v>3314</v>
      </c>
    </row>
    <row r="146" spans="1:10">
      <c r="A146" s="2980" t="s">
        <v>3554</v>
      </c>
      <c r="B146" s="2980" t="s">
        <v>3243</v>
      </c>
      <c r="C146" s="2980" t="s">
        <v>1326</v>
      </c>
      <c r="D146" s="2980" t="s">
        <v>3239</v>
      </c>
      <c r="E146" s="2980" t="s">
        <v>3224</v>
      </c>
      <c r="F146" s="2980" t="s">
        <v>3166</v>
      </c>
      <c r="G146" s="2980" t="s">
        <v>3167</v>
      </c>
      <c r="H146" s="2980" t="s">
        <v>3409</v>
      </c>
      <c r="I146" s="2980" t="s">
        <v>3555</v>
      </c>
      <c r="J146" s="2980" t="s">
        <v>3556</v>
      </c>
    </row>
    <row r="147" spans="1:10">
      <c r="A147" s="2980" t="s">
        <v>3554</v>
      </c>
      <c r="B147" s="2980" t="s">
        <v>3222</v>
      </c>
      <c r="C147" s="2980" t="s">
        <v>1326</v>
      </c>
      <c r="D147" s="2980" t="s">
        <v>3557</v>
      </c>
      <c r="E147" s="2980" t="s">
        <v>3224</v>
      </c>
      <c r="F147" s="2980" t="s">
        <v>3166</v>
      </c>
      <c r="G147" s="2980" t="s">
        <v>3182</v>
      </c>
      <c r="H147" s="2980" t="s">
        <v>3183</v>
      </c>
      <c r="I147" s="2980" t="s">
        <v>3430</v>
      </c>
      <c r="J147" s="2980" t="s">
        <v>3391</v>
      </c>
    </row>
    <row r="148" spans="1:10">
      <c r="A148" s="2980" t="s">
        <v>3558</v>
      </c>
      <c r="B148" s="2980" t="s">
        <v>3171</v>
      </c>
      <c r="C148" s="2980" t="s">
        <v>1326</v>
      </c>
      <c r="D148" s="2980" t="s">
        <v>3557</v>
      </c>
      <c r="E148" s="2980" t="s">
        <v>3224</v>
      </c>
      <c r="F148" s="2980" t="s">
        <v>3166</v>
      </c>
      <c r="G148" s="2980" t="s">
        <v>3182</v>
      </c>
      <c r="H148" s="2980" t="s">
        <v>3183</v>
      </c>
      <c r="I148" s="2980" t="s">
        <v>3541</v>
      </c>
      <c r="J148" s="2980" t="s">
        <v>3542</v>
      </c>
    </row>
    <row r="149" spans="1:10">
      <c r="A149" s="2980" t="s">
        <v>3559</v>
      </c>
      <c r="B149" s="2980" t="s">
        <v>3163</v>
      </c>
      <c r="C149" s="2980" t="s">
        <v>1326</v>
      </c>
      <c r="D149" s="2980" t="s">
        <v>3560</v>
      </c>
      <c r="E149" s="2980" t="s">
        <v>3224</v>
      </c>
      <c r="F149" s="2980" t="s">
        <v>3166</v>
      </c>
      <c r="G149" s="2980" t="s">
        <v>3182</v>
      </c>
      <c r="H149" s="2980" t="s">
        <v>3248</v>
      </c>
      <c r="I149" s="2980" t="s">
        <v>3353</v>
      </c>
      <c r="J149" s="2980" t="s">
        <v>3314</v>
      </c>
    </row>
    <row r="150" spans="1:10">
      <c r="A150" s="2980" t="s">
        <v>3559</v>
      </c>
      <c r="B150" s="2980" t="s">
        <v>3222</v>
      </c>
      <c r="C150" s="2980" t="s">
        <v>1326</v>
      </c>
      <c r="D150" s="2980" t="s">
        <v>3561</v>
      </c>
      <c r="E150" s="2980" t="s">
        <v>3224</v>
      </c>
      <c r="F150" s="2980" t="s">
        <v>3166</v>
      </c>
      <c r="G150" s="2980" t="s">
        <v>3182</v>
      </c>
      <c r="H150" s="2980" t="s">
        <v>3183</v>
      </c>
      <c r="I150" s="2980" t="s">
        <v>3385</v>
      </c>
      <c r="J150" s="2980" t="s">
        <v>3229</v>
      </c>
    </row>
    <row r="151" spans="1:10">
      <c r="A151" s="2980" t="s">
        <v>3562</v>
      </c>
      <c r="B151" s="2980" t="s">
        <v>3163</v>
      </c>
      <c r="C151" s="2980" t="s">
        <v>1326</v>
      </c>
      <c r="D151" s="2980" t="s">
        <v>3327</v>
      </c>
      <c r="E151" s="2980" t="s">
        <v>3224</v>
      </c>
      <c r="F151" s="2980" t="s">
        <v>3166</v>
      </c>
      <c r="G151" s="2980" t="s">
        <v>3182</v>
      </c>
      <c r="H151" s="2980" t="s">
        <v>3248</v>
      </c>
      <c r="I151" s="2980" t="s">
        <v>3563</v>
      </c>
      <c r="J151" s="2980" t="s">
        <v>3564</v>
      </c>
    </row>
    <row r="152" spans="1:10">
      <c r="A152" s="2980" t="s">
        <v>3565</v>
      </c>
      <c r="B152" s="2980" t="s">
        <v>3171</v>
      </c>
      <c r="C152" s="2980" t="s">
        <v>1326</v>
      </c>
      <c r="D152" s="2980" t="s">
        <v>3285</v>
      </c>
      <c r="E152" s="2980" t="s">
        <v>3224</v>
      </c>
      <c r="F152" s="2980" t="s">
        <v>3166</v>
      </c>
      <c r="G152" s="2980" t="s">
        <v>3182</v>
      </c>
      <c r="H152" s="2980" t="s">
        <v>3183</v>
      </c>
      <c r="I152" s="2980" t="s">
        <v>3566</v>
      </c>
      <c r="J152" s="2980" t="s">
        <v>3567</v>
      </c>
    </row>
    <row r="153" spans="1:10">
      <c r="A153" s="2980" t="s">
        <v>3565</v>
      </c>
      <c r="B153" s="2980" t="s">
        <v>3222</v>
      </c>
      <c r="C153" s="2980" t="s">
        <v>1326</v>
      </c>
      <c r="D153" s="2980" t="s">
        <v>3495</v>
      </c>
      <c r="E153" s="2980" t="s">
        <v>3224</v>
      </c>
      <c r="F153" s="2980" t="s">
        <v>3166</v>
      </c>
      <c r="G153" s="2980" t="s">
        <v>3182</v>
      </c>
      <c r="H153" s="2980" t="s">
        <v>3183</v>
      </c>
      <c r="I153" s="2980" t="s">
        <v>3430</v>
      </c>
      <c r="J153" s="2980" t="s">
        <v>3391</v>
      </c>
    </row>
    <row r="154" spans="1:10">
      <c r="A154" s="2980" t="s">
        <v>3568</v>
      </c>
      <c r="B154" s="2980" t="s">
        <v>3171</v>
      </c>
      <c r="C154" s="2980" t="s">
        <v>1326</v>
      </c>
      <c r="D154" s="2980" t="s">
        <v>3527</v>
      </c>
      <c r="E154" s="2980" t="s">
        <v>3224</v>
      </c>
      <c r="F154" s="2980" t="s">
        <v>3166</v>
      </c>
      <c r="G154" s="2980" t="s">
        <v>3182</v>
      </c>
      <c r="H154" s="2980" t="s">
        <v>3183</v>
      </c>
      <c r="I154" s="2980" t="s">
        <v>3569</v>
      </c>
      <c r="J154" s="2980" t="s">
        <v>3547</v>
      </c>
    </row>
    <row r="155" spans="1:10">
      <c r="A155" s="2980" t="s">
        <v>3570</v>
      </c>
      <c r="B155" s="2980" t="s">
        <v>3238</v>
      </c>
      <c r="C155" s="2980" t="s">
        <v>1326</v>
      </c>
      <c r="D155" s="2980" t="s">
        <v>3571</v>
      </c>
      <c r="E155" s="2980" t="s">
        <v>3224</v>
      </c>
      <c r="F155" s="2980" t="s">
        <v>3166</v>
      </c>
      <c r="G155" s="2980" t="s">
        <v>3182</v>
      </c>
      <c r="H155" s="2980" t="s">
        <v>3183</v>
      </c>
      <c r="I155" s="2980" t="s">
        <v>3572</v>
      </c>
      <c r="J155" s="2980" t="s">
        <v>3573</v>
      </c>
    </row>
    <row r="156" spans="1:10">
      <c r="A156" s="2980" t="s">
        <v>3574</v>
      </c>
      <c r="B156" s="2980" t="s">
        <v>3252</v>
      </c>
      <c r="C156" s="2980" t="s">
        <v>1326</v>
      </c>
      <c r="D156" s="2980" t="s">
        <v>3575</v>
      </c>
      <c r="E156" s="2980" t="s">
        <v>3224</v>
      </c>
      <c r="F156" s="2980" t="s">
        <v>3166</v>
      </c>
      <c r="G156" s="2980" t="s">
        <v>3278</v>
      </c>
      <c r="H156" s="2980" t="s">
        <v>3576</v>
      </c>
      <c r="I156" s="2980" t="s">
        <v>3577</v>
      </c>
      <c r="J156" s="2980" t="s">
        <v>3578</v>
      </c>
    </row>
    <row r="157" spans="1:10">
      <c r="A157" s="2980" t="s">
        <v>3579</v>
      </c>
      <c r="B157" s="2980" t="s">
        <v>3252</v>
      </c>
      <c r="C157" s="2980" t="s">
        <v>1326</v>
      </c>
      <c r="D157" s="2980" t="s">
        <v>3580</v>
      </c>
      <c r="E157" s="2980" t="s">
        <v>3224</v>
      </c>
      <c r="F157" s="2980" t="s">
        <v>3166</v>
      </c>
      <c r="G157" s="2980" t="s">
        <v>3278</v>
      </c>
      <c r="H157" s="2980" t="s">
        <v>3496</v>
      </c>
      <c r="I157" s="2980" t="s">
        <v>3506</v>
      </c>
      <c r="J157" s="2980" t="s">
        <v>3507</v>
      </c>
    </row>
    <row r="158" spans="1:10">
      <c r="A158" s="2980" t="s">
        <v>3581</v>
      </c>
      <c r="B158" s="2980" t="s">
        <v>3252</v>
      </c>
      <c r="C158" s="2980" t="s">
        <v>1326</v>
      </c>
      <c r="D158" s="2980" t="s">
        <v>3551</v>
      </c>
      <c r="E158" s="2980" t="s">
        <v>3224</v>
      </c>
      <c r="F158" s="2980" t="s">
        <v>3166</v>
      </c>
      <c r="G158" s="2980" t="s">
        <v>3278</v>
      </c>
      <c r="H158" s="2980" t="s">
        <v>3279</v>
      </c>
      <c r="I158" s="2980" t="s">
        <v>3582</v>
      </c>
      <c r="J158" s="2980" t="s">
        <v>3583</v>
      </c>
    </row>
    <row r="159" spans="1:10">
      <c r="A159" s="2980" t="s">
        <v>3584</v>
      </c>
      <c r="B159" s="2980" t="s">
        <v>3171</v>
      </c>
      <c r="C159" s="2980" t="s">
        <v>1326</v>
      </c>
      <c r="D159" s="2980" t="s">
        <v>3282</v>
      </c>
      <c r="E159" s="2980" t="s">
        <v>3224</v>
      </c>
      <c r="F159" s="2980" t="s">
        <v>3166</v>
      </c>
      <c r="G159" s="2980" t="s">
        <v>3182</v>
      </c>
      <c r="H159" s="2980" t="s">
        <v>3183</v>
      </c>
      <c r="I159" s="2980" t="s">
        <v>3274</v>
      </c>
      <c r="J159" s="2980" t="s">
        <v>3275</v>
      </c>
    </row>
    <row r="160" spans="1:10">
      <c r="A160" s="2980" t="s">
        <v>3585</v>
      </c>
      <c r="B160" s="2980" t="s">
        <v>3163</v>
      </c>
      <c r="C160" s="2980" t="s">
        <v>1326</v>
      </c>
      <c r="D160" s="2980" t="s">
        <v>3231</v>
      </c>
      <c r="E160" s="2980" t="s">
        <v>3224</v>
      </c>
      <c r="F160" s="2980" t="s">
        <v>3166</v>
      </c>
      <c r="G160" s="2980" t="s">
        <v>3182</v>
      </c>
      <c r="H160" s="2980" t="s">
        <v>3248</v>
      </c>
      <c r="I160" s="2980" t="s">
        <v>3586</v>
      </c>
      <c r="J160" s="2980" t="s">
        <v>3587</v>
      </c>
    </row>
    <row r="161" spans="1:10">
      <c r="A161" s="2980" t="s">
        <v>3588</v>
      </c>
      <c r="B161" s="2980" t="s">
        <v>3163</v>
      </c>
      <c r="C161" s="2980" t="s">
        <v>1326</v>
      </c>
      <c r="D161" s="2980" t="s">
        <v>3561</v>
      </c>
      <c r="E161" s="2980" t="s">
        <v>3224</v>
      </c>
      <c r="F161" s="2980" t="s">
        <v>3166</v>
      </c>
      <c r="G161" s="2980" t="s">
        <v>3182</v>
      </c>
      <c r="H161" s="2980" t="s">
        <v>3248</v>
      </c>
      <c r="I161" s="2980" t="s">
        <v>3589</v>
      </c>
      <c r="J161" s="2980" t="s">
        <v>3564</v>
      </c>
    </row>
    <row r="162" spans="1:10">
      <c r="A162" s="2980" t="s">
        <v>3590</v>
      </c>
      <c r="B162" s="2980" t="s">
        <v>3171</v>
      </c>
      <c r="C162" s="2980" t="s">
        <v>1326</v>
      </c>
      <c r="D162" s="2980" t="s">
        <v>3495</v>
      </c>
      <c r="E162" s="2980" t="s">
        <v>3224</v>
      </c>
      <c r="F162" s="2980" t="s">
        <v>3166</v>
      </c>
      <c r="G162" s="2980" t="s">
        <v>3182</v>
      </c>
      <c r="H162" s="2980" t="s">
        <v>3183</v>
      </c>
      <c r="I162" s="2980" t="s">
        <v>3538</v>
      </c>
      <c r="J162" s="2980" t="s">
        <v>3539</v>
      </c>
    </row>
    <row r="163" spans="1:10">
      <c r="A163" s="2980" t="s">
        <v>3590</v>
      </c>
      <c r="B163" s="2980" t="s">
        <v>3252</v>
      </c>
      <c r="C163" s="2980" t="s">
        <v>1326</v>
      </c>
      <c r="D163" s="2980" t="s">
        <v>3591</v>
      </c>
      <c r="E163" s="2980" t="s">
        <v>3224</v>
      </c>
      <c r="F163" s="2980" t="s">
        <v>3166</v>
      </c>
      <c r="G163" s="2980" t="s">
        <v>3278</v>
      </c>
      <c r="H163" s="2980" t="s">
        <v>3279</v>
      </c>
      <c r="I163" s="2980" t="s">
        <v>3592</v>
      </c>
      <c r="J163" s="2980" t="s">
        <v>3593</v>
      </c>
    </row>
    <row r="164" spans="1:10">
      <c r="A164" s="2980" t="s">
        <v>3590</v>
      </c>
      <c r="B164" s="2980" t="s">
        <v>3163</v>
      </c>
      <c r="C164" s="2980" t="s">
        <v>1326</v>
      </c>
      <c r="D164" s="2980" t="s">
        <v>3244</v>
      </c>
      <c r="E164" s="2980" t="s">
        <v>3224</v>
      </c>
      <c r="F164" s="2980" t="s">
        <v>3166</v>
      </c>
      <c r="G164" s="2980" t="s">
        <v>3182</v>
      </c>
      <c r="H164" s="2980" t="s">
        <v>3248</v>
      </c>
      <c r="I164" s="2980" t="s">
        <v>3356</v>
      </c>
      <c r="J164" s="2980" t="s">
        <v>3357</v>
      </c>
    </row>
    <row r="165" spans="1:10">
      <c r="A165" s="2980" t="s">
        <v>3594</v>
      </c>
      <c r="B165" s="2980" t="s">
        <v>3171</v>
      </c>
      <c r="C165" s="2980" t="s">
        <v>1326</v>
      </c>
      <c r="D165" s="2980" t="s">
        <v>3595</v>
      </c>
      <c r="E165" s="2980" t="s">
        <v>3224</v>
      </c>
      <c r="F165" s="2980" t="s">
        <v>3166</v>
      </c>
      <c r="G165" s="2980" t="s">
        <v>3182</v>
      </c>
      <c r="H165" s="2980" t="s">
        <v>3211</v>
      </c>
      <c r="I165" s="2980" t="s">
        <v>3596</v>
      </c>
      <c r="J165" s="2980" t="s">
        <v>3597</v>
      </c>
    </row>
    <row r="166" spans="1:10">
      <c r="A166" s="2980" t="s">
        <v>3598</v>
      </c>
      <c r="B166" s="2980" t="s">
        <v>3171</v>
      </c>
      <c r="C166" s="2980" t="s">
        <v>1326</v>
      </c>
      <c r="D166" s="2980" t="s">
        <v>3560</v>
      </c>
      <c r="E166" s="2980" t="s">
        <v>3224</v>
      </c>
      <c r="F166" s="2980" t="s">
        <v>3166</v>
      </c>
      <c r="G166" s="2980" t="s">
        <v>3182</v>
      </c>
      <c r="H166" s="2980" t="s">
        <v>3183</v>
      </c>
      <c r="I166" s="2980" t="s">
        <v>3599</v>
      </c>
      <c r="J166" s="2980" t="s">
        <v>3600</v>
      </c>
    </row>
    <row r="167" spans="1:10">
      <c r="A167" s="2980" t="s">
        <v>3601</v>
      </c>
      <c r="B167" s="2980" t="s">
        <v>3171</v>
      </c>
      <c r="C167" s="2980" t="s">
        <v>1326</v>
      </c>
      <c r="D167" s="2980" t="s">
        <v>3227</v>
      </c>
      <c r="E167" s="2980" t="s">
        <v>3224</v>
      </c>
      <c r="F167" s="2980" t="s">
        <v>3166</v>
      </c>
      <c r="G167" s="2980" t="s">
        <v>3182</v>
      </c>
      <c r="H167" s="2980" t="s">
        <v>3183</v>
      </c>
      <c r="I167" s="2980" t="s">
        <v>3602</v>
      </c>
      <c r="J167" s="2980" t="s">
        <v>3603</v>
      </c>
    </row>
    <row r="168" spans="1:10">
      <c r="A168" s="2980" t="s">
        <v>3601</v>
      </c>
      <c r="B168" s="2980" t="s">
        <v>3243</v>
      </c>
      <c r="C168" s="2980" t="s">
        <v>1326</v>
      </c>
      <c r="D168" s="2980" t="s">
        <v>3604</v>
      </c>
      <c r="E168" s="2980" t="s">
        <v>3224</v>
      </c>
      <c r="F168" s="2980" t="s">
        <v>3166</v>
      </c>
      <c r="G168" s="2980" t="s">
        <v>3278</v>
      </c>
      <c r="H168" s="2980" t="s">
        <v>3279</v>
      </c>
      <c r="I168" s="2980" t="s">
        <v>3605</v>
      </c>
      <c r="J168" s="2980" t="s">
        <v>3606</v>
      </c>
    </row>
    <row r="169" spans="1:10">
      <c r="A169" s="2980" t="s">
        <v>3607</v>
      </c>
      <c r="B169" s="2980" t="s">
        <v>3238</v>
      </c>
      <c r="C169" s="2980" t="s">
        <v>1326</v>
      </c>
      <c r="D169" s="2980" t="s">
        <v>3478</v>
      </c>
      <c r="E169" s="2980" t="s">
        <v>3224</v>
      </c>
      <c r="F169" s="2980" t="s">
        <v>3166</v>
      </c>
      <c r="G169" s="2980" t="s">
        <v>3295</v>
      </c>
      <c r="H169" s="2980" t="s">
        <v>3296</v>
      </c>
      <c r="I169" s="2980" t="s">
        <v>3608</v>
      </c>
      <c r="J169" s="2980" t="s">
        <v>3609</v>
      </c>
    </row>
    <row r="170" spans="1:10">
      <c r="A170" s="2980" t="s">
        <v>3610</v>
      </c>
      <c r="B170" s="2980" t="s">
        <v>3260</v>
      </c>
      <c r="C170" s="2980" t="s">
        <v>1326</v>
      </c>
      <c r="D170" s="2980" t="s">
        <v>3561</v>
      </c>
      <c r="E170" s="2980" t="s">
        <v>3224</v>
      </c>
      <c r="F170" s="2980" t="s">
        <v>3166</v>
      </c>
      <c r="G170" s="2980" t="s">
        <v>3182</v>
      </c>
      <c r="H170" s="2980" t="s">
        <v>3183</v>
      </c>
      <c r="I170" s="2980" t="s">
        <v>3611</v>
      </c>
      <c r="J170" s="2980" t="s">
        <v>3612</v>
      </c>
    </row>
    <row r="171" spans="1:10">
      <c r="A171" s="2980" t="s">
        <v>3610</v>
      </c>
      <c r="B171" s="2980" t="s">
        <v>3252</v>
      </c>
      <c r="C171" s="2980" t="s">
        <v>1326</v>
      </c>
      <c r="D171" s="2980" t="s">
        <v>3613</v>
      </c>
      <c r="E171" s="2980" t="s">
        <v>3224</v>
      </c>
      <c r="F171" s="2980" t="s">
        <v>3166</v>
      </c>
      <c r="G171" s="2980" t="s">
        <v>3278</v>
      </c>
      <c r="H171" s="2980" t="s">
        <v>3614</v>
      </c>
      <c r="I171" s="2980" t="s">
        <v>3615</v>
      </c>
      <c r="J171" s="2980" t="s">
        <v>3616</v>
      </c>
    </row>
    <row r="172" spans="1:10">
      <c r="A172" s="2980" t="s">
        <v>3610</v>
      </c>
      <c r="B172" s="2980" t="s">
        <v>3171</v>
      </c>
      <c r="C172" s="2980" t="s">
        <v>1326</v>
      </c>
      <c r="D172" s="2980" t="s">
        <v>3617</v>
      </c>
      <c r="E172" s="2980" t="s">
        <v>3224</v>
      </c>
      <c r="F172" s="2980" t="s">
        <v>3166</v>
      </c>
      <c r="G172" s="2980" t="s">
        <v>3182</v>
      </c>
      <c r="H172" s="2980" t="s">
        <v>3211</v>
      </c>
      <c r="I172" s="2980" t="s">
        <v>3618</v>
      </c>
      <c r="J172" s="2980" t="s">
        <v>3619</v>
      </c>
    </row>
    <row r="173" spans="1:10">
      <c r="A173" s="2980" t="s">
        <v>3610</v>
      </c>
      <c r="B173" s="2980" t="s">
        <v>3252</v>
      </c>
      <c r="C173" s="2980" t="s">
        <v>1326</v>
      </c>
      <c r="D173" s="2980" t="s">
        <v>3340</v>
      </c>
      <c r="E173" s="2980" t="s">
        <v>3224</v>
      </c>
      <c r="F173" s="2980" t="s">
        <v>3166</v>
      </c>
      <c r="G173" s="2980" t="s">
        <v>3278</v>
      </c>
      <c r="H173" s="2980" t="s">
        <v>3496</v>
      </c>
      <c r="I173" s="2980" t="s">
        <v>3620</v>
      </c>
      <c r="J173" s="2980" t="s">
        <v>3621</v>
      </c>
    </row>
    <row r="174" spans="1:10">
      <c r="A174" s="2980" t="s">
        <v>3622</v>
      </c>
      <c r="B174" s="2980" t="s">
        <v>3222</v>
      </c>
      <c r="C174" s="2980" t="s">
        <v>1326</v>
      </c>
      <c r="D174" s="2980" t="s">
        <v>3560</v>
      </c>
      <c r="E174" s="2980" t="s">
        <v>3224</v>
      </c>
      <c r="F174" s="2980" t="s">
        <v>3166</v>
      </c>
      <c r="G174" s="2980" t="s">
        <v>3182</v>
      </c>
      <c r="H174" s="2980" t="s">
        <v>3183</v>
      </c>
      <c r="I174" s="2980" t="s">
        <v>3623</v>
      </c>
      <c r="J174" s="2980" t="s">
        <v>3624</v>
      </c>
    </row>
    <row r="175" spans="1:10">
      <c r="A175" s="2980" t="s">
        <v>3625</v>
      </c>
      <c r="B175" s="2980" t="s">
        <v>3252</v>
      </c>
      <c r="C175" s="2980" t="s">
        <v>1326</v>
      </c>
      <c r="D175" s="2980" t="s">
        <v>3626</v>
      </c>
      <c r="E175" s="2980" t="s">
        <v>3224</v>
      </c>
      <c r="F175" s="2980" t="s">
        <v>3166</v>
      </c>
      <c r="G175" s="2980" t="s">
        <v>3278</v>
      </c>
      <c r="H175" s="2980" t="s">
        <v>3432</v>
      </c>
      <c r="I175" s="2980" t="s">
        <v>3627</v>
      </c>
      <c r="J175" s="2980" t="s">
        <v>3628</v>
      </c>
    </row>
    <row r="176" spans="1:10">
      <c r="A176" s="2980" t="s">
        <v>3629</v>
      </c>
      <c r="B176" s="2980" t="s">
        <v>3252</v>
      </c>
      <c r="C176" s="2980" t="s">
        <v>1326</v>
      </c>
      <c r="D176" s="2980" t="s">
        <v>3630</v>
      </c>
      <c r="E176" s="2980" t="s">
        <v>3224</v>
      </c>
      <c r="F176" s="2980" t="s">
        <v>3166</v>
      </c>
      <c r="G176" s="2980" t="s">
        <v>3278</v>
      </c>
      <c r="H176" s="2980" t="s">
        <v>3432</v>
      </c>
      <c r="I176" s="2980" t="s">
        <v>3631</v>
      </c>
      <c r="J176" s="2980" t="s">
        <v>3632</v>
      </c>
    </row>
    <row r="177" spans="1:10">
      <c r="A177" s="2980" t="s">
        <v>3633</v>
      </c>
      <c r="B177" s="2980" t="s">
        <v>3243</v>
      </c>
      <c r="C177" s="2980" t="s">
        <v>1326</v>
      </c>
      <c r="D177" s="2980" t="s">
        <v>3634</v>
      </c>
      <c r="E177" s="2980" t="s">
        <v>3224</v>
      </c>
      <c r="F177" s="2980" t="s">
        <v>3166</v>
      </c>
      <c r="G177" s="2980" t="s">
        <v>3278</v>
      </c>
      <c r="H177" s="2980" t="s">
        <v>3446</v>
      </c>
      <c r="I177" s="2980" t="s">
        <v>3635</v>
      </c>
      <c r="J177" s="2980" t="s">
        <v>3636</v>
      </c>
    </row>
    <row r="178" spans="1:10">
      <c r="A178" s="2980" t="s">
        <v>3633</v>
      </c>
      <c r="B178" s="2980" t="s">
        <v>3171</v>
      </c>
      <c r="C178" s="2980" t="s">
        <v>1326</v>
      </c>
      <c r="D178" s="2980" t="s">
        <v>3637</v>
      </c>
      <c r="E178" s="2980" t="s">
        <v>3224</v>
      </c>
      <c r="F178" s="2980" t="s">
        <v>3166</v>
      </c>
      <c r="G178" s="2980" t="s">
        <v>3182</v>
      </c>
      <c r="H178" s="2980" t="s">
        <v>3183</v>
      </c>
      <c r="I178" s="2980" t="s">
        <v>3638</v>
      </c>
      <c r="J178" s="2980" t="s">
        <v>3639</v>
      </c>
    </row>
    <row r="179" spans="1:10">
      <c r="A179" s="2980" t="s">
        <v>3640</v>
      </c>
      <c r="B179" s="2980" t="s">
        <v>3252</v>
      </c>
      <c r="C179" s="2980" t="s">
        <v>1326</v>
      </c>
      <c r="D179" s="2980" t="s">
        <v>3641</v>
      </c>
      <c r="E179" s="2980" t="s">
        <v>3224</v>
      </c>
      <c r="F179" s="2980" t="s">
        <v>3166</v>
      </c>
      <c r="G179" s="2980" t="s">
        <v>3278</v>
      </c>
      <c r="H179" s="2980" t="s">
        <v>3576</v>
      </c>
      <c r="I179" s="2980" t="s">
        <v>3642</v>
      </c>
      <c r="J179" s="2980" t="s">
        <v>3643</v>
      </c>
    </row>
    <row r="180" spans="1:10">
      <c r="A180" s="2980" t="s">
        <v>3640</v>
      </c>
      <c r="B180" s="2980" t="s">
        <v>3243</v>
      </c>
      <c r="C180" s="2980" t="s">
        <v>1326</v>
      </c>
      <c r="D180" s="2980" t="s">
        <v>3644</v>
      </c>
      <c r="E180" s="2980" t="s">
        <v>3224</v>
      </c>
      <c r="F180" s="2980" t="s">
        <v>3166</v>
      </c>
      <c r="G180" s="2980" t="s">
        <v>3278</v>
      </c>
      <c r="H180" s="2980" t="s">
        <v>3446</v>
      </c>
      <c r="I180" s="2980" t="s">
        <v>3635</v>
      </c>
      <c r="J180" s="2980" t="s">
        <v>3636</v>
      </c>
    </row>
    <row r="181" spans="1:10">
      <c r="A181" s="2980" t="s">
        <v>3645</v>
      </c>
      <c r="B181" s="2980" t="s">
        <v>3260</v>
      </c>
      <c r="C181" s="2980" t="s">
        <v>1326</v>
      </c>
      <c r="D181" s="2980" t="s">
        <v>3646</v>
      </c>
      <c r="E181" s="2980" t="s">
        <v>3224</v>
      </c>
      <c r="F181" s="2980" t="s">
        <v>3166</v>
      </c>
      <c r="G181" s="2980" t="s">
        <v>3182</v>
      </c>
      <c r="H181" s="2980" t="s">
        <v>3183</v>
      </c>
      <c r="I181" s="2980" t="s">
        <v>3647</v>
      </c>
      <c r="J181" s="2980" t="s">
        <v>3648</v>
      </c>
    </row>
    <row r="182" spans="1:10">
      <c r="A182" s="2980" t="s">
        <v>3649</v>
      </c>
      <c r="B182" s="2980" t="s">
        <v>3171</v>
      </c>
      <c r="C182" s="2980" t="s">
        <v>1326</v>
      </c>
      <c r="D182" s="2980" t="s">
        <v>3300</v>
      </c>
      <c r="E182" s="2980" t="s">
        <v>3224</v>
      </c>
      <c r="F182" s="2980" t="s">
        <v>3166</v>
      </c>
      <c r="G182" s="2980" t="s">
        <v>3182</v>
      </c>
      <c r="H182" s="2980" t="s">
        <v>3183</v>
      </c>
      <c r="I182" s="2980" t="s">
        <v>3650</v>
      </c>
      <c r="J182" s="2980" t="s">
        <v>3651</v>
      </c>
    </row>
    <row r="183" spans="1:10">
      <c r="A183" s="2980" t="s">
        <v>3649</v>
      </c>
      <c r="B183" s="2980" t="s">
        <v>3163</v>
      </c>
      <c r="C183" s="2980" t="s">
        <v>1326</v>
      </c>
      <c r="D183" s="2980" t="s">
        <v>3508</v>
      </c>
      <c r="E183" s="2980" t="s">
        <v>3224</v>
      </c>
      <c r="F183" s="2980" t="s">
        <v>3166</v>
      </c>
      <c r="G183" s="2980" t="s">
        <v>3182</v>
      </c>
      <c r="H183" s="2980" t="s">
        <v>3248</v>
      </c>
      <c r="I183" s="2980" t="s">
        <v>3652</v>
      </c>
      <c r="J183" s="2980" t="s">
        <v>3522</v>
      </c>
    </row>
    <row r="184" spans="1:10">
      <c r="A184" s="2980" t="s">
        <v>3653</v>
      </c>
      <c r="B184" s="2980" t="s">
        <v>3252</v>
      </c>
      <c r="C184" s="2980" t="s">
        <v>1326</v>
      </c>
      <c r="D184" s="2980" t="s">
        <v>3327</v>
      </c>
      <c r="E184" s="2980" t="s">
        <v>3224</v>
      </c>
      <c r="F184" s="2980" t="s">
        <v>3166</v>
      </c>
      <c r="G184" s="2980" t="s">
        <v>3278</v>
      </c>
      <c r="H184" s="2980" t="s">
        <v>3496</v>
      </c>
      <c r="I184" s="2980" t="s">
        <v>3654</v>
      </c>
      <c r="J184" s="2980" t="s">
        <v>3655</v>
      </c>
    </row>
    <row r="185" spans="1:10">
      <c r="A185" s="2980" t="s">
        <v>3656</v>
      </c>
      <c r="B185" s="2980" t="s">
        <v>3171</v>
      </c>
      <c r="C185" s="2980" t="s">
        <v>1326</v>
      </c>
      <c r="D185" s="2980" t="s">
        <v>3323</v>
      </c>
      <c r="E185" s="2980" t="s">
        <v>3224</v>
      </c>
      <c r="F185" s="2980" t="s">
        <v>3166</v>
      </c>
      <c r="G185" s="2980" t="s">
        <v>3182</v>
      </c>
      <c r="H185" s="2980" t="s">
        <v>3183</v>
      </c>
      <c r="I185" s="2980" t="s">
        <v>3538</v>
      </c>
      <c r="J185" s="2980" t="s">
        <v>3539</v>
      </c>
    </row>
    <row r="186" spans="1:10">
      <c r="A186" s="2980" t="s">
        <v>3656</v>
      </c>
      <c r="B186" s="2980" t="s">
        <v>3163</v>
      </c>
      <c r="C186" s="2980" t="s">
        <v>1326</v>
      </c>
      <c r="D186" s="2980" t="s">
        <v>3505</v>
      </c>
      <c r="E186" s="2980" t="s">
        <v>3224</v>
      </c>
      <c r="F186" s="2980" t="s">
        <v>3166</v>
      </c>
      <c r="G186" s="2980" t="s">
        <v>3182</v>
      </c>
      <c r="H186" s="2980" t="s">
        <v>3248</v>
      </c>
      <c r="I186" s="2980" t="s">
        <v>3460</v>
      </c>
      <c r="J186" s="2980" t="s">
        <v>3376</v>
      </c>
    </row>
    <row r="187" spans="1:10">
      <c r="A187" s="2980" t="s">
        <v>3657</v>
      </c>
      <c r="B187" s="2980" t="s">
        <v>3222</v>
      </c>
      <c r="C187" s="2980" t="s">
        <v>1326</v>
      </c>
      <c r="D187" s="2980" t="s">
        <v>3520</v>
      </c>
      <c r="E187" s="2980" t="s">
        <v>3224</v>
      </c>
      <c r="F187" s="2980" t="s">
        <v>3166</v>
      </c>
      <c r="G187" s="2980" t="s">
        <v>3182</v>
      </c>
      <c r="H187" s="2980" t="s">
        <v>3183</v>
      </c>
      <c r="I187" s="2980" t="s">
        <v>3658</v>
      </c>
      <c r="J187" s="2980" t="s">
        <v>3659</v>
      </c>
    </row>
    <row r="188" spans="1:10">
      <c r="A188" s="2980" t="s">
        <v>3660</v>
      </c>
      <c r="B188" s="2980" t="s">
        <v>3171</v>
      </c>
      <c r="C188" s="2980" t="s">
        <v>1326</v>
      </c>
      <c r="D188" s="2980" t="s">
        <v>3661</v>
      </c>
      <c r="E188" s="2980" t="s">
        <v>3224</v>
      </c>
      <c r="F188" s="2980" t="s">
        <v>3166</v>
      </c>
      <c r="G188" s="2980" t="s">
        <v>3182</v>
      </c>
      <c r="H188" s="2980" t="s">
        <v>3248</v>
      </c>
      <c r="I188" s="2980" t="s">
        <v>3662</v>
      </c>
      <c r="J188" s="2980" t="s">
        <v>3663</v>
      </c>
    </row>
    <row r="189" spans="1:10">
      <c r="A189" s="2980" t="s">
        <v>3664</v>
      </c>
      <c r="B189" s="2980" t="s">
        <v>3252</v>
      </c>
      <c r="C189" s="2980" t="s">
        <v>1326</v>
      </c>
      <c r="D189" s="2980" t="s">
        <v>1326</v>
      </c>
      <c r="E189" s="2980" t="s">
        <v>3224</v>
      </c>
      <c r="F189" s="2980" t="s">
        <v>3166</v>
      </c>
      <c r="G189" s="2980" t="s">
        <v>3278</v>
      </c>
      <c r="H189" s="2980" t="s">
        <v>3279</v>
      </c>
      <c r="I189" s="2980" t="s">
        <v>3665</v>
      </c>
      <c r="J189" s="2980" t="s">
        <v>3666</v>
      </c>
    </row>
    <row r="190" spans="1:10">
      <c r="A190" s="2980" t="s">
        <v>3664</v>
      </c>
      <c r="B190" s="2980" t="s">
        <v>3171</v>
      </c>
      <c r="C190" s="2980" t="s">
        <v>1326</v>
      </c>
      <c r="D190" s="2980" t="s">
        <v>1326</v>
      </c>
      <c r="E190" s="2980" t="s">
        <v>3224</v>
      </c>
      <c r="F190" s="2980" t="s">
        <v>3166</v>
      </c>
      <c r="G190" s="2980" t="s">
        <v>3182</v>
      </c>
      <c r="H190" s="2980" t="s">
        <v>3211</v>
      </c>
      <c r="I190" s="2980" t="s">
        <v>3667</v>
      </c>
      <c r="J190" s="2980" t="s">
        <v>3668</v>
      </c>
    </row>
    <row r="191" spans="1:10">
      <c r="A191" s="2980" t="s">
        <v>3664</v>
      </c>
      <c r="B191" s="2980" t="s">
        <v>3171</v>
      </c>
      <c r="C191" s="2980" t="s">
        <v>1326</v>
      </c>
      <c r="D191" s="2980" t="s">
        <v>1326</v>
      </c>
      <c r="E191" s="2980" t="s">
        <v>3224</v>
      </c>
      <c r="F191" s="2980" t="s">
        <v>3166</v>
      </c>
      <c r="G191" s="2980" t="s">
        <v>3182</v>
      </c>
      <c r="H191" s="2980" t="s">
        <v>3183</v>
      </c>
      <c r="I191" s="2980" t="s">
        <v>3307</v>
      </c>
      <c r="J191" s="2980" t="s">
        <v>3308</v>
      </c>
    </row>
    <row r="192" spans="1:10">
      <c r="A192" s="2980" t="s">
        <v>3664</v>
      </c>
      <c r="B192" s="2980" t="s">
        <v>3252</v>
      </c>
      <c r="C192" s="2980" t="s">
        <v>1326</v>
      </c>
      <c r="D192" s="2980" t="s">
        <v>1326</v>
      </c>
      <c r="E192" s="2980" t="s">
        <v>3224</v>
      </c>
      <c r="F192" s="2980" t="s">
        <v>3166</v>
      </c>
      <c r="G192" s="2980" t="s">
        <v>3167</v>
      </c>
      <c r="H192" s="2980" t="s">
        <v>3304</v>
      </c>
      <c r="I192" s="2980" t="s">
        <v>3669</v>
      </c>
      <c r="J192" s="2980" t="s">
        <v>3670</v>
      </c>
    </row>
    <row r="193" spans="1:10">
      <c r="A193" s="2980" t="s">
        <v>3671</v>
      </c>
      <c r="B193" s="2980" t="s">
        <v>3171</v>
      </c>
      <c r="C193" s="2980" t="s">
        <v>1326</v>
      </c>
      <c r="D193" s="2980" t="s">
        <v>1326</v>
      </c>
      <c r="E193" s="2980" t="s">
        <v>3224</v>
      </c>
      <c r="F193" s="2980" t="s">
        <v>3166</v>
      </c>
      <c r="G193" s="2980" t="s">
        <v>3182</v>
      </c>
      <c r="H193" s="2980" t="s">
        <v>3183</v>
      </c>
      <c r="I193" s="2980" t="s">
        <v>3672</v>
      </c>
      <c r="J193" s="2980" t="s">
        <v>3673</v>
      </c>
    </row>
    <row r="194" spans="1:10">
      <c r="A194" s="2980" t="s">
        <v>3671</v>
      </c>
      <c r="B194" s="2980" t="s">
        <v>3243</v>
      </c>
      <c r="C194" s="2980" t="s">
        <v>1326</v>
      </c>
      <c r="D194" s="2980" t="s">
        <v>1326</v>
      </c>
      <c r="E194" s="2980" t="s">
        <v>3224</v>
      </c>
      <c r="F194" s="2980" t="s">
        <v>3166</v>
      </c>
      <c r="G194" s="2980" t="s">
        <v>3278</v>
      </c>
      <c r="H194" s="2980" t="s">
        <v>3446</v>
      </c>
      <c r="I194" s="2980" t="s">
        <v>3674</v>
      </c>
      <c r="J194" s="2980" t="s">
        <v>3675</v>
      </c>
    </row>
    <row r="195" spans="1:10">
      <c r="A195" s="2980" t="s">
        <v>3676</v>
      </c>
      <c r="B195" s="2980" t="s">
        <v>3171</v>
      </c>
      <c r="C195" s="2980" t="s">
        <v>1326</v>
      </c>
      <c r="D195" s="2980" t="s">
        <v>1326</v>
      </c>
      <c r="E195" s="2980" t="s">
        <v>3224</v>
      </c>
      <c r="F195" s="2980" t="s">
        <v>3166</v>
      </c>
      <c r="G195" s="2980" t="s">
        <v>3182</v>
      </c>
      <c r="H195" s="2980" t="s">
        <v>3183</v>
      </c>
      <c r="I195" s="2980" t="s">
        <v>3672</v>
      </c>
      <c r="J195" s="2980" t="s">
        <v>3673</v>
      </c>
    </row>
    <row r="196" spans="1:10">
      <c r="A196" s="2980" t="s">
        <v>3676</v>
      </c>
      <c r="B196" s="2980" t="s">
        <v>3252</v>
      </c>
      <c r="C196" s="2980" t="s">
        <v>1326</v>
      </c>
      <c r="D196" s="2980" t="s">
        <v>1326</v>
      </c>
      <c r="E196" s="2980" t="s">
        <v>3224</v>
      </c>
      <c r="F196" s="2980" t="s">
        <v>3166</v>
      </c>
      <c r="G196" s="2980" t="s">
        <v>3278</v>
      </c>
      <c r="H196" s="2980" t="s">
        <v>3432</v>
      </c>
      <c r="I196" s="2980" t="s">
        <v>3677</v>
      </c>
      <c r="J196" s="2980" t="s">
        <v>3678</v>
      </c>
    </row>
    <row r="197" spans="1:10">
      <c r="A197" s="2980" t="s">
        <v>3679</v>
      </c>
      <c r="B197" s="2980" t="s">
        <v>3171</v>
      </c>
      <c r="C197" s="2980" t="s">
        <v>1326</v>
      </c>
      <c r="D197" s="2980" t="s">
        <v>1326</v>
      </c>
      <c r="E197" s="2980" t="s">
        <v>3224</v>
      </c>
      <c r="F197" s="2980" t="s">
        <v>3166</v>
      </c>
      <c r="G197" s="2980" t="s">
        <v>3182</v>
      </c>
      <c r="H197" s="2980" t="s">
        <v>3365</v>
      </c>
      <c r="I197" s="2980" t="s">
        <v>3680</v>
      </c>
      <c r="J197" s="2980" t="s">
        <v>3681</v>
      </c>
    </row>
    <row r="198" spans="1:10">
      <c r="A198" s="2980" t="s">
        <v>3679</v>
      </c>
      <c r="B198" s="2980" t="s">
        <v>3252</v>
      </c>
      <c r="C198" s="2980" t="s">
        <v>1326</v>
      </c>
      <c r="D198" s="2980" t="s">
        <v>1326</v>
      </c>
      <c r="E198" s="2980" t="s">
        <v>3224</v>
      </c>
      <c r="F198" s="2980" t="s">
        <v>3166</v>
      </c>
      <c r="G198" s="2980" t="s">
        <v>3278</v>
      </c>
      <c r="H198" s="2980" t="s">
        <v>3496</v>
      </c>
      <c r="I198" s="2980" t="s">
        <v>3682</v>
      </c>
      <c r="J198" s="2980" t="s">
        <v>3683</v>
      </c>
    </row>
    <row r="199" spans="1:10">
      <c r="A199" s="2980" t="s">
        <v>3684</v>
      </c>
      <c r="B199" s="2980" t="s">
        <v>3238</v>
      </c>
      <c r="C199" s="2980" t="s">
        <v>1326</v>
      </c>
      <c r="D199" s="2980" t="s">
        <v>1326</v>
      </c>
      <c r="E199" s="2980" t="s">
        <v>3224</v>
      </c>
      <c r="F199" s="2980" t="s">
        <v>3166</v>
      </c>
      <c r="G199" s="2980" t="s">
        <v>3295</v>
      </c>
      <c r="H199" s="2980" t="s">
        <v>3296</v>
      </c>
      <c r="I199" s="2980" t="s">
        <v>3685</v>
      </c>
      <c r="J199" s="2980" t="s">
        <v>3686</v>
      </c>
    </row>
    <row r="200" spans="1:10">
      <c r="A200" s="2980" t="s">
        <v>3687</v>
      </c>
      <c r="B200" s="2980" t="s">
        <v>3171</v>
      </c>
      <c r="C200" s="2980" t="s">
        <v>1326</v>
      </c>
      <c r="D200" s="2980" t="s">
        <v>1326</v>
      </c>
      <c r="E200" s="2980" t="s">
        <v>3224</v>
      </c>
      <c r="F200" s="2980" t="s">
        <v>3166</v>
      </c>
      <c r="G200" s="2980" t="s">
        <v>3182</v>
      </c>
      <c r="H200" s="2980" t="s">
        <v>3183</v>
      </c>
      <c r="I200" s="2980" t="s">
        <v>3688</v>
      </c>
      <c r="J200" s="2980" t="s">
        <v>3689</v>
      </c>
    </row>
    <row r="201" spans="1:10">
      <c r="A201" s="2980" t="s">
        <v>3690</v>
      </c>
      <c r="B201" s="2980" t="s">
        <v>3252</v>
      </c>
      <c r="C201" s="2980" t="s">
        <v>1326</v>
      </c>
      <c r="D201" s="2980" t="s">
        <v>1326</v>
      </c>
      <c r="E201" s="2980" t="s">
        <v>3224</v>
      </c>
      <c r="F201" s="2980" t="s">
        <v>3166</v>
      </c>
      <c r="G201" s="2980" t="s">
        <v>3278</v>
      </c>
      <c r="H201" s="2980" t="s">
        <v>3496</v>
      </c>
      <c r="I201" s="2980" t="s">
        <v>3691</v>
      </c>
      <c r="J201" s="2980" t="s">
        <v>3692</v>
      </c>
    </row>
    <row r="202" spans="1:10">
      <c r="A202" s="2980" t="s">
        <v>3693</v>
      </c>
      <c r="B202" s="2980" t="s">
        <v>3252</v>
      </c>
      <c r="C202" s="2980" t="s">
        <v>1326</v>
      </c>
      <c r="D202" s="2980" t="s">
        <v>1326</v>
      </c>
      <c r="E202" s="2980" t="s">
        <v>3224</v>
      </c>
      <c r="F202" s="2980" t="s">
        <v>3166</v>
      </c>
      <c r="G202" s="2980" t="s">
        <v>3278</v>
      </c>
      <c r="H202" s="2980" t="s">
        <v>3496</v>
      </c>
      <c r="I202" s="2980" t="s">
        <v>3694</v>
      </c>
      <c r="J202" s="2980" t="s">
        <v>3695</v>
      </c>
    </row>
    <row r="203" spans="1:10">
      <c r="A203" s="2980" t="s">
        <v>3696</v>
      </c>
      <c r="B203" s="2980" t="s">
        <v>3163</v>
      </c>
      <c r="C203" s="2980" t="s">
        <v>1326</v>
      </c>
      <c r="D203" s="2980" t="s">
        <v>1326</v>
      </c>
      <c r="E203" s="2980" t="s">
        <v>3224</v>
      </c>
      <c r="F203" s="2980" t="s">
        <v>3166</v>
      </c>
      <c r="G203" s="2980" t="s">
        <v>3182</v>
      </c>
      <c r="H203" s="2980" t="s">
        <v>3248</v>
      </c>
      <c r="I203" s="2980" t="s">
        <v>3697</v>
      </c>
      <c r="J203" s="2980" t="s">
        <v>3518</v>
      </c>
    </row>
    <row r="204" spans="1:10">
      <c r="A204" s="2980" t="s">
        <v>3698</v>
      </c>
      <c r="B204" s="2980" t="s">
        <v>3252</v>
      </c>
      <c r="C204" s="2980" t="s">
        <v>1326</v>
      </c>
      <c r="D204" s="2980" t="s">
        <v>1326</v>
      </c>
      <c r="E204" s="2980" t="s">
        <v>3224</v>
      </c>
      <c r="F204" s="2980" t="s">
        <v>3166</v>
      </c>
      <c r="G204" s="2980" t="s">
        <v>3278</v>
      </c>
      <c r="H204" s="2980" t="s">
        <v>3279</v>
      </c>
      <c r="I204" s="2980" t="s">
        <v>3699</v>
      </c>
      <c r="J204" s="2980" t="s">
        <v>3700</v>
      </c>
    </row>
    <row r="205" spans="1:10">
      <c r="A205" s="2980" t="s">
        <v>3701</v>
      </c>
      <c r="B205" s="2980" t="s">
        <v>3171</v>
      </c>
      <c r="C205" s="2980" t="s">
        <v>1326</v>
      </c>
      <c r="D205" s="2980" t="s">
        <v>1326</v>
      </c>
      <c r="E205" s="2980" t="s">
        <v>3224</v>
      </c>
      <c r="F205" s="2980" t="s">
        <v>3166</v>
      </c>
      <c r="G205" s="2980" t="s">
        <v>3182</v>
      </c>
      <c r="H205" s="2980" t="s">
        <v>3183</v>
      </c>
      <c r="I205" s="2980" t="s">
        <v>3455</v>
      </c>
      <c r="J205" s="2980" t="s">
        <v>3456</v>
      </c>
    </row>
    <row r="206" spans="1:10">
      <c r="A206" s="2980" t="s">
        <v>3701</v>
      </c>
      <c r="B206" s="2980" t="s">
        <v>3222</v>
      </c>
      <c r="C206" s="2980" t="s">
        <v>1326</v>
      </c>
      <c r="D206" s="2980" t="s">
        <v>1326</v>
      </c>
      <c r="E206" s="2980" t="s">
        <v>3224</v>
      </c>
      <c r="F206" s="2980" t="s">
        <v>3166</v>
      </c>
      <c r="G206" s="2980" t="s">
        <v>3182</v>
      </c>
      <c r="H206" s="2980" t="s">
        <v>3183</v>
      </c>
      <c r="I206" s="2980" t="s">
        <v>3702</v>
      </c>
      <c r="J206" s="2980" t="s">
        <v>3703</v>
      </c>
    </row>
    <row r="207" spans="1:10">
      <c r="A207" s="2980" t="s">
        <v>3704</v>
      </c>
      <c r="B207" s="2980" t="s">
        <v>3252</v>
      </c>
      <c r="C207" s="2980" t="s">
        <v>1326</v>
      </c>
      <c r="D207" s="2980" t="s">
        <v>1326</v>
      </c>
      <c r="E207" s="2980" t="s">
        <v>3224</v>
      </c>
      <c r="F207" s="2980" t="s">
        <v>3166</v>
      </c>
      <c r="G207" s="2980" t="s">
        <v>3278</v>
      </c>
      <c r="H207" s="2980" t="s">
        <v>3432</v>
      </c>
      <c r="I207" s="2980" t="s">
        <v>3705</v>
      </c>
      <c r="J207" s="2980" t="s">
        <v>3706</v>
      </c>
    </row>
    <row r="208" spans="1:10">
      <c r="A208" s="2980" t="s">
        <v>3707</v>
      </c>
      <c r="B208" s="2980" t="s">
        <v>3252</v>
      </c>
      <c r="C208" s="2980" t="s">
        <v>1326</v>
      </c>
      <c r="D208" s="2980" t="s">
        <v>1326</v>
      </c>
      <c r="E208" s="2980" t="s">
        <v>3224</v>
      </c>
      <c r="F208" s="2980" t="s">
        <v>3166</v>
      </c>
      <c r="G208" s="2980" t="s">
        <v>3278</v>
      </c>
      <c r="H208" s="2980" t="s">
        <v>3496</v>
      </c>
      <c r="I208" s="2980" t="s">
        <v>3708</v>
      </c>
      <c r="J208" s="2980" t="s">
        <v>3709</v>
      </c>
    </row>
    <row r="209" spans="1:10">
      <c r="A209" s="2980" t="s">
        <v>3707</v>
      </c>
      <c r="B209" s="2980" t="s">
        <v>3222</v>
      </c>
      <c r="C209" s="2980" t="s">
        <v>1326</v>
      </c>
      <c r="D209" s="2980" t="s">
        <v>1326</v>
      </c>
      <c r="E209" s="2980" t="s">
        <v>3224</v>
      </c>
      <c r="F209" s="2980" t="s">
        <v>3166</v>
      </c>
      <c r="G209" s="2980" t="s">
        <v>3182</v>
      </c>
      <c r="H209" s="2980" t="s">
        <v>3183</v>
      </c>
      <c r="I209" s="2980" t="s">
        <v>3710</v>
      </c>
      <c r="J209" s="2980" t="s">
        <v>3711</v>
      </c>
    </row>
    <row r="210" spans="1:10">
      <c r="A210" s="2980" t="s">
        <v>3707</v>
      </c>
      <c r="B210" s="2980" t="s">
        <v>3171</v>
      </c>
      <c r="C210" s="2980" t="s">
        <v>1326</v>
      </c>
      <c r="D210" s="2980" t="s">
        <v>1326</v>
      </c>
      <c r="E210" s="2980" t="s">
        <v>3224</v>
      </c>
      <c r="F210" s="2980" t="s">
        <v>3166</v>
      </c>
      <c r="G210" s="2980" t="s">
        <v>3182</v>
      </c>
      <c r="H210" s="2980" t="s">
        <v>3183</v>
      </c>
      <c r="I210" s="2980" t="s">
        <v>3328</v>
      </c>
      <c r="J210" s="2980" t="s">
        <v>3329</v>
      </c>
    </row>
    <row r="211" spans="1:10">
      <c r="A211" s="2980" t="s">
        <v>3712</v>
      </c>
      <c r="B211" s="2980" t="s">
        <v>3252</v>
      </c>
      <c r="C211" s="2980" t="s">
        <v>1326</v>
      </c>
      <c r="D211" s="2980" t="s">
        <v>1326</v>
      </c>
      <c r="E211" s="2980" t="s">
        <v>3224</v>
      </c>
      <c r="F211" s="2980" t="s">
        <v>3166</v>
      </c>
      <c r="G211" s="2980" t="s">
        <v>3278</v>
      </c>
      <c r="H211" s="2980" t="s">
        <v>3496</v>
      </c>
      <c r="I211" s="2980" t="s">
        <v>3713</v>
      </c>
      <c r="J211" s="2980" t="s">
        <v>3714</v>
      </c>
    </row>
    <row r="212" spans="1:10">
      <c r="A212" s="2980" t="s">
        <v>3712</v>
      </c>
      <c r="B212" s="2980" t="s">
        <v>3171</v>
      </c>
      <c r="C212" s="2980" t="s">
        <v>1326</v>
      </c>
      <c r="D212" s="2980" t="s">
        <v>1326</v>
      </c>
      <c r="E212" s="2980" t="s">
        <v>3224</v>
      </c>
      <c r="F212" s="2980" t="s">
        <v>3166</v>
      </c>
      <c r="G212" s="2980" t="s">
        <v>3182</v>
      </c>
      <c r="H212" s="2980" t="s">
        <v>3183</v>
      </c>
      <c r="I212" s="2980" t="s">
        <v>3328</v>
      </c>
      <c r="J212" s="2980" t="s">
        <v>3329</v>
      </c>
    </row>
    <row r="213" spans="1:10">
      <c r="A213" s="2980" t="s">
        <v>3712</v>
      </c>
      <c r="B213" s="2980" t="s">
        <v>3171</v>
      </c>
      <c r="C213" s="2980" t="s">
        <v>1326</v>
      </c>
      <c r="D213" s="2980" t="s">
        <v>1326</v>
      </c>
      <c r="E213" s="2980" t="s">
        <v>3224</v>
      </c>
      <c r="F213" s="2980" t="s">
        <v>3166</v>
      </c>
      <c r="G213" s="2980" t="s">
        <v>3182</v>
      </c>
      <c r="H213" s="2980" t="s">
        <v>3183</v>
      </c>
      <c r="I213" s="2980" t="s">
        <v>3715</v>
      </c>
      <c r="J213" s="2980" t="s">
        <v>3716</v>
      </c>
    </row>
    <row r="214" spans="1:10">
      <c r="A214" s="2980" t="s">
        <v>3712</v>
      </c>
      <c r="B214" s="2980" t="s">
        <v>3252</v>
      </c>
      <c r="C214" s="2980" t="s">
        <v>1326</v>
      </c>
      <c r="D214" s="2980" t="s">
        <v>1326</v>
      </c>
      <c r="E214" s="2980" t="s">
        <v>3224</v>
      </c>
      <c r="F214" s="2980" t="s">
        <v>3166</v>
      </c>
      <c r="G214" s="2980" t="s">
        <v>3278</v>
      </c>
      <c r="H214" s="2980" t="s">
        <v>3432</v>
      </c>
      <c r="I214" s="2980" t="s">
        <v>3717</v>
      </c>
      <c r="J214" s="2980" t="s">
        <v>3718</v>
      </c>
    </row>
    <row r="215" spans="1:10">
      <c r="A215" s="2980" t="s">
        <v>3719</v>
      </c>
      <c r="B215" s="2980" t="s">
        <v>3222</v>
      </c>
      <c r="C215" s="2980" t="s">
        <v>1326</v>
      </c>
      <c r="D215" s="2980" t="s">
        <v>1326</v>
      </c>
      <c r="E215" s="2980" t="s">
        <v>3224</v>
      </c>
      <c r="F215" s="2980" t="s">
        <v>3166</v>
      </c>
      <c r="G215" s="2980" t="s">
        <v>3182</v>
      </c>
      <c r="H215" s="2980" t="s">
        <v>3183</v>
      </c>
      <c r="I215" s="2980" t="s">
        <v>3720</v>
      </c>
      <c r="J215" s="2980" t="s">
        <v>3721</v>
      </c>
    </row>
    <row r="216" spans="1:10">
      <c r="A216" s="2980" t="s">
        <v>3719</v>
      </c>
      <c r="B216" s="2980" t="s">
        <v>3252</v>
      </c>
      <c r="C216" s="2980" t="s">
        <v>1326</v>
      </c>
      <c r="D216" s="2980" t="s">
        <v>1326</v>
      </c>
      <c r="E216" s="2980" t="s">
        <v>3224</v>
      </c>
      <c r="F216" s="2980" t="s">
        <v>3166</v>
      </c>
      <c r="G216" s="2980" t="s">
        <v>3278</v>
      </c>
      <c r="H216" s="2980" t="s">
        <v>3576</v>
      </c>
      <c r="I216" s="2980" t="s">
        <v>3722</v>
      </c>
      <c r="J216" s="2980" t="s">
        <v>3723</v>
      </c>
    </row>
    <row r="217" spans="1:10">
      <c r="A217" s="2980" t="s">
        <v>3719</v>
      </c>
      <c r="B217" s="2980" t="s">
        <v>3243</v>
      </c>
      <c r="C217" s="2980" t="s">
        <v>1326</v>
      </c>
      <c r="D217" s="2980" t="s">
        <v>1326</v>
      </c>
      <c r="E217" s="2980" t="s">
        <v>3224</v>
      </c>
      <c r="F217" s="2980" t="s">
        <v>3166</v>
      </c>
      <c r="G217" s="2980" t="s">
        <v>3278</v>
      </c>
      <c r="H217" s="2980" t="s">
        <v>3279</v>
      </c>
      <c r="I217" s="2980" t="s">
        <v>3724</v>
      </c>
      <c r="J217" s="2980" t="s">
        <v>3725</v>
      </c>
    </row>
    <row r="218" spans="1:10">
      <c r="A218" s="2980" t="s">
        <v>3719</v>
      </c>
      <c r="B218" s="2980" t="s">
        <v>3252</v>
      </c>
      <c r="C218" s="2980" t="s">
        <v>1326</v>
      </c>
      <c r="D218" s="2980" t="s">
        <v>1326</v>
      </c>
      <c r="E218" s="2980" t="s">
        <v>3224</v>
      </c>
      <c r="F218" s="2980" t="s">
        <v>3166</v>
      </c>
      <c r="G218" s="2980" t="s">
        <v>3278</v>
      </c>
      <c r="H218" s="2980" t="s">
        <v>3279</v>
      </c>
      <c r="I218" s="2980" t="s">
        <v>3592</v>
      </c>
      <c r="J218" s="2980" t="s">
        <v>3593</v>
      </c>
    </row>
    <row r="219" spans="1:10">
      <c r="A219" s="2980" t="s">
        <v>3719</v>
      </c>
      <c r="B219" s="2980" t="s">
        <v>3252</v>
      </c>
      <c r="C219" s="2980" t="s">
        <v>1326</v>
      </c>
      <c r="D219" s="2980" t="s">
        <v>1326</v>
      </c>
      <c r="E219" s="2980" t="s">
        <v>3224</v>
      </c>
      <c r="F219" s="2980" t="s">
        <v>3166</v>
      </c>
      <c r="G219" s="2980" t="s">
        <v>3278</v>
      </c>
      <c r="H219" s="2980" t="s">
        <v>3496</v>
      </c>
      <c r="I219" s="2980" t="s">
        <v>3726</v>
      </c>
      <c r="J219" s="2980" t="s">
        <v>3727</v>
      </c>
    </row>
    <row r="220" spans="1:10">
      <c r="A220" s="2980" t="s">
        <v>3728</v>
      </c>
      <c r="B220" s="2980" t="s">
        <v>3171</v>
      </c>
      <c r="C220" s="2980" t="s">
        <v>1326</v>
      </c>
      <c r="D220" s="2980" t="s">
        <v>3551</v>
      </c>
      <c r="E220" s="2980" t="s">
        <v>3224</v>
      </c>
      <c r="F220" s="2980" t="s">
        <v>3166</v>
      </c>
      <c r="G220" s="2980" t="s">
        <v>3167</v>
      </c>
      <c r="H220" s="2980" t="s">
        <v>3365</v>
      </c>
      <c r="I220" s="2980" t="s">
        <v>3729</v>
      </c>
      <c r="J220" s="2980" t="s">
        <v>3730</v>
      </c>
    </row>
    <row r="221" spans="1:10">
      <c r="A221" s="2980" t="s">
        <v>3731</v>
      </c>
      <c r="B221" s="2980" t="s">
        <v>3252</v>
      </c>
      <c r="C221" s="2980" t="s">
        <v>1326</v>
      </c>
      <c r="D221" s="2980" t="s">
        <v>3732</v>
      </c>
      <c r="E221" s="2980" t="s">
        <v>3224</v>
      </c>
      <c r="F221" s="2980" t="s">
        <v>3166</v>
      </c>
      <c r="G221" s="2980" t="s">
        <v>3278</v>
      </c>
      <c r="H221" s="2980" t="s">
        <v>3279</v>
      </c>
      <c r="I221" s="2980" t="s">
        <v>3733</v>
      </c>
      <c r="J221" s="2980" t="s">
        <v>3734</v>
      </c>
    </row>
    <row r="222" spans="1:10">
      <c r="A222" s="2980" t="s">
        <v>3735</v>
      </c>
      <c r="B222" s="2980" t="s">
        <v>3243</v>
      </c>
      <c r="C222" s="2980" t="s">
        <v>1326</v>
      </c>
      <c r="D222" s="2980" t="s">
        <v>3736</v>
      </c>
      <c r="E222" s="2980" t="s">
        <v>3224</v>
      </c>
      <c r="F222" s="2980" t="s">
        <v>3166</v>
      </c>
      <c r="G222" s="2980" t="s">
        <v>3278</v>
      </c>
      <c r="H222" s="2980" t="s">
        <v>3279</v>
      </c>
      <c r="I222" s="2980" t="s">
        <v>3737</v>
      </c>
      <c r="J222" s="2980" t="s">
        <v>3738</v>
      </c>
    </row>
    <row r="223" spans="1:10">
      <c r="A223" s="2980" t="s">
        <v>3739</v>
      </c>
      <c r="B223" s="2980" t="s">
        <v>3171</v>
      </c>
      <c r="C223" s="2980" t="s">
        <v>1326</v>
      </c>
      <c r="D223" s="2980" t="s">
        <v>3740</v>
      </c>
      <c r="E223" s="2980" t="s">
        <v>3224</v>
      </c>
      <c r="F223" s="2980" t="s">
        <v>3166</v>
      </c>
      <c r="G223" s="2980" t="s">
        <v>3182</v>
      </c>
      <c r="H223" s="2980" t="s">
        <v>3183</v>
      </c>
      <c r="I223" s="2980" t="s">
        <v>3328</v>
      </c>
      <c r="J223" s="2980" t="s">
        <v>3329</v>
      </c>
    </row>
    <row r="224" spans="1:10">
      <c r="A224" s="2980" t="s">
        <v>3739</v>
      </c>
      <c r="B224" s="2980" t="s">
        <v>3243</v>
      </c>
      <c r="C224" s="2980" t="s">
        <v>1326</v>
      </c>
      <c r="D224" s="2980" t="s">
        <v>3613</v>
      </c>
      <c r="E224" s="2980" t="s">
        <v>3224</v>
      </c>
      <c r="F224" s="2980" t="s">
        <v>3166</v>
      </c>
      <c r="G224" s="2980" t="s">
        <v>3278</v>
      </c>
      <c r="H224" s="2980" t="s">
        <v>3279</v>
      </c>
      <c r="I224" s="2980" t="s">
        <v>3724</v>
      </c>
      <c r="J224" s="2980" t="s">
        <v>3725</v>
      </c>
    </row>
    <row r="225" spans="1:10">
      <c r="A225" s="2980" t="s">
        <v>3741</v>
      </c>
      <c r="B225" s="2980" t="s">
        <v>3252</v>
      </c>
      <c r="C225" s="2980" t="s">
        <v>1326</v>
      </c>
      <c r="D225" s="2980" t="s">
        <v>3239</v>
      </c>
      <c r="E225" s="2980" t="s">
        <v>3224</v>
      </c>
      <c r="F225" s="2980" t="s">
        <v>3166</v>
      </c>
      <c r="G225" s="2980" t="s">
        <v>3278</v>
      </c>
      <c r="H225" s="2980" t="s">
        <v>3432</v>
      </c>
      <c r="I225" s="2980" t="s">
        <v>3742</v>
      </c>
      <c r="J225" s="2980" t="s">
        <v>3743</v>
      </c>
    </row>
    <row r="226" spans="1:10">
      <c r="A226" s="2980" t="s">
        <v>3744</v>
      </c>
      <c r="B226" s="2980" t="s">
        <v>3252</v>
      </c>
      <c r="C226" s="2980" t="s">
        <v>1326</v>
      </c>
      <c r="D226" s="2980" t="s">
        <v>3745</v>
      </c>
      <c r="E226" s="2980" t="s">
        <v>3224</v>
      </c>
      <c r="F226" s="2980" t="s">
        <v>3166</v>
      </c>
      <c r="G226" s="2980" t="s">
        <v>3278</v>
      </c>
      <c r="H226" s="2980" t="s">
        <v>3432</v>
      </c>
      <c r="I226" s="2980" t="s">
        <v>3746</v>
      </c>
      <c r="J226" s="2980" t="s">
        <v>3747</v>
      </c>
    </row>
    <row r="227" spans="1:10">
      <c r="A227" s="2980" t="s">
        <v>3744</v>
      </c>
      <c r="B227" s="2980" t="s">
        <v>3252</v>
      </c>
      <c r="C227" s="2980" t="s">
        <v>1326</v>
      </c>
      <c r="D227" s="2980" t="s">
        <v>3748</v>
      </c>
      <c r="E227" s="2980" t="s">
        <v>3224</v>
      </c>
      <c r="F227" s="2980" t="s">
        <v>3166</v>
      </c>
      <c r="G227" s="2980" t="s">
        <v>3278</v>
      </c>
      <c r="H227" s="2980" t="s">
        <v>3496</v>
      </c>
      <c r="I227" s="2980" t="s">
        <v>3749</v>
      </c>
      <c r="J227" s="2980" t="s">
        <v>3448</v>
      </c>
    </row>
    <row r="228" spans="1:10">
      <c r="A228" s="2980" t="s">
        <v>3750</v>
      </c>
      <c r="B228" s="2980" t="s">
        <v>3243</v>
      </c>
      <c r="C228" s="2980" t="s">
        <v>1326</v>
      </c>
      <c r="D228" s="2980" t="s">
        <v>3289</v>
      </c>
      <c r="E228" s="2980" t="s">
        <v>3224</v>
      </c>
      <c r="F228" s="2980" t="s">
        <v>3166</v>
      </c>
      <c r="G228" s="2980" t="s">
        <v>3278</v>
      </c>
      <c r="H228" s="2980" t="s">
        <v>3446</v>
      </c>
      <c r="I228" s="2980" t="s">
        <v>3751</v>
      </c>
      <c r="J228" s="2980" t="s">
        <v>3752</v>
      </c>
    </row>
    <row r="229" spans="1:10">
      <c r="A229" s="2980" t="s">
        <v>3753</v>
      </c>
      <c r="B229" s="2980" t="s">
        <v>3171</v>
      </c>
      <c r="C229" s="2980" t="s">
        <v>1326</v>
      </c>
      <c r="D229" s="2980" t="s">
        <v>3732</v>
      </c>
      <c r="E229" s="2980" t="s">
        <v>3224</v>
      </c>
      <c r="F229" s="2980" t="s">
        <v>3166</v>
      </c>
      <c r="G229" s="2980" t="s">
        <v>3167</v>
      </c>
      <c r="H229" s="2980" t="s">
        <v>3365</v>
      </c>
      <c r="I229" s="2980" t="s">
        <v>3754</v>
      </c>
      <c r="J229" s="2980" t="s">
        <v>3755</v>
      </c>
    </row>
    <row r="230" spans="1:10">
      <c r="A230" s="2980" t="s">
        <v>3753</v>
      </c>
      <c r="B230" s="2980" t="s">
        <v>3243</v>
      </c>
      <c r="C230" s="2980" t="s">
        <v>1326</v>
      </c>
      <c r="D230" s="2980" t="s">
        <v>3756</v>
      </c>
      <c r="E230" s="2980" t="s">
        <v>3224</v>
      </c>
      <c r="F230" s="2980" t="s">
        <v>3166</v>
      </c>
      <c r="G230" s="2980" t="s">
        <v>3278</v>
      </c>
      <c r="H230" s="2980" t="s">
        <v>3446</v>
      </c>
      <c r="I230" s="2980" t="s">
        <v>3757</v>
      </c>
      <c r="J230" s="2980" t="s">
        <v>3727</v>
      </c>
    </row>
    <row r="231" spans="1:10">
      <c r="A231" s="2980" t="s">
        <v>3753</v>
      </c>
      <c r="B231" s="2980" t="s">
        <v>3171</v>
      </c>
      <c r="C231" s="2980" t="s">
        <v>1326</v>
      </c>
      <c r="D231" s="2980" t="s">
        <v>3277</v>
      </c>
      <c r="E231" s="2980" t="s">
        <v>3224</v>
      </c>
      <c r="F231" s="2980" t="s">
        <v>3166</v>
      </c>
      <c r="G231" s="2980" t="s">
        <v>3167</v>
      </c>
      <c r="H231" s="2980" t="s">
        <v>3365</v>
      </c>
      <c r="I231" s="2980" t="s">
        <v>3758</v>
      </c>
      <c r="J231" s="2980" t="s">
        <v>3759</v>
      </c>
    </row>
    <row r="232" spans="1:10">
      <c r="A232" s="2980" t="s">
        <v>3753</v>
      </c>
      <c r="B232" s="2980" t="s">
        <v>3252</v>
      </c>
      <c r="C232" s="2980" t="s">
        <v>1326</v>
      </c>
      <c r="D232" s="2980" t="s">
        <v>3760</v>
      </c>
      <c r="E232" s="2980" t="s">
        <v>3224</v>
      </c>
      <c r="F232" s="2980" t="s">
        <v>3166</v>
      </c>
      <c r="G232" s="2980" t="s">
        <v>3278</v>
      </c>
      <c r="H232" s="2980" t="s">
        <v>3496</v>
      </c>
      <c r="I232" s="2980" t="s">
        <v>3620</v>
      </c>
      <c r="J232" s="2980" t="s">
        <v>3621</v>
      </c>
    </row>
    <row r="233" spans="1:10">
      <c r="A233" s="2980" t="s">
        <v>3753</v>
      </c>
      <c r="B233" s="2980" t="s">
        <v>3243</v>
      </c>
      <c r="C233" s="2980" t="s">
        <v>1326</v>
      </c>
      <c r="D233" s="2980" t="s">
        <v>3351</v>
      </c>
      <c r="E233" s="2980" t="s">
        <v>3224</v>
      </c>
      <c r="F233" s="2980" t="s">
        <v>3166</v>
      </c>
      <c r="G233" s="2980" t="s">
        <v>3278</v>
      </c>
      <c r="H233" s="2980" t="s">
        <v>3446</v>
      </c>
      <c r="I233" s="2980" t="s">
        <v>3674</v>
      </c>
      <c r="J233" s="2980" t="s">
        <v>3675</v>
      </c>
    </row>
    <row r="234" spans="1:10">
      <c r="A234" s="2980" t="s">
        <v>3761</v>
      </c>
      <c r="B234" s="2980" t="s">
        <v>3252</v>
      </c>
      <c r="C234" s="2980" t="s">
        <v>1326</v>
      </c>
      <c r="D234" s="2980" t="s">
        <v>3762</v>
      </c>
      <c r="E234" s="2980" t="s">
        <v>3224</v>
      </c>
      <c r="F234" s="2980" t="s">
        <v>3166</v>
      </c>
      <c r="G234" s="2980" t="s">
        <v>3278</v>
      </c>
      <c r="H234" s="2980" t="s">
        <v>3496</v>
      </c>
      <c r="I234" s="2980" t="s">
        <v>3763</v>
      </c>
      <c r="J234" s="2980" t="s">
        <v>3764</v>
      </c>
    </row>
    <row r="235" spans="1:10">
      <c r="A235" s="2980" t="s">
        <v>3765</v>
      </c>
      <c r="B235" s="2980" t="s">
        <v>3252</v>
      </c>
      <c r="C235" s="2980" t="s">
        <v>1326</v>
      </c>
      <c r="D235" s="2980" t="s">
        <v>3273</v>
      </c>
      <c r="E235" s="2980" t="s">
        <v>3224</v>
      </c>
      <c r="F235" s="2980" t="s">
        <v>3166</v>
      </c>
      <c r="G235" s="2980" t="s">
        <v>3278</v>
      </c>
      <c r="H235" s="2980" t="s">
        <v>3496</v>
      </c>
      <c r="I235" s="2980" t="s">
        <v>3766</v>
      </c>
      <c r="J235" s="2980" t="s">
        <v>3767</v>
      </c>
    </row>
    <row r="236" spans="1:10">
      <c r="A236" s="2980" t="s">
        <v>3765</v>
      </c>
      <c r="B236" s="2980" t="s">
        <v>3243</v>
      </c>
      <c r="C236" s="2980" t="s">
        <v>1326</v>
      </c>
      <c r="D236" s="2980" t="s">
        <v>3277</v>
      </c>
      <c r="E236" s="2980" t="s">
        <v>3224</v>
      </c>
      <c r="F236" s="2980" t="s">
        <v>3166</v>
      </c>
      <c r="G236" s="2980" t="s">
        <v>3278</v>
      </c>
      <c r="H236" s="2980" t="s">
        <v>3446</v>
      </c>
      <c r="I236" s="2980" t="s">
        <v>3768</v>
      </c>
      <c r="J236" s="2980" t="s">
        <v>3769</v>
      </c>
    </row>
    <row r="237" spans="1:10">
      <c r="A237" s="2980" t="s">
        <v>3765</v>
      </c>
      <c r="B237" s="2980" t="s">
        <v>3252</v>
      </c>
      <c r="C237" s="2980" t="s">
        <v>1326</v>
      </c>
      <c r="D237" s="2980" t="s">
        <v>3604</v>
      </c>
      <c r="E237" s="2980" t="s">
        <v>3224</v>
      </c>
      <c r="F237" s="2980" t="s">
        <v>3166</v>
      </c>
      <c r="G237" s="2980" t="s">
        <v>3278</v>
      </c>
      <c r="H237" s="2980" t="s">
        <v>3614</v>
      </c>
      <c r="I237" s="2980" t="s">
        <v>3770</v>
      </c>
      <c r="J237" s="2980" t="s">
        <v>3771</v>
      </c>
    </row>
    <row r="238" spans="1:10">
      <c r="A238" s="2980" t="s">
        <v>3765</v>
      </c>
      <c r="B238" s="2980" t="s">
        <v>3222</v>
      </c>
      <c r="C238" s="2980" t="s">
        <v>1326</v>
      </c>
      <c r="D238" s="2980" t="s">
        <v>3277</v>
      </c>
      <c r="E238" s="2980" t="s">
        <v>3224</v>
      </c>
      <c r="F238" s="2980" t="s">
        <v>3166</v>
      </c>
      <c r="G238" s="2980" t="s">
        <v>3182</v>
      </c>
      <c r="H238" s="2980" t="s">
        <v>3183</v>
      </c>
      <c r="I238" s="2980" t="s">
        <v>3772</v>
      </c>
      <c r="J238" s="2980" t="s">
        <v>3773</v>
      </c>
    </row>
    <row r="239" spans="1:10">
      <c r="A239" s="2980" t="s">
        <v>3765</v>
      </c>
      <c r="B239" s="2980" t="s">
        <v>3252</v>
      </c>
      <c r="C239" s="2980" t="s">
        <v>1326</v>
      </c>
      <c r="D239" s="2980" t="s">
        <v>3354</v>
      </c>
      <c r="E239" s="2980" t="s">
        <v>3224</v>
      </c>
      <c r="F239" s="2980" t="s">
        <v>3166</v>
      </c>
      <c r="G239" s="2980" t="s">
        <v>3278</v>
      </c>
      <c r="H239" s="2980" t="s">
        <v>3432</v>
      </c>
      <c r="I239" s="2980" t="s">
        <v>3774</v>
      </c>
      <c r="J239" s="2980" t="s">
        <v>3775</v>
      </c>
    </row>
    <row r="240" spans="1:10">
      <c r="A240" s="2980" t="s">
        <v>3776</v>
      </c>
      <c r="B240" s="2980" t="s">
        <v>3222</v>
      </c>
      <c r="C240" s="2980" t="s">
        <v>1326</v>
      </c>
      <c r="D240" s="2980" t="s">
        <v>3617</v>
      </c>
      <c r="E240" s="2980" t="s">
        <v>3224</v>
      </c>
      <c r="F240" s="2980" t="s">
        <v>3166</v>
      </c>
      <c r="G240" s="2980" t="s">
        <v>3182</v>
      </c>
      <c r="H240" s="2980" t="s">
        <v>3183</v>
      </c>
      <c r="I240" s="2980" t="s">
        <v>3777</v>
      </c>
      <c r="J240" s="2980" t="s">
        <v>3778</v>
      </c>
    </row>
    <row r="241" spans="1:10">
      <c r="A241" s="2980" t="s">
        <v>3776</v>
      </c>
      <c r="B241" s="2980" t="s">
        <v>3243</v>
      </c>
      <c r="C241" s="2980" t="s">
        <v>1326</v>
      </c>
      <c r="D241" s="2980" t="s">
        <v>3779</v>
      </c>
      <c r="E241" s="2980" t="s">
        <v>3224</v>
      </c>
      <c r="F241" s="2980" t="s">
        <v>3166</v>
      </c>
      <c r="G241" s="2980" t="s">
        <v>3278</v>
      </c>
      <c r="H241" s="2980" t="s">
        <v>3446</v>
      </c>
      <c r="I241" s="2980" t="s">
        <v>3447</v>
      </c>
      <c r="J241" s="2980" t="s">
        <v>3448</v>
      </c>
    </row>
    <row r="242" spans="1:10">
      <c r="A242" s="2980" t="s">
        <v>3776</v>
      </c>
      <c r="B242" s="2980" t="s">
        <v>3252</v>
      </c>
      <c r="C242" s="2980" t="s">
        <v>1326</v>
      </c>
      <c r="D242" s="2980" t="s">
        <v>3780</v>
      </c>
      <c r="E242" s="2980" t="s">
        <v>3224</v>
      </c>
      <c r="F242" s="2980" t="s">
        <v>3166</v>
      </c>
      <c r="G242" s="2980" t="s">
        <v>3278</v>
      </c>
      <c r="H242" s="2980" t="s">
        <v>3496</v>
      </c>
      <c r="I242" s="2980" t="s">
        <v>3781</v>
      </c>
      <c r="J242" s="2980" t="s">
        <v>3782</v>
      </c>
    </row>
    <row r="243" spans="1:10">
      <c r="A243" s="2980" t="s">
        <v>3776</v>
      </c>
      <c r="B243" s="2980" t="s">
        <v>3171</v>
      </c>
      <c r="C243" s="2980" t="s">
        <v>1326</v>
      </c>
      <c r="D243" s="2980" t="s">
        <v>3783</v>
      </c>
      <c r="E243" s="2980" t="s">
        <v>3224</v>
      </c>
      <c r="F243" s="2980" t="s">
        <v>3166</v>
      </c>
      <c r="G243" s="2980" t="s">
        <v>3182</v>
      </c>
      <c r="H243" s="2980" t="s">
        <v>3183</v>
      </c>
      <c r="I243" s="2980" t="s">
        <v>3784</v>
      </c>
      <c r="J243" s="2980" t="s">
        <v>3785</v>
      </c>
    </row>
    <row r="244" spans="1:10">
      <c r="A244" s="2980" t="s">
        <v>3786</v>
      </c>
      <c r="B244" s="2980" t="s">
        <v>3163</v>
      </c>
      <c r="C244" s="2980" t="s">
        <v>1326</v>
      </c>
      <c r="D244" s="2980" t="s">
        <v>3787</v>
      </c>
      <c r="E244" s="2980" t="s">
        <v>3224</v>
      </c>
      <c r="F244" s="2980" t="s">
        <v>3166</v>
      </c>
      <c r="G244" s="2980" t="s">
        <v>3182</v>
      </c>
      <c r="H244" s="2980" t="s">
        <v>3248</v>
      </c>
      <c r="I244" s="2980" t="s">
        <v>3788</v>
      </c>
      <c r="J244" s="2980" t="s">
        <v>3789</v>
      </c>
    </row>
    <row r="245" spans="1:10">
      <c r="A245" s="2980" t="s">
        <v>3790</v>
      </c>
      <c r="B245" s="2980" t="s">
        <v>3243</v>
      </c>
      <c r="C245" s="2980" t="s">
        <v>1326</v>
      </c>
      <c r="D245" s="2980" t="s">
        <v>3791</v>
      </c>
      <c r="E245" s="2980" t="s">
        <v>3224</v>
      </c>
      <c r="F245" s="2980" t="s">
        <v>3166</v>
      </c>
      <c r="G245" s="2980" t="s">
        <v>3278</v>
      </c>
      <c r="H245" s="2980" t="s">
        <v>3446</v>
      </c>
      <c r="I245" s="2980" t="s">
        <v>3792</v>
      </c>
      <c r="J245" s="2980" t="s">
        <v>3793</v>
      </c>
    </row>
    <row r="246" spans="1:10">
      <c r="A246" s="2980" t="s">
        <v>3794</v>
      </c>
      <c r="B246" s="2980" t="s">
        <v>3243</v>
      </c>
      <c r="C246" s="2980" t="s">
        <v>1326</v>
      </c>
      <c r="D246" s="2980" t="s">
        <v>3762</v>
      </c>
      <c r="E246" s="2980" t="s">
        <v>3224</v>
      </c>
      <c r="F246" s="2980" t="s">
        <v>3166</v>
      </c>
      <c r="G246" s="2980" t="s">
        <v>3278</v>
      </c>
      <c r="H246" s="2980" t="s">
        <v>3446</v>
      </c>
      <c r="I246" s="2980" t="s">
        <v>3768</v>
      </c>
      <c r="J246" s="2980" t="s">
        <v>3769</v>
      </c>
    </row>
    <row r="247" spans="1:10">
      <c r="A247" s="2980" t="s">
        <v>3794</v>
      </c>
      <c r="B247" s="2980" t="s">
        <v>3252</v>
      </c>
      <c r="C247" s="2980" t="s">
        <v>1326</v>
      </c>
      <c r="D247" s="2980" t="s">
        <v>3323</v>
      </c>
      <c r="E247" s="2980" t="s">
        <v>3224</v>
      </c>
      <c r="F247" s="2980" t="s">
        <v>3166</v>
      </c>
      <c r="G247" s="2980" t="s">
        <v>3278</v>
      </c>
      <c r="H247" s="2980" t="s">
        <v>3432</v>
      </c>
      <c r="I247" s="2980" t="s">
        <v>3795</v>
      </c>
      <c r="J247" s="2980" t="s">
        <v>3796</v>
      </c>
    </row>
    <row r="248" spans="1:10">
      <c r="A248" s="2980" t="s">
        <v>3797</v>
      </c>
      <c r="B248" s="2980" t="s">
        <v>3252</v>
      </c>
      <c r="C248" s="2980" t="s">
        <v>1326</v>
      </c>
      <c r="D248" s="2980" t="s">
        <v>3351</v>
      </c>
      <c r="E248" s="2980" t="s">
        <v>3224</v>
      </c>
      <c r="F248" s="2980" t="s">
        <v>3166</v>
      </c>
      <c r="G248" s="2980" t="s">
        <v>3278</v>
      </c>
      <c r="H248" s="2980" t="s">
        <v>3279</v>
      </c>
      <c r="I248" s="2980" t="s">
        <v>3798</v>
      </c>
      <c r="J248" s="2980" t="s">
        <v>3799</v>
      </c>
    </row>
    <row r="249" spans="1:10">
      <c r="A249" s="2980" t="s">
        <v>3797</v>
      </c>
      <c r="B249" s="2980" t="s">
        <v>3252</v>
      </c>
      <c r="C249" s="2980" t="s">
        <v>1326</v>
      </c>
      <c r="D249" s="2980" t="s">
        <v>3800</v>
      </c>
      <c r="E249" s="2980" t="s">
        <v>3224</v>
      </c>
      <c r="F249" s="2980" t="s">
        <v>3166</v>
      </c>
      <c r="G249" s="2980" t="s">
        <v>3167</v>
      </c>
      <c r="H249" s="2980" t="s">
        <v>3304</v>
      </c>
      <c r="I249" s="2980" t="s">
        <v>3801</v>
      </c>
      <c r="J249" s="2980" t="s">
        <v>3802</v>
      </c>
    </row>
  </sheetData>
  <phoneticPr fontId="143" type="noConversion"/>
  <pageMargins left="0.75" right="0.75" top="1" bottom="1" header="0.5" footer="0.5"/>
  <pageSetup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166"/>
  <sheetViews>
    <sheetView topLeftCell="A133" workbookViewId="0">
      <selection activeCell="A30" sqref="A30:XFD30"/>
    </sheetView>
  </sheetViews>
  <sheetFormatPr defaultRowHeight="12.75"/>
  <cols>
    <col min="1" max="8" width="9" style="2980"/>
    <col min="9" max="9" width="9" style="2984"/>
    <col min="10" max="16384" width="9" style="2980"/>
  </cols>
  <sheetData>
    <row r="1" spans="1:10">
      <c r="A1" s="2980" t="s">
        <v>3125</v>
      </c>
      <c r="B1" s="2980" t="s">
        <v>3155</v>
      </c>
      <c r="C1" s="2980" t="s">
        <v>3156</v>
      </c>
      <c r="D1" s="2980" t="s">
        <v>3157</v>
      </c>
      <c r="E1" s="2980" t="s">
        <v>3158</v>
      </c>
      <c r="F1" s="2980" t="s">
        <v>3159</v>
      </c>
      <c r="G1" s="2980" t="s">
        <v>3160</v>
      </c>
      <c r="H1" s="2980" t="s">
        <v>3127</v>
      </c>
      <c r="I1" s="2984" t="s">
        <v>3129</v>
      </c>
      <c r="J1" s="2980" t="s">
        <v>3161</v>
      </c>
    </row>
    <row r="2" spans="1:10">
      <c r="A2" s="2980" t="s">
        <v>3221</v>
      </c>
      <c r="B2" s="2980" t="s">
        <v>3222</v>
      </c>
      <c r="C2" s="2980" t="s">
        <v>1326</v>
      </c>
      <c r="D2" s="2980" t="s">
        <v>3223</v>
      </c>
      <c r="E2" s="2980" t="s">
        <v>3224</v>
      </c>
      <c r="F2" s="2980" t="s">
        <v>3166</v>
      </c>
      <c r="G2" s="2980" t="s">
        <v>3182</v>
      </c>
      <c r="H2" s="2984">
        <v>89</v>
      </c>
      <c r="I2" s="2984">
        <v>436.09</v>
      </c>
      <c r="J2" s="2984">
        <v>49137</v>
      </c>
    </row>
    <row r="3" spans="1:10">
      <c r="A3" s="2980" t="s">
        <v>3221</v>
      </c>
      <c r="B3" s="2980" t="s">
        <v>3222</v>
      </c>
      <c r="C3" s="2980" t="s">
        <v>1326</v>
      </c>
      <c r="D3" s="2980" t="s">
        <v>3227</v>
      </c>
      <c r="E3" s="2980" t="s">
        <v>3224</v>
      </c>
      <c r="F3" s="2980" t="s">
        <v>3166</v>
      </c>
      <c r="G3" s="2980" t="s">
        <v>3182</v>
      </c>
      <c r="H3" s="2984">
        <v>89</v>
      </c>
      <c r="I3" s="2984">
        <v>436.26</v>
      </c>
      <c r="J3" s="2984">
        <v>49156</v>
      </c>
    </row>
    <row r="4" spans="1:10">
      <c r="A4" s="2980" t="s">
        <v>3221</v>
      </c>
      <c r="B4" s="2980" t="s">
        <v>3230</v>
      </c>
      <c r="C4" s="2980" t="s">
        <v>1326</v>
      </c>
      <c r="D4" s="2980" t="s">
        <v>3231</v>
      </c>
      <c r="E4" s="2980" t="s">
        <v>3224</v>
      </c>
      <c r="F4" s="2980" t="s">
        <v>3166</v>
      </c>
      <c r="G4" s="2980" t="s">
        <v>3182</v>
      </c>
      <c r="H4" s="2984">
        <v>89</v>
      </c>
      <c r="I4" s="2984">
        <v>438.5</v>
      </c>
      <c r="J4" s="2984">
        <v>49176</v>
      </c>
    </row>
    <row r="5" spans="1:10">
      <c r="A5" s="2980" t="s">
        <v>3234</v>
      </c>
      <c r="B5" s="2980" t="s">
        <v>3222</v>
      </c>
      <c r="C5" s="2980" t="s">
        <v>1326</v>
      </c>
      <c r="D5" s="2980" t="s">
        <v>3235</v>
      </c>
      <c r="E5" s="2980" t="s">
        <v>3224</v>
      </c>
      <c r="F5" s="2980" t="s">
        <v>3166</v>
      </c>
      <c r="G5" s="2980" t="s">
        <v>3182</v>
      </c>
      <c r="H5" s="2984">
        <v>89</v>
      </c>
      <c r="I5" s="2984">
        <v>436.09</v>
      </c>
      <c r="J5" s="2984">
        <v>49137</v>
      </c>
    </row>
    <row r="6" spans="1:10">
      <c r="A6" s="2980" t="s">
        <v>3234</v>
      </c>
      <c r="B6" s="2980" t="s">
        <v>3230</v>
      </c>
      <c r="C6" s="2980" t="s">
        <v>1326</v>
      </c>
      <c r="D6" s="2980" t="s">
        <v>3236</v>
      </c>
      <c r="E6" s="2980" t="s">
        <v>3224</v>
      </c>
      <c r="F6" s="2980" t="s">
        <v>3166</v>
      </c>
      <c r="G6" s="2980" t="s">
        <v>3182</v>
      </c>
      <c r="H6" s="2984">
        <v>89</v>
      </c>
      <c r="I6" s="2984">
        <v>438.16</v>
      </c>
      <c r="J6" s="2984">
        <v>49137</v>
      </c>
    </row>
    <row r="7" spans="1:10">
      <c r="A7" s="2980" t="s">
        <v>3234</v>
      </c>
      <c r="B7" s="2980" t="s">
        <v>3238</v>
      </c>
      <c r="C7" s="2980" t="s">
        <v>1326</v>
      </c>
      <c r="D7" s="2980" t="s">
        <v>3239</v>
      </c>
      <c r="E7" s="2980" t="s">
        <v>3224</v>
      </c>
      <c r="F7" s="2980" t="s">
        <v>3166</v>
      </c>
      <c r="G7" s="2980" t="s">
        <v>3182</v>
      </c>
      <c r="H7" s="2984">
        <v>89</v>
      </c>
      <c r="I7" s="2984">
        <v>458.55</v>
      </c>
      <c r="J7" s="2984">
        <v>51540</v>
      </c>
    </row>
    <row r="8" spans="1:10">
      <c r="A8" s="2980" t="s">
        <v>3242</v>
      </c>
      <c r="B8" s="2980" t="s">
        <v>3243</v>
      </c>
      <c r="C8" s="2980" t="s">
        <v>1326</v>
      </c>
      <c r="D8" s="2980" t="s">
        <v>3244</v>
      </c>
      <c r="E8" s="2980" t="s">
        <v>3224</v>
      </c>
      <c r="F8" s="2980" t="s">
        <v>3166</v>
      </c>
      <c r="G8" s="2980" t="s">
        <v>3182</v>
      </c>
      <c r="H8" s="2984">
        <v>89</v>
      </c>
      <c r="I8" s="2984">
        <v>437.96</v>
      </c>
      <c r="J8" s="2984">
        <v>49099</v>
      </c>
    </row>
    <row r="9" spans="1:10">
      <c r="A9" s="2980" t="s">
        <v>3251</v>
      </c>
      <c r="B9" s="2980" t="s">
        <v>3252</v>
      </c>
      <c r="C9" s="2980" t="s">
        <v>1326</v>
      </c>
      <c r="D9" s="2980" t="s">
        <v>3253</v>
      </c>
      <c r="E9" s="2980" t="s">
        <v>3224</v>
      </c>
      <c r="F9" s="2980" t="s">
        <v>3166</v>
      </c>
      <c r="G9" s="2980" t="s">
        <v>3182</v>
      </c>
      <c r="H9" s="2984">
        <v>83</v>
      </c>
      <c r="I9" s="2984">
        <v>374</v>
      </c>
      <c r="J9" s="2984">
        <v>45207</v>
      </c>
    </row>
    <row r="10" spans="1:10">
      <c r="A10" s="2980" t="s">
        <v>3257</v>
      </c>
      <c r="B10" s="2980" t="s">
        <v>3238</v>
      </c>
      <c r="C10" s="2980" t="s">
        <v>1326</v>
      </c>
      <c r="D10" s="2980" t="s">
        <v>3235</v>
      </c>
      <c r="E10" s="2980" t="s">
        <v>3224</v>
      </c>
      <c r="F10" s="2980" t="s">
        <v>3166</v>
      </c>
      <c r="G10" s="2980" t="s">
        <v>3182</v>
      </c>
      <c r="H10" s="2984">
        <v>89</v>
      </c>
      <c r="I10" s="2984">
        <v>459.99</v>
      </c>
      <c r="J10" s="2984">
        <v>51562</v>
      </c>
    </row>
    <row r="11" spans="1:10">
      <c r="A11" s="2980" t="s">
        <v>3162</v>
      </c>
      <c r="B11" s="2980" t="s">
        <v>3260</v>
      </c>
      <c r="C11" s="2980" t="s">
        <v>1326</v>
      </c>
      <c r="D11" s="2980" t="s">
        <v>3223</v>
      </c>
      <c r="E11" s="2980" t="s">
        <v>3224</v>
      </c>
      <c r="F11" s="2980" t="s">
        <v>3166</v>
      </c>
      <c r="G11" s="2980" t="s">
        <v>3182</v>
      </c>
      <c r="H11" s="2984">
        <v>89</v>
      </c>
      <c r="I11" s="2984">
        <v>460.35</v>
      </c>
      <c r="J11" s="2984">
        <v>51563</v>
      </c>
    </row>
    <row r="12" spans="1:10">
      <c r="A12" s="2980" t="s">
        <v>3162</v>
      </c>
      <c r="B12" s="2980" t="s">
        <v>3243</v>
      </c>
      <c r="C12" s="2980" t="s">
        <v>1326</v>
      </c>
      <c r="D12" s="2980" t="s">
        <v>3263</v>
      </c>
      <c r="E12" s="2980" t="s">
        <v>3224</v>
      </c>
      <c r="F12" s="2980" t="s">
        <v>3166</v>
      </c>
      <c r="G12" s="2980" t="s">
        <v>3167</v>
      </c>
      <c r="H12" s="2984">
        <v>83</v>
      </c>
      <c r="I12" s="2984">
        <v>374</v>
      </c>
      <c r="J12" s="2984">
        <v>45115</v>
      </c>
    </row>
    <row r="13" spans="1:10">
      <c r="A13" s="2980" t="s">
        <v>3265</v>
      </c>
      <c r="B13" s="2980" t="s">
        <v>3171</v>
      </c>
      <c r="C13" s="2980" t="s">
        <v>1326</v>
      </c>
      <c r="D13" s="2980" t="s">
        <v>3266</v>
      </c>
      <c r="E13" s="2980" t="s">
        <v>3224</v>
      </c>
      <c r="F13" s="2980" t="s">
        <v>3166</v>
      </c>
      <c r="G13" s="2980" t="s">
        <v>3182</v>
      </c>
      <c r="H13" s="2984">
        <v>86</v>
      </c>
      <c r="I13" s="2984">
        <v>420</v>
      </c>
      <c r="J13" s="2984">
        <v>49123</v>
      </c>
    </row>
    <row r="14" spans="1:10">
      <c r="A14" s="2980" t="s">
        <v>3270</v>
      </c>
      <c r="B14" s="2980" t="s">
        <v>3230</v>
      </c>
      <c r="C14" s="2980" t="s">
        <v>1326</v>
      </c>
      <c r="D14" s="2980" t="s">
        <v>3271</v>
      </c>
      <c r="E14" s="2980" t="s">
        <v>3224</v>
      </c>
      <c r="F14" s="2980" t="s">
        <v>3166</v>
      </c>
      <c r="G14" s="2980" t="s">
        <v>3182</v>
      </c>
      <c r="H14" s="2984">
        <v>89</v>
      </c>
      <c r="I14" s="2984">
        <v>438.33</v>
      </c>
      <c r="J14" s="2984">
        <v>49156</v>
      </c>
    </row>
    <row r="15" spans="1:10">
      <c r="A15" s="2980" t="s">
        <v>3198</v>
      </c>
      <c r="B15" s="2980" t="s">
        <v>3171</v>
      </c>
      <c r="C15" s="2980" t="s">
        <v>1326</v>
      </c>
      <c r="D15" s="2980" t="s">
        <v>3273</v>
      </c>
      <c r="E15" s="2980" t="s">
        <v>3224</v>
      </c>
      <c r="F15" s="2980" t="s">
        <v>3166</v>
      </c>
      <c r="G15" s="2980" t="s">
        <v>3182</v>
      </c>
      <c r="H15" s="2984">
        <v>89</v>
      </c>
      <c r="I15" s="2984">
        <v>465.03</v>
      </c>
      <c r="J15" s="2984">
        <v>52357</v>
      </c>
    </row>
    <row r="16" spans="1:10">
      <c r="A16" s="2980" t="s">
        <v>3276</v>
      </c>
      <c r="B16" s="2980" t="s">
        <v>3222</v>
      </c>
      <c r="C16" s="2980" t="s">
        <v>1326</v>
      </c>
      <c r="D16" s="2980" t="s">
        <v>3282</v>
      </c>
      <c r="E16" s="2980" t="s">
        <v>3224</v>
      </c>
      <c r="F16" s="2980" t="s">
        <v>3166</v>
      </c>
      <c r="G16" s="2980" t="s">
        <v>3182</v>
      </c>
      <c r="H16" s="2984">
        <v>89</v>
      </c>
      <c r="I16" s="2984">
        <v>437.74</v>
      </c>
      <c r="J16" s="2984">
        <v>49195</v>
      </c>
    </row>
    <row r="17" spans="1:10">
      <c r="A17" s="2980" t="s">
        <v>3276</v>
      </c>
      <c r="B17" s="2980" t="s">
        <v>3238</v>
      </c>
      <c r="C17" s="2980" t="s">
        <v>1326</v>
      </c>
      <c r="D17" s="2980" t="s">
        <v>3285</v>
      </c>
      <c r="E17" s="2980" t="s">
        <v>3224</v>
      </c>
      <c r="F17" s="2980" t="s">
        <v>3166</v>
      </c>
      <c r="G17" s="2980" t="s">
        <v>3182</v>
      </c>
      <c r="H17" s="2984">
        <v>89</v>
      </c>
      <c r="I17" s="2984">
        <v>459.81</v>
      </c>
      <c r="J17" s="2984">
        <v>51542</v>
      </c>
    </row>
    <row r="18" spans="1:10">
      <c r="A18" s="2980" t="s">
        <v>3205</v>
      </c>
      <c r="B18" s="2980" t="s">
        <v>3222</v>
      </c>
      <c r="C18" s="2980" t="s">
        <v>1326</v>
      </c>
      <c r="D18" s="2980" t="s">
        <v>3292</v>
      </c>
      <c r="E18" s="2980" t="s">
        <v>3224</v>
      </c>
      <c r="F18" s="2980" t="s">
        <v>3166</v>
      </c>
      <c r="G18" s="2980" t="s">
        <v>3182</v>
      </c>
      <c r="H18" s="2984">
        <v>89</v>
      </c>
      <c r="I18" s="2984">
        <v>435.92</v>
      </c>
      <c r="J18" s="2984">
        <v>49118</v>
      </c>
    </row>
    <row r="19" spans="1:10">
      <c r="A19" s="2980" t="s">
        <v>3205</v>
      </c>
      <c r="B19" s="2980" t="s">
        <v>3243</v>
      </c>
      <c r="C19" s="2980" t="s">
        <v>1326</v>
      </c>
      <c r="D19" s="2980" t="s">
        <v>3223</v>
      </c>
      <c r="E19" s="2980" t="s">
        <v>3224</v>
      </c>
      <c r="F19" s="2980" t="s">
        <v>3166</v>
      </c>
      <c r="G19" s="2980" t="s">
        <v>3182</v>
      </c>
      <c r="H19" s="2984">
        <v>89</v>
      </c>
      <c r="I19" s="2984">
        <v>438.3</v>
      </c>
      <c r="J19" s="2984">
        <v>49137</v>
      </c>
    </row>
    <row r="20" spans="1:10">
      <c r="A20" s="2980" t="s">
        <v>3214</v>
      </c>
      <c r="B20" s="2980" t="s">
        <v>3243</v>
      </c>
      <c r="C20" s="2980" t="s">
        <v>1326</v>
      </c>
      <c r="D20" s="2980" t="s">
        <v>3300</v>
      </c>
      <c r="E20" s="2980" t="s">
        <v>3224</v>
      </c>
      <c r="F20" s="2980" t="s">
        <v>3166</v>
      </c>
      <c r="G20" s="2980" t="s">
        <v>3182</v>
      </c>
      <c r="H20" s="2984">
        <v>89</v>
      </c>
      <c r="I20" s="2984">
        <v>438.65</v>
      </c>
      <c r="J20" s="2984">
        <v>49176</v>
      </c>
    </row>
    <row r="21" spans="1:10">
      <c r="A21" s="2980" t="s">
        <v>3302</v>
      </c>
      <c r="B21" s="2980" t="s">
        <v>3171</v>
      </c>
      <c r="C21" s="2980" t="s">
        <v>1326</v>
      </c>
      <c r="D21" s="2980" t="s">
        <v>3292</v>
      </c>
      <c r="E21" s="2980" t="s">
        <v>3224</v>
      </c>
      <c r="F21" s="2980" t="s">
        <v>3166</v>
      </c>
      <c r="G21" s="2980" t="s">
        <v>3182</v>
      </c>
      <c r="H21" s="2984">
        <v>89</v>
      </c>
      <c r="I21" s="2984">
        <v>465.39</v>
      </c>
      <c r="J21" s="2984">
        <v>52397</v>
      </c>
    </row>
    <row r="22" spans="1:10">
      <c r="A22" s="2980" t="s">
        <v>3302</v>
      </c>
      <c r="B22" s="2980" t="s">
        <v>3222</v>
      </c>
      <c r="C22" s="2980" t="s">
        <v>1326</v>
      </c>
      <c r="D22" s="2980" t="s">
        <v>3309</v>
      </c>
      <c r="E22" s="2980" t="s">
        <v>3224</v>
      </c>
      <c r="F22" s="2980" t="s">
        <v>3166</v>
      </c>
      <c r="G22" s="2980" t="s">
        <v>3182</v>
      </c>
      <c r="H22" s="2984">
        <v>89</v>
      </c>
      <c r="I22" s="2984">
        <v>436.6</v>
      </c>
      <c r="J22" s="2984">
        <v>49195</v>
      </c>
    </row>
    <row r="23" spans="1:10">
      <c r="A23" s="2980" t="s">
        <v>3316</v>
      </c>
      <c r="B23" s="2980" t="s">
        <v>3222</v>
      </c>
      <c r="C23" s="2980" t="s">
        <v>1326</v>
      </c>
      <c r="D23" s="2980" t="s">
        <v>3319</v>
      </c>
      <c r="E23" s="2980" t="s">
        <v>3224</v>
      </c>
      <c r="F23" s="2980" t="s">
        <v>3166</v>
      </c>
      <c r="G23" s="2980" t="s">
        <v>3182</v>
      </c>
      <c r="H23" s="2984">
        <v>89</v>
      </c>
      <c r="I23" s="2984">
        <v>445.57</v>
      </c>
      <c r="J23" s="2984">
        <v>49790</v>
      </c>
    </row>
    <row r="24" spans="1:10">
      <c r="A24" s="2980" t="s">
        <v>3322</v>
      </c>
      <c r="B24" s="2980" t="s">
        <v>3171</v>
      </c>
      <c r="C24" s="2980" t="s">
        <v>1326</v>
      </c>
      <c r="D24" s="2980" t="s">
        <v>3253</v>
      </c>
      <c r="E24" s="2980" t="s">
        <v>3224</v>
      </c>
      <c r="F24" s="2980" t="s">
        <v>3166</v>
      </c>
      <c r="G24" s="2980" t="s">
        <v>3182</v>
      </c>
      <c r="H24" s="2984">
        <v>86</v>
      </c>
      <c r="I24" s="2984">
        <v>420</v>
      </c>
      <c r="J24" s="2984">
        <v>49123</v>
      </c>
    </row>
    <row r="25" spans="1:10">
      <c r="A25" s="2980" t="s">
        <v>3322</v>
      </c>
      <c r="B25" s="2980" t="s">
        <v>3230</v>
      </c>
      <c r="C25" s="2980" t="s">
        <v>1326</v>
      </c>
      <c r="D25" s="2980" t="s">
        <v>3323</v>
      </c>
      <c r="E25" s="2980" t="s">
        <v>3224</v>
      </c>
      <c r="F25" s="2980" t="s">
        <v>3166</v>
      </c>
      <c r="G25" s="2980" t="s">
        <v>3182</v>
      </c>
      <c r="H25" s="2984">
        <v>90</v>
      </c>
      <c r="I25" s="2984">
        <v>444.03</v>
      </c>
      <c r="J25" s="2984">
        <v>49579</v>
      </c>
    </row>
    <row r="26" spans="1:10">
      <c r="A26" s="2980" t="s">
        <v>3326</v>
      </c>
      <c r="B26" s="2980" t="s">
        <v>3171</v>
      </c>
      <c r="C26" s="2980" t="s">
        <v>1326</v>
      </c>
      <c r="D26" s="2980" t="s">
        <v>3327</v>
      </c>
      <c r="E26" s="2980" t="s">
        <v>3224</v>
      </c>
      <c r="F26" s="2980" t="s">
        <v>3166</v>
      </c>
      <c r="G26" s="2980" t="s">
        <v>3182</v>
      </c>
      <c r="H26" s="2984">
        <v>89</v>
      </c>
      <c r="I26" s="2984">
        <v>464.68</v>
      </c>
      <c r="J26" s="2984">
        <v>52317</v>
      </c>
    </row>
    <row r="27" spans="1:10">
      <c r="A27" s="2980" t="s">
        <v>3330</v>
      </c>
      <c r="B27" s="2980" t="s">
        <v>3252</v>
      </c>
      <c r="C27" s="2980" t="s">
        <v>1326</v>
      </c>
      <c r="D27" s="2980" t="s">
        <v>3236</v>
      </c>
      <c r="E27" s="2980" t="s">
        <v>3224</v>
      </c>
      <c r="F27" s="2980" t="s">
        <v>3166</v>
      </c>
      <c r="G27" s="2980" t="s">
        <v>3182</v>
      </c>
      <c r="H27" s="2984">
        <v>83</v>
      </c>
      <c r="I27" s="2984">
        <v>374</v>
      </c>
      <c r="J27" s="2984">
        <v>45207</v>
      </c>
    </row>
    <row r="28" spans="1:10">
      <c r="A28" s="2980" t="s">
        <v>3334</v>
      </c>
      <c r="B28" s="2980" t="s">
        <v>3230</v>
      </c>
      <c r="C28" s="2980" t="s">
        <v>1326</v>
      </c>
      <c r="D28" s="2980" t="s">
        <v>3289</v>
      </c>
      <c r="E28" s="2980" t="s">
        <v>3224</v>
      </c>
      <c r="F28" s="2980" t="s">
        <v>3166</v>
      </c>
      <c r="G28" s="2980" t="s">
        <v>3182</v>
      </c>
      <c r="H28" s="2984">
        <v>89</v>
      </c>
      <c r="I28" s="2984">
        <v>436.27</v>
      </c>
      <c r="J28" s="2984">
        <v>49118</v>
      </c>
    </row>
    <row r="29" spans="1:10">
      <c r="A29" s="2980" t="s">
        <v>3336</v>
      </c>
      <c r="B29" s="2980" t="s">
        <v>3230</v>
      </c>
      <c r="C29" s="2980" t="s">
        <v>1326</v>
      </c>
      <c r="D29" s="2980" t="s">
        <v>3337</v>
      </c>
      <c r="E29" s="2980" t="s">
        <v>3224</v>
      </c>
      <c r="F29" s="2980" t="s">
        <v>3166</v>
      </c>
      <c r="G29" s="2980" t="s">
        <v>3182</v>
      </c>
      <c r="H29" s="2984">
        <v>89</v>
      </c>
      <c r="I29" s="2984">
        <v>440.86</v>
      </c>
      <c r="J29" s="2984">
        <v>49579</v>
      </c>
    </row>
    <row r="30" spans="1:10">
      <c r="A30" s="2980" t="s">
        <v>3336</v>
      </c>
      <c r="B30" s="2980" t="s">
        <v>3252</v>
      </c>
      <c r="C30" s="2980" t="s">
        <v>1326</v>
      </c>
      <c r="D30" s="2980" t="s">
        <v>3339</v>
      </c>
      <c r="E30" s="2980" t="s">
        <v>3224</v>
      </c>
      <c r="F30" s="2980" t="s">
        <v>3166</v>
      </c>
      <c r="G30" s="2980" t="s">
        <v>3182</v>
      </c>
      <c r="H30" s="2984">
        <v>83</v>
      </c>
      <c r="I30" s="2984">
        <v>374</v>
      </c>
      <c r="J30" s="2984">
        <v>45207</v>
      </c>
    </row>
    <row r="31" spans="1:10">
      <c r="A31" s="2980" t="s">
        <v>3336</v>
      </c>
      <c r="B31" s="2980" t="s">
        <v>3222</v>
      </c>
      <c r="C31" s="2980" t="s">
        <v>1326</v>
      </c>
      <c r="D31" s="2980" t="s">
        <v>3340</v>
      </c>
      <c r="E31" s="2980" t="s">
        <v>3224</v>
      </c>
      <c r="F31" s="2980" t="s">
        <v>3166</v>
      </c>
      <c r="G31" s="2980" t="s">
        <v>3182</v>
      </c>
      <c r="H31" s="2984">
        <v>89</v>
      </c>
      <c r="I31" s="2984">
        <v>436.09</v>
      </c>
      <c r="J31" s="2984">
        <v>49137</v>
      </c>
    </row>
    <row r="33" spans="1:10">
      <c r="A33" s="2980" t="s">
        <v>3341</v>
      </c>
      <c r="B33" s="2980" t="s">
        <v>3222</v>
      </c>
      <c r="C33" s="2980" t="s">
        <v>1326</v>
      </c>
      <c r="D33" s="2980" t="s">
        <v>3188</v>
      </c>
      <c r="E33" s="2980" t="s">
        <v>3224</v>
      </c>
      <c r="F33" s="2980" t="s">
        <v>3166</v>
      </c>
      <c r="G33" s="2980" t="s">
        <v>3182</v>
      </c>
      <c r="H33" s="2984">
        <v>89</v>
      </c>
      <c r="I33" s="2984">
        <v>437.22</v>
      </c>
      <c r="J33" s="2984">
        <v>49137</v>
      </c>
    </row>
    <row r="34" spans="1:10">
      <c r="A34" s="2980" t="s">
        <v>3341</v>
      </c>
      <c r="B34" s="2980" t="s">
        <v>3222</v>
      </c>
      <c r="C34" s="2980" t="s">
        <v>1326</v>
      </c>
      <c r="D34" s="2980" t="s">
        <v>3343</v>
      </c>
      <c r="E34" s="2980" t="s">
        <v>3224</v>
      </c>
      <c r="F34" s="2980" t="s">
        <v>3166</v>
      </c>
      <c r="G34" s="2980" t="s">
        <v>3182</v>
      </c>
      <c r="H34" s="2984">
        <v>89</v>
      </c>
      <c r="I34" s="2984">
        <v>435.41</v>
      </c>
      <c r="J34" s="2984">
        <v>49060</v>
      </c>
    </row>
    <row r="35" spans="1:10">
      <c r="A35" s="2980" t="s">
        <v>3346</v>
      </c>
      <c r="B35" s="2980" t="s">
        <v>3222</v>
      </c>
      <c r="C35" s="2980" t="s">
        <v>1326</v>
      </c>
      <c r="D35" s="2980" t="s">
        <v>3327</v>
      </c>
      <c r="E35" s="2980" t="s">
        <v>3224</v>
      </c>
      <c r="F35" s="2980" t="s">
        <v>3166</v>
      </c>
      <c r="G35" s="2980" t="s">
        <v>3182</v>
      </c>
      <c r="H35" s="2984">
        <v>89</v>
      </c>
      <c r="I35" s="2984">
        <v>436.26</v>
      </c>
      <c r="J35" s="2984">
        <v>49156</v>
      </c>
    </row>
    <row r="36" spans="1:10">
      <c r="A36" s="2980" t="s">
        <v>3346</v>
      </c>
      <c r="B36" s="2980" t="s">
        <v>3222</v>
      </c>
      <c r="C36" s="2980" t="s">
        <v>1326</v>
      </c>
      <c r="D36" s="2980" t="s">
        <v>3347</v>
      </c>
      <c r="E36" s="2980" t="s">
        <v>3224</v>
      </c>
      <c r="F36" s="2980" t="s">
        <v>3166</v>
      </c>
      <c r="G36" s="2980" t="s">
        <v>3182</v>
      </c>
      <c r="H36" s="2984">
        <v>89</v>
      </c>
      <c r="I36" s="2984">
        <v>441.34</v>
      </c>
      <c r="J36" s="2984">
        <v>49406</v>
      </c>
    </row>
    <row r="37" spans="1:10">
      <c r="A37" s="2980" t="s">
        <v>3350</v>
      </c>
      <c r="B37" s="2980" t="s">
        <v>3230</v>
      </c>
      <c r="C37" s="2980" t="s">
        <v>1326</v>
      </c>
      <c r="D37" s="2980" t="s">
        <v>3351</v>
      </c>
      <c r="E37" s="2980" t="s">
        <v>3224</v>
      </c>
      <c r="F37" s="2980" t="s">
        <v>3166</v>
      </c>
      <c r="G37" s="2980" t="s">
        <v>3182</v>
      </c>
      <c r="H37" s="2984">
        <v>89</v>
      </c>
      <c r="I37" s="2984">
        <v>436.61</v>
      </c>
      <c r="J37" s="2984">
        <v>49156</v>
      </c>
    </row>
    <row r="38" spans="1:10">
      <c r="A38" s="2980" t="s">
        <v>3350</v>
      </c>
      <c r="B38" s="2980" t="s">
        <v>3171</v>
      </c>
      <c r="C38" s="2980" t="s">
        <v>1326</v>
      </c>
      <c r="D38" s="2980" t="s">
        <v>3354</v>
      </c>
      <c r="E38" s="2980" t="s">
        <v>3224</v>
      </c>
      <c r="F38" s="2980" t="s">
        <v>3166</v>
      </c>
      <c r="G38" s="2980" t="s">
        <v>3182</v>
      </c>
      <c r="H38" s="2984">
        <v>89</v>
      </c>
      <c r="I38" s="2984">
        <v>465.03</v>
      </c>
      <c r="J38" s="2984">
        <v>52357</v>
      </c>
    </row>
    <row r="39" spans="1:10">
      <c r="A39" s="2980" t="s">
        <v>3358</v>
      </c>
      <c r="B39" s="2980" t="s">
        <v>3230</v>
      </c>
      <c r="C39" s="2980" t="s">
        <v>1326</v>
      </c>
      <c r="D39" s="2980" t="s">
        <v>1326</v>
      </c>
      <c r="E39" s="2980" t="s">
        <v>3224</v>
      </c>
      <c r="F39" s="2980" t="s">
        <v>3166</v>
      </c>
      <c r="G39" s="2980" t="s">
        <v>3182</v>
      </c>
      <c r="H39" s="2984">
        <v>89</v>
      </c>
      <c r="I39" s="2984">
        <v>437.99</v>
      </c>
      <c r="J39" s="2984">
        <v>49118</v>
      </c>
    </row>
    <row r="40" spans="1:10">
      <c r="A40" s="2980" t="s">
        <v>3364</v>
      </c>
      <c r="B40" s="2980" t="s">
        <v>3171</v>
      </c>
      <c r="C40" s="2980" t="s">
        <v>1326</v>
      </c>
      <c r="D40" s="2980" t="s">
        <v>1326</v>
      </c>
      <c r="E40" s="2980" t="s">
        <v>3224</v>
      </c>
      <c r="F40" s="2980" t="s">
        <v>3166</v>
      </c>
      <c r="G40" s="2980" t="s">
        <v>3167</v>
      </c>
      <c r="H40" s="2984">
        <v>84</v>
      </c>
      <c r="I40" s="2984">
        <v>441.44</v>
      </c>
      <c r="J40" s="2984">
        <v>52359</v>
      </c>
    </row>
    <row r="41" spans="1:10">
      <c r="A41" s="2980" t="s">
        <v>3371</v>
      </c>
      <c r="B41" s="2980" t="s">
        <v>3243</v>
      </c>
      <c r="C41" s="2980" t="s">
        <v>1326</v>
      </c>
      <c r="D41" s="2980" t="s">
        <v>1326</v>
      </c>
      <c r="E41" s="2980" t="s">
        <v>3224</v>
      </c>
      <c r="F41" s="2980" t="s">
        <v>3166</v>
      </c>
      <c r="G41" s="2980" t="s">
        <v>3182</v>
      </c>
      <c r="H41" s="2984">
        <v>89</v>
      </c>
      <c r="I41" s="2984">
        <v>437.79</v>
      </c>
      <c r="J41" s="2984">
        <v>49080</v>
      </c>
    </row>
    <row r="42" spans="1:10">
      <c r="A42" s="2980" t="s">
        <v>3374</v>
      </c>
      <c r="B42" s="2980" t="s">
        <v>3171</v>
      </c>
      <c r="C42" s="2980" t="s">
        <v>1326</v>
      </c>
      <c r="D42" s="2980" t="s">
        <v>1326</v>
      </c>
      <c r="E42" s="2980" t="s">
        <v>3224</v>
      </c>
      <c r="F42" s="2980" t="s">
        <v>3166</v>
      </c>
      <c r="G42" s="2980" t="s">
        <v>3182</v>
      </c>
      <c r="H42" s="2984">
        <v>89</v>
      </c>
      <c r="I42" s="2984">
        <v>464.5</v>
      </c>
      <c r="J42" s="2984">
        <v>52297</v>
      </c>
    </row>
    <row r="43" spans="1:10">
      <c r="A43" s="2980" t="s">
        <v>3374</v>
      </c>
      <c r="B43" s="2980" t="s">
        <v>3222</v>
      </c>
      <c r="C43" s="2980" t="s">
        <v>1326</v>
      </c>
      <c r="D43" s="2980" t="s">
        <v>1326</v>
      </c>
      <c r="E43" s="2980" t="s">
        <v>3224</v>
      </c>
      <c r="F43" s="2980" t="s">
        <v>3166</v>
      </c>
      <c r="G43" s="2980" t="s">
        <v>3182</v>
      </c>
      <c r="H43" s="2984">
        <v>89</v>
      </c>
      <c r="I43" s="2984">
        <v>437.57</v>
      </c>
      <c r="J43" s="2984">
        <v>49176</v>
      </c>
    </row>
    <row r="44" spans="1:10">
      <c r="A44" s="2980" t="s">
        <v>3374</v>
      </c>
      <c r="B44" s="2980" t="s">
        <v>3222</v>
      </c>
      <c r="C44" s="2980" t="s">
        <v>1326</v>
      </c>
      <c r="D44" s="2980" t="s">
        <v>1326</v>
      </c>
      <c r="E44" s="2980" t="s">
        <v>3224</v>
      </c>
      <c r="F44" s="2980" t="s">
        <v>3166</v>
      </c>
      <c r="G44" s="2980" t="s">
        <v>3182</v>
      </c>
      <c r="H44" s="2984">
        <v>89</v>
      </c>
      <c r="I44" s="2984">
        <v>441.86</v>
      </c>
      <c r="J44" s="2984">
        <v>49464</v>
      </c>
    </row>
    <row r="45" spans="1:10">
      <c r="A45" s="2980" t="s">
        <v>3382</v>
      </c>
      <c r="B45" s="2980" t="s">
        <v>3222</v>
      </c>
      <c r="C45" s="2980" t="s">
        <v>1326</v>
      </c>
      <c r="D45" s="2980" t="s">
        <v>1326</v>
      </c>
      <c r="E45" s="2980" t="s">
        <v>3224</v>
      </c>
      <c r="F45" s="2980" t="s">
        <v>3166</v>
      </c>
      <c r="G45" s="2980" t="s">
        <v>3182</v>
      </c>
      <c r="H45" s="2984">
        <v>89</v>
      </c>
      <c r="I45" s="2984">
        <v>442.21</v>
      </c>
      <c r="J45" s="2984">
        <v>49771</v>
      </c>
    </row>
    <row r="46" spans="1:10">
      <c r="A46" s="2980" t="s">
        <v>3382</v>
      </c>
      <c r="B46" s="2980" t="s">
        <v>3222</v>
      </c>
      <c r="C46" s="2980" t="s">
        <v>1326</v>
      </c>
      <c r="D46" s="2980" t="s">
        <v>1326</v>
      </c>
      <c r="E46" s="2980" t="s">
        <v>3224</v>
      </c>
      <c r="F46" s="2980" t="s">
        <v>3166</v>
      </c>
      <c r="G46" s="2980" t="s">
        <v>3182</v>
      </c>
      <c r="H46" s="2984">
        <v>89</v>
      </c>
      <c r="I46" s="2984">
        <v>436.09</v>
      </c>
      <c r="J46" s="2984">
        <v>49137</v>
      </c>
    </row>
    <row r="47" spans="1:10">
      <c r="A47" s="2980" t="s">
        <v>3382</v>
      </c>
      <c r="B47" s="2980" t="s">
        <v>3222</v>
      </c>
      <c r="C47" s="2980" t="s">
        <v>1326</v>
      </c>
      <c r="D47" s="2980" t="s">
        <v>1326</v>
      </c>
      <c r="E47" s="2980" t="s">
        <v>3224</v>
      </c>
      <c r="F47" s="2980" t="s">
        <v>3166</v>
      </c>
      <c r="G47" s="2980" t="s">
        <v>3182</v>
      </c>
      <c r="H47" s="2984">
        <v>89</v>
      </c>
      <c r="I47" s="2984">
        <v>437.39</v>
      </c>
      <c r="J47" s="2984">
        <v>49156</v>
      </c>
    </row>
    <row r="48" spans="1:10">
      <c r="A48" s="2980" t="s">
        <v>3382</v>
      </c>
      <c r="B48" s="2980" t="s">
        <v>3222</v>
      </c>
      <c r="C48" s="2980" t="s">
        <v>1326</v>
      </c>
      <c r="D48" s="2980" t="s">
        <v>1326</v>
      </c>
      <c r="E48" s="2980" t="s">
        <v>3224</v>
      </c>
      <c r="F48" s="2980" t="s">
        <v>3166</v>
      </c>
      <c r="G48" s="2980" t="s">
        <v>3182</v>
      </c>
      <c r="H48" s="2984">
        <v>89</v>
      </c>
      <c r="I48" s="2984">
        <v>445.92</v>
      </c>
      <c r="J48" s="2984">
        <v>49828</v>
      </c>
    </row>
    <row r="50" spans="1:10">
      <c r="A50" s="2980" t="s">
        <v>3388</v>
      </c>
      <c r="B50" s="2980" t="s">
        <v>3222</v>
      </c>
      <c r="C50" s="2980" t="s">
        <v>1326</v>
      </c>
      <c r="D50" s="2980" t="s">
        <v>1326</v>
      </c>
      <c r="E50" s="2980" t="s">
        <v>3224</v>
      </c>
      <c r="F50" s="2980" t="s">
        <v>3166</v>
      </c>
      <c r="G50" s="2980" t="s">
        <v>3182</v>
      </c>
      <c r="H50" s="2984">
        <v>89</v>
      </c>
      <c r="I50" s="2984">
        <v>436.26</v>
      </c>
      <c r="J50" s="2984">
        <v>49156</v>
      </c>
    </row>
    <row r="51" spans="1:10">
      <c r="A51" s="2980" t="s">
        <v>3389</v>
      </c>
      <c r="B51" s="2980" t="s">
        <v>3222</v>
      </c>
      <c r="C51" s="2980" t="s">
        <v>1326</v>
      </c>
      <c r="D51" s="2980" t="s">
        <v>1326</v>
      </c>
      <c r="E51" s="2980" t="s">
        <v>3224</v>
      </c>
      <c r="F51" s="2980" t="s">
        <v>3166</v>
      </c>
      <c r="G51" s="2980" t="s">
        <v>3182</v>
      </c>
      <c r="H51" s="2984">
        <v>89</v>
      </c>
      <c r="I51" s="2984">
        <v>437.91</v>
      </c>
      <c r="J51" s="2984">
        <v>49214</v>
      </c>
    </row>
    <row r="52" spans="1:10">
      <c r="A52" s="2980" t="s">
        <v>3392</v>
      </c>
      <c r="B52" s="2980" t="s">
        <v>3238</v>
      </c>
      <c r="C52" s="2980" t="s">
        <v>1326</v>
      </c>
      <c r="D52" s="2980" t="s">
        <v>1326</v>
      </c>
      <c r="E52" s="2980" t="s">
        <v>3224</v>
      </c>
      <c r="F52" s="2980" t="s">
        <v>3166</v>
      </c>
      <c r="G52" s="2980" t="s">
        <v>3182</v>
      </c>
      <c r="H52" s="2984">
        <v>89</v>
      </c>
      <c r="I52" s="2984">
        <v>458.91</v>
      </c>
      <c r="J52" s="2984">
        <v>51580</v>
      </c>
    </row>
    <row r="54" spans="1:10">
      <c r="A54" s="2980" t="s">
        <v>3396</v>
      </c>
      <c r="B54" s="2980" t="s">
        <v>3171</v>
      </c>
      <c r="C54" s="2980" t="s">
        <v>1326</v>
      </c>
      <c r="D54" s="2980" t="s">
        <v>1326</v>
      </c>
      <c r="E54" s="2980" t="s">
        <v>3224</v>
      </c>
      <c r="F54" s="2980" t="s">
        <v>3166</v>
      </c>
      <c r="G54" s="2980" t="s">
        <v>3167</v>
      </c>
      <c r="H54" s="2984">
        <v>84</v>
      </c>
      <c r="I54" s="2984">
        <v>441.77</v>
      </c>
      <c r="J54" s="2984">
        <v>52399</v>
      </c>
    </row>
    <row r="55" spans="1:10">
      <c r="A55" s="2980" t="s">
        <v>3396</v>
      </c>
      <c r="B55" s="2980" t="s">
        <v>3222</v>
      </c>
      <c r="C55" s="2980" t="s">
        <v>1326</v>
      </c>
      <c r="D55" s="2980" t="s">
        <v>1326</v>
      </c>
      <c r="E55" s="2980" t="s">
        <v>3224</v>
      </c>
      <c r="F55" s="2980" t="s">
        <v>3166</v>
      </c>
      <c r="G55" s="2980" t="s">
        <v>3182</v>
      </c>
      <c r="H55" s="2984">
        <v>89</v>
      </c>
      <c r="I55" s="2984">
        <v>437.05</v>
      </c>
      <c r="J55" s="2984">
        <v>49118</v>
      </c>
    </row>
    <row r="56" spans="1:10">
      <c r="A56" s="2980" t="s">
        <v>3401</v>
      </c>
      <c r="B56" s="2980" t="s">
        <v>3260</v>
      </c>
      <c r="C56" s="2980" t="s">
        <v>1326</v>
      </c>
      <c r="D56" s="2980" t="s">
        <v>1326</v>
      </c>
      <c r="E56" s="2980" t="s">
        <v>3224</v>
      </c>
      <c r="F56" s="2980" t="s">
        <v>3166</v>
      </c>
      <c r="G56" s="2980" t="s">
        <v>3182</v>
      </c>
      <c r="H56" s="2984">
        <v>90</v>
      </c>
      <c r="I56" s="2984">
        <v>464.91</v>
      </c>
      <c r="J56" s="2984">
        <v>51668</v>
      </c>
    </row>
    <row r="57" spans="1:10">
      <c r="A57" s="2980" t="s">
        <v>3406</v>
      </c>
      <c r="B57" s="2980" t="s">
        <v>3171</v>
      </c>
      <c r="C57" s="2980" t="s">
        <v>1326</v>
      </c>
      <c r="D57" s="2980" t="s">
        <v>1326</v>
      </c>
      <c r="E57" s="2980" t="s">
        <v>3224</v>
      </c>
      <c r="F57" s="2980" t="s">
        <v>3166</v>
      </c>
      <c r="G57" s="2980" t="s">
        <v>3182</v>
      </c>
      <c r="H57" s="2984">
        <v>89</v>
      </c>
      <c r="I57" s="2984">
        <v>465.84</v>
      </c>
      <c r="J57" s="2984">
        <v>52318</v>
      </c>
    </row>
    <row r="58" spans="1:10">
      <c r="A58" s="2980" t="s">
        <v>3406</v>
      </c>
      <c r="B58" s="2980" t="s">
        <v>3243</v>
      </c>
      <c r="C58" s="2980" t="s">
        <v>1326</v>
      </c>
      <c r="D58" s="2980" t="s">
        <v>1326</v>
      </c>
      <c r="E58" s="2980" t="s">
        <v>3224</v>
      </c>
      <c r="F58" s="2980" t="s">
        <v>3166</v>
      </c>
      <c r="G58" s="2980" t="s">
        <v>3167</v>
      </c>
      <c r="H58" s="2984">
        <v>85</v>
      </c>
      <c r="I58" s="2984">
        <v>434.11</v>
      </c>
      <c r="J58" s="2984">
        <v>51270</v>
      </c>
    </row>
    <row r="59" spans="1:10">
      <c r="A59" s="2980" t="s">
        <v>3412</v>
      </c>
      <c r="B59" s="2980" t="s">
        <v>3222</v>
      </c>
      <c r="C59" s="2980" t="s">
        <v>1326</v>
      </c>
      <c r="D59" s="2980" t="s">
        <v>1326</v>
      </c>
      <c r="E59" s="2980" t="s">
        <v>3224</v>
      </c>
      <c r="F59" s="2980" t="s">
        <v>3166</v>
      </c>
      <c r="G59" s="2980" t="s">
        <v>3182</v>
      </c>
      <c r="H59" s="2984">
        <v>89</v>
      </c>
      <c r="I59" s="2984">
        <v>447.12</v>
      </c>
      <c r="J59" s="2984">
        <v>49963</v>
      </c>
    </row>
    <row r="60" spans="1:10">
      <c r="A60" s="2980" t="s">
        <v>3415</v>
      </c>
      <c r="B60" s="2980" t="s">
        <v>3222</v>
      </c>
      <c r="C60" s="2980" t="s">
        <v>1326</v>
      </c>
      <c r="D60" s="2980" t="s">
        <v>1326</v>
      </c>
      <c r="E60" s="2980" t="s">
        <v>3224</v>
      </c>
      <c r="F60" s="2980" t="s">
        <v>3166</v>
      </c>
      <c r="G60" s="2980" t="s">
        <v>3182</v>
      </c>
      <c r="H60" s="2984">
        <v>89</v>
      </c>
      <c r="I60" s="2984">
        <v>435.75</v>
      </c>
      <c r="J60" s="2984">
        <v>49099</v>
      </c>
    </row>
    <row r="65" spans="1:10">
      <c r="A65" s="2980" t="s">
        <v>3429</v>
      </c>
      <c r="B65" s="2980" t="s">
        <v>3222</v>
      </c>
      <c r="C65" s="2980" t="s">
        <v>1326</v>
      </c>
      <c r="D65" s="2980" t="s">
        <v>1326</v>
      </c>
      <c r="E65" s="2980" t="s">
        <v>3224</v>
      </c>
      <c r="F65" s="2980" t="s">
        <v>3166</v>
      </c>
      <c r="G65" s="2980" t="s">
        <v>3182</v>
      </c>
      <c r="H65" s="2984">
        <v>89</v>
      </c>
      <c r="I65" s="2984">
        <v>436.77</v>
      </c>
      <c r="J65" s="2984">
        <v>49214</v>
      </c>
    </row>
    <row r="66" spans="1:10">
      <c r="A66" s="2980" t="s">
        <v>3431</v>
      </c>
      <c r="B66" s="2980" t="s">
        <v>3171</v>
      </c>
      <c r="C66" s="2980" t="s">
        <v>1326</v>
      </c>
      <c r="D66" s="2980" t="s">
        <v>1326</v>
      </c>
      <c r="E66" s="2980" t="s">
        <v>3224</v>
      </c>
      <c r="F66" s="2980" t="s">
        <v>3166</v>
      </c>
      <c r="G66" s="2980" t="s">
        <v>3182</v>
      </c>
      <c r="H66" s="2984">
        <v>89</v>
      </c>
      <c r="I66" s="2984">
        <v>464.32</v>
      </c>
      <c r="J66" s="2984">
        <v>52277</v>
      </c>
    </row>
    <row r="67" spans="1:10">
      <c r="A67" s="2980" t="s">
        <v>3437</v>
      </c>
      <c r="B67" s="2980" t="s">
        <v>3243</v>
      </c>
      <c r="C67" s="2980" t="s">
        <v>1326</v>
      </c>
      <c r="D67" s="2980" t="s">
        <v>1326</v>
      </c>
      <c r="E67" s="2980" t="s">
        <v>3224</v>
      </c>
      <c r="F67" s="2980" t="s">
        <v>3166</v>
      </c>
      <c r="G67" s="2980" t="s">
        <v>3182</v>
      </c>
      <c r="H67" s="2984">
        <v>90</v>
      </c>
      <c r="I67" s="2984">
        <v>440.47</v>
      </c>
      <c r="J67" s="2984">
        <v>49176</v>
      </c>
    </row>
    <row r="68" spans="1:10">
      <c r="A68" s="2980" t="s">
        <v>3444</v>
      </c>
      <c r="B68" s="2980" t="s">
        <v>3171</v>
      </c>
      <c r="C68" s="2980" t="s">
        <v>1326</v>
      </c>
      <c r="D68" s="2980" t="s">
        <v>1326</v>
      </c>
      <c r="E68" s="2980" t="s">
        <v>3224</v>
      </c>
      <c r="F68" s="2980" t="s">
        <v>3166</v>
      </c>
      <c r="G68" s="2980" t="s">
        <v>3182</v>
      </c>
      <c r="H68" s="2984">
        <v>89</v>
      </c>
      <c r="I68" s="2984">
        <v>465.39</v>
      </c>
      <c r="J68" s="2984">
        <v>52397</v>
      </c>
    </row>
    <row r="69" spans="1:10">
      <c r="A69" s="2980" t="s">
        <v>3449</v>
      </c>
      <c r="B69" s="2980" t="s">
        <v>3238</v>
      </c>
      <c r="C69" s="2980" t="s">
        <v>1326</v>
      </c>
      <c r="D69" s="2980" t="s">
        <v>1326</v>
      </c>
      <c r="E69" s="2980" t="s">
        <v>3224</v>
      </c>
      <c r="F69" s="2980" t="s">
        <v>3166</v>
      </c>
      <c r="G69" s="2980" t="s">
        <v>3182</v>
      </c>
      <c r="H69" s="2984">
        <v>89</v>
      </c>
      <c r="I69" s="2984">
        <v>458.91</v>
      </c>
      <c r="J69" s="2984">
        <v>51580</v>
      </c>
    </row>
    <row r="70" spans="1:10">
      <c r="A70" s="2980" t="s">
        <v>3449</v>
      </c>
      <c r="B70" s="2980" t="s">
        <v>3171</v>
      </c>
      <c r="C70" s="2980" t="s">
        <v>1326</v>
      </c>
      <c r="D70" s="2980" t="s">
        <v>1326</v>
      </c>
      <c r="E70" s="2980" t="s">
        <v>3224</v>
      </c>
      <c r="F70" s="2980" t="s">
        <v>3166</v>
      </c>
      <c r="G70" s="2980" t="s">
        <v>3182</v>
      </c>
      <c r="H70" s="2984">
        <v>89</v>
      </c>
      <c r="I70" s="2984">
        <v>464.5</v>
      </c>
      <c r="J70" s="2984">
        <v>52297</v>
      </c>
    </row>
    <row r="71" spans="1:10">
      <c r="A71" s="2980" t="s">
        <v>3450</v>
      </c>
      <c r="B71" s="2980" t="s">
        <v>3222</v>
      </c>
      <c r="C71" s="2980" t="s">
        <v>1326</v>
      </c>
      <c r="D71" s="2980" t="s">
        <v>1326</v>
      </c>
      <c r="E71" s="2980" t="s">
        <v>3224</v>
      </c>
      <c r="F71" s="2980" t="s">
        <v>3166</v>
      </c>
      <c r="G71" s="2980" t="s">
        <v>3182</v>
      </c>
      <c r="H71" s="2984">
        <v>89</v>
      </c>
      <c r="I71" s="2984">
        <v>441.69</v>
      </c>
      <c r="J71" s="2984">
        <v>49444</v>
      </c>
    </row>
    <row r="72" spans="1:10">
      <c r="A72" s="2980" t="s">
        <v>3453</v>
      </c>
      <c r="B72" s="2980" t="s">
        <v>3171</v>
      </c>
      <c r="C72" s="2980" t="s">
        <v>1326</v>
      </c>
      <c r="D72" s="2980" t="s">
        <v>1326</v>
      </c>
      <c r="E72" s="2980" t="s">
        <v>3224</v>
      </c>
      <c r="F72" s="2980" t="s">
        <v>3166</v>
      </c>
      <c r="G72" s="2980" t="s">
        <v>3182</v>
      </c>
      <c r="H72" s="2984">
        <v>89</v>
      </c>
      <c r="I72" s="2984">
        <v>464.5</v>
      </c>
      <c r="J72" s="2984">
        <v>52297</v>
      </c>
    </row>
    <row r="73" spans="1:10">
      <c r="A73" s="2980" t="s">
        <v>3454</v>
      </c>
      <c r="B73" s="2980" t="s">
        <v>3171</v>
      </c>
      <c r="C73" s="2980" t="s">
        <v>1326</v>
      </c>
      <c r="D73" s="2980" t="s">
        <v>1326</v>
      </c>
      <c r="E73" s="2980" t="s">
        <v>3224</v>
      </c>
      <c r="F73" s="2980" t="s">
        <v>3166</v>
      </c>
      <c r="G73" s="2980" t="s">
        <v>3182</v>
      </c>
      <c r="H73" s="2984">
        <v>89</v>
      </c>
      <c r="I73" s="2984">
        <v>464.86</v>
      </c>
      <c r="J73" s="2984">
        <v>52337</v>
      </c>
    </row>
    <row r="76" spans="1:10">
      <c r="A76" s="2980" t="s">
        <v>3459</v>
      </c>
      <c r="B76" s="2980" t="s">
        <v>3222</v>
      </c>
      <c r="C76" s="2980" t="s">
        <v>1326</v>
      </c>
      <c r="D76" s="2980" t="s">
        <v>1326</v>
      </c>
      <c r="E76" s="2980" t="s">
        <v>3224</v>
      </c>
      <c r="F76" s="2980" t="s">
        <v>3166</v>
      </c>
      <c r="G76" s="2980" t="s">
        <v>3182</v>
      </c>
      <c r="H76" s="2984">
        <v>89</v>
      </c>
      <c r="I76" s="2984">
        <v>436.43</v>
      </c>
      <c r="J76" s="2984">
        <v>49176</v>
      </c>
    </row>
    <row r="77" spans="1:10">
      <c r="A77" s="2980" t="s">
        <v>3459</v>
      </c>
      <c r="B77" s="2980" t="s">
        <v>3243</v>
      </c>
      <c r="C77" s="2980" t="s">
        <v>1326</v>
      </c>
      <c r="D77" s="2980" t="s">
        <v>1326</v>
      </c>
      <c r="E77" s="2980" t="s">
        <v>3224</v>
      </c>
      <c r="F77" s="2980" t="s">
        <v>3166</v>
      </c>
      <c r="G77" s="2980" t="s">
        <v>3167</v>
      </c>
      <c r="H77" s="2984">
        <v>83</v>
      </c>
      <c r="I77" s="2984">
        <v>374</v>
      </c>
      <c r="J77" s="2984">
        <v>44974</v>
      </c>
    </row>
    <row r="78" spans="1:10">
      <c r="A78" s="2980" t="s">
        <v>3462</v>
      </c>
      <c r="B78" s="2980" t="s">
        <v>3222</v>
      </c>
      <c r="C78" s="2980" t="s">
        <v>1326</v>
      </c>
      <c r="D78" s="2980" t="s">
        <v>1326</v>
      </c>
      <c r="E78" s="2980" t="s">
        <v>3224</v>
      </c>
      <c r="F78" s="2980" t="s">
        <v>3166</v>
      </c>
      <c r="G78" s="2980" t="s">
        <v>3182</v>
      </c>
      <c r="H78" s="2984">
        <v>89</v>
      </c>
      <c r="I78" s="2984">
        <v>436.6</v>
      </c>
      <c r="J78" s="2984">
        <v>49195</v>
      </c>
    </row>
    <row r="79" spans="1:10">
      <c r="A79" s="2980" t="s">
        <v>3463</v>
      </c>
      <c r="B79" s="2980" t="s">
        <v>3222</v>
      </c>
      <c r="C79" s="2980" t="s">
        <v>1326</v>
      </c>
      <c r="D79" s="2980" t="s">
        <v>1326</v>
      </c>
      <c r="E79" s="2980" t="s">
        <v>3224</v>
      </c>
      <c r="F79" s="2980" t="s">
        <v>3166</v>
      </c>
      <c r="G79" s="2980" t="s">
        <v>3182</v>
      </c>
      <c r="H79" s="2984">
        <v>89</v>
      </c>
      <c r="I79" s="2984">
        <v>437.46</v>
      </c>
      <c r="J79" s="2984">
        <v>49291</v>
      </c>
    </row>
    <row r="80" spans="1:10">
      <c r="A80" s="2980" t="s">
        <v>3463</v>
      </c>
      <c r="B80" s="2980" t="s">
        <v>3222</v>
      </c>
      <c r="C80" s="2980" t="s">
        <v>1326</v>
      </c>
      <c r="D80" s="2980" t="s">
        <v>1326</v>
      </c>
      <c r="E80" s="2980" t="s">
        <v>3224</v>
      </c>
      <c r="F80" s="2980" t="s">
        <v>3166</v>
      </c>
      <c r="G80" s="2980" t="s">
        <v>3182</v>
      </c>
      <c r="H80" s="2984">
        <v>89</v>
      </c>
      <c r="I80" s="2984">
        <v>447.29</v>
      </c>
      <c r="J80" s="2984">
        <v>49982</v>
      </c>
    </row>
    <row r="81" spans="1:10">
      <c r="A81" s="2980" t="s">
        <v>3471</v>
      </c>
      <c r="B81" s="2980" t="s">
        <v>3171</v>
      </c>
      <c r="C81" s="2980" t="s">
        <v>1326</v>
      </c>
      <c r="D81" s="2980" t="s">
        <v>1326</v>
      </c>
      <c r="E81" s="2980" t="s">
        <v>3224</v>
      </c>
      <c r="F81" s="2980" t="s">
        <v>3166</v>
      </c>
      <c r="G81" s="2980" t="s">
        <v>3182</v>
      </c>
      <c r="H81" s="2984">
        <v>89</v>
      </c>
      <c r="I81" s="2984">
        <v>464.86</v>
      </c>
      <c r="J81" s="2984">
        <v>52337</v>
      </c>
    </row>
    <row r="82" spans="1:10">
      <c r="A82" s="2980" t="s">
        <v>3472</v>
      </c>
      <c r="B82" s="2980" t="s">
        <v>3171</v>
      </c>
      <c r="C82" s="2980" t="s">
        <v>1326</v>
      </c>
      <c r="D82" s="2980" t="s">
        <v>1326</v>
      </c>
      <c r="E82" s="2980" t="s">
        <v>3224</v>
      </c>
      <c r="F82" s="2980" t="s">
        <v>3166</v>
      </c>
      <c r="G82" s="2980" t="s">
        <v>3182</v>
      </c>
      <c r="H82" s="2984">
        <v>90</v>
      </c>
      <c r="I82" s="2984">
        <v>469.34</v>
      </c>
      <c r="J82" s="2984">
        <v>52300</v>
      </c>
    </row>
    <row r="83" spans="1:10">
      <c r="A83" s="2980" t="s">
        <v>3477</v>
      </c>
      <c r="B83" s="2980" t="s">
        <v>3222</v>
      </c>
      <c r="C83" s="2980" t="s">
        <v>1326</v>
      </c>
      <c r="D83" s="2980" t="s">
        <v>3478</v>
      </c>
      <c r="E83" s="2980" t="s">
        <v>3224</v>
      </c>
      <c r="F83" s="2980" t="s">
        <v>3166</v>
      </c>
      <c r="G83" s="2980" t="s">
        <v>3182</v>
      </c>
      <c r="H83" s="2984">
        <v>89</v>
      </c>
      <c r="I83" s="2984">
        <v>441.52</v>
      </c>
      <c r="J83" s="2984">
        <v>49425</v>
      </c>
    </row>
    <row r="84" spans="1:10">
      <c r="A84" s="2980" t="s">
        <v>3477</v>
      </c>
      <c r="B84" s="2980" t="s">
        <v>3171</v>
      </c>
      <c r="C84" s="2980" t="s">
        <v>1326</v>
      </c>
      <c r="D84" s="2980" t="s">
        <v>3481</v>
      </c>
      <c r="E84" s="2980" t="s">
        <v>3224</v>
      </c>
      <c r="F84" s="2980" t="s">
        <v>3166</v>
      </c>
      <c r="G84" s="2980" t="s">
        <v>3182</v>
      </c>
      <c r="H84" s="2984">
        <v>90</v>
      </c>
      <c r="I84" s="2984">
        <v>469.34</v>
      </c>
      <c r="J84" s="2984">
        <v>52300</v>
      </c>
    </row>
    <row r="85" spans="1:10">
      <c r="A85" s="2980" t="s">
        <v>3477</v>
      </c>
      <c r="B85" s="2980" t="s">
        <v>3222</v>
      </c>
      <c r="C85" s="2980" t="s">
        <v>1326</v>
      </c>
      <c r="D85" s="2980" t="s">
        <v>3231</v>
      </c>
      <c r="E85" s="2980" t="s">
        <v>3224</v>
      </c>
      <c r="F85" s="2980" t="s">
        <v>3166</v>
      </c>
      <c r="G85" s="2980" t="s">
        <v>3182</v>
      </c>
      <c r="H85" s="2984">
        <v>89</v>
      </c>
      <c r="I85" s="2984">
        <v>446.09</v>
      </c>
      <c r="J85" s="2984">
        <v>49848</v>
      </c>
    </row>
    <row r="86" spans="1:10">
      <c r="A86" s="2980" t="s">
        <v>3485</v>
      </c>
      <c r="B86" s="2980" t="s">
        <v>3230</v>
      </c>
      <c r="C86" s="2980" t="s">
        <v>1326</v>
      </c>
      <c r="D86" s="2980" t="s">
        <v>3273</v>
      </c>
      <c r="E86" s="2980" t="s">
        <v>3224</v>
      </c>
      <c r="F86" s="2980" t="s">
        <v>3166</v>
      </c>
      <c r="G86" s="2980" t="s">
        <v>3182</v>
      </c>
      <c r="H86" s="2984">
        <v>89</v>
      </c>
      <c r="I86" s="2984">
        <v>437.8</v>
      </c>
      <c r="J86" s="2984">
        <v>49291</v>
      </c>
    </row>
    <row r="87" spans="1:10">
      <c r="A87" s="2980" t="s">
        <v>3485</v>
      </c>
      <c r="B87" s="2980" t="s">
        <v>3238</v>
      </c>
      <c r="C87" s="2980" t="s">
        <v>1326</v>
      </c>
      <c r="D87" s="2980" t="s">
        <v>3181</v>
      </c>
      <c r="E87" s="2980" t="s">
        <v>3224</v>
      </c>
      <c r="F87" s="2980" t="s">
        <v>3166</v>
      </c>
      <c r="G87" s="2980" t="s">
        <v>3182</v>
      </c>
      <c r="H87" s="2984">
        <v>89</v>
      </c>
      <c r="I87" s="2984">
        <v>458.55</v>
      </c>
      <c r="J87" s="2984">
        <v>51540</v>
      </c>
    </row>
    <row r="91" spans="1:10">
      <c r="A91" s="2980" t="s">
        <v>3499</v>
      </c>
      <c r="B91" s="2980" t="s">
        <v>3260</v>
      </c>
      <c r="C91" s="2980" t="s">
        <v>1326</v>
      </c>
      <c r="D91" s="2980" t="s">
        <v>3343</v>
      </c>
      <c r="E91" s="2980" t="s">
        <v>3224</v>
      </c>
      <c r="F91" s="2980" t="s">
        <v>3166</v>
      </c>
      <c r="G91" s="2980" t="s">
        <v>3182</v>
      </c>
      <c r="H91" s="2984">
        <v>90</v>
      </c>
      <c r="I91" s="2984">
        <v>465.09</v>
      </c>
      <c r="J91" s="2984">
        <v>51688</v>
      </c>
    </row>
    <row r="92" spans="1:10">
      <c r="A92" s="2980" t="s">
        <v>3504</v>
      </c>
      <c r="B92" s="2980" t="s">
        <v>3222</v>
      </c>
      <c r="C92" s="2980" t="s">
        <v>1326</v>
      </c>
      <c r="D92" s="2980" t="s">
        <v>3508</v>
      </c>
      <c r="E92" s="2980" t="s">
        <v>3224</v>
      </c>
      <c r="F92" s="2980" t="s">
        <v>3166</v>
      </c>
      <c r="G92" s="2980" t="s">
        <v>3182</v>
      </c>
      <c r="H92" s="2984">
        <v>89</v>
      </c>
      <c r="I92" s="2984">
        <v>437.57</v>
      </c>
      <c r="J92" s="2984">
        <v>49176</v>
      </c>
    </row>
    <row r="93" spans="1:10">
      <c r="A93" s="2980" t="s">
        <v>3504</v>
      </c>
      <c r="B93" s="2980" t="s">
        <v>3243</v>
      </c>
      <c r="C93" s="2980" t="s">
        <v>1326</v>
      </c>
      <c r="D93" s="2980" t="s">
        <v>3509</v>
      </c>
      <c r="E93" s="2980" t="s">
        <v>3224</v>
      </c>
      <c r="F93" s="2980" t="s">
        <v>3166</v>
      </c>
      <c r="G93" s="2980" t="s">
        <v>3167</v>
      </c>
      <c r="H93" s="2984">
        <v>83</v>
      </c>
      <c r="I93" s="2984">
        <v>374</v>
      </c>
      <c r="J93" s="2984">
        <v>45115</v>
      </c>
    </row>
    <row r="94" spans="1:10">
      <c r="A94" s="2980" t="s">
        <v>3510</v>
      </c>
      <c r="B94" s="2980" t="s">
        <v>3171</v>
      </c>
      <c r="C94" s="2980" t="s">
        <v>1326</v>
      </c>
      <c r="D94" s="2980" t="s">
        <v>3181</v>
      </c>
      <c r="E94" s="2980" t="s">
        <v>3224</v>
      </c>
      <c r="F94" s="2980" t="s">
        <v>3166</v>
      </c>
      <c r="G94" s="2980" t="s">
        <v>3182</v>
      </c>
      <c r="H94" s="2984">
        <v>89</v>
      </c>
      <c r="I94" s="2984">
        <v>464.32</v>
      </c>
      <c r="J94" s="2984">
        <v>52277</v>
      </c>
    </row>
    <row r="95" spans="1:10">
      <c r="A95" s="2980" t="s">
        <v>3511</v>
      </c>
      <c r="B95" s="2980" t="s">
        <v>3222</v>
      </c>
      <c r="C95" s="2980" t="s">
        <v>1326</v>
      </c>
      <c r="D95" s="2980" t="s">
        <v>3512</v>
      </c>
      <c r="E95" s="2980" t="s">
        <v>3224</v>
      </c>
      <c r="F95" s="2980" t="s">
        <v>3166</v>
      </c>
      <c r="G95" s="2980" t="s">
        <v>3182</v>
      </c>
      <c r="H95" s="2984">
        <v>89</v>
      </c>
      <c r="I95" s="2984">
        <v>442.2</v>
      </c>
      <c r="J95" s="2984">
        <v>49502</v>
      </c>
    </row>
    <row r="96" spans="1:10">
      <c r="A96" s="2980" t="s">
        <v>3519</v>
      </c>
      <c r="B96" s="2980" t="s">
        <v>3171</v>
      </c>
      <c r="C96" s="2980" t="s">
        <v>1326</v>
      </c>
      <c r="D96" s="2980" t="s">
        <v>3523</v>
      </c>
      <c r="E96" s="2980" t="s">
        <v>3224</v>
      </c>
      <c r="F96" s="2980" t="s">
        <v>3166</v>
      </c>
      <c r="G96" s="2980" t="s">
        <v>3182</v>
      </c>
      <c r="H96" s="2984">
        <v>90</v>
      </c>
      <c r="I96" s="2984">
        <v>466.17</v>
      </c>
      <c r="J96" s="2984">
        <v>51947</v>
      </c>
    </row>
    <row r="98" spans="1:10">
      <c r="A98" s="2980" t="s">
        <v>3526</v>
      </c>
      <c r="B98" s="2980" t="s">
        <v>3222</v>
      </c>
      <c r="C98" s="2980" t="s">
        <v>1326</v>
      </c>
      <c r="D98" s="2980" t="s">
        <v>3527</v>
      </c>
      <c r="E98" s="2980" t="s">
        <v>3224</v>
      </c>
      <c r="F98" s="2980" t="s">
        <v>3166</v>
      </c>
      <c r="G98" s="2980" t="s">
        <v>3182</v>
      </c>
      <c r="H98" s="2984">
        <v>89</v>
      </c>
      <c r="I98" s="2984">
        <v>436.6</v>
      </c>
      <c r="J98" s="2984">
        <v>49195</v>
      </c>
    </row>
    <row r="99" spans="1:10">
      <c r="A99" s="2980" t="s">
        <v>3535</v>
      </c>
      <c r="B99" s="2980" t="s">
        <v>3171</v>
      </c>
      <c r="C99" s="2980" t="s">
        <v>1326</v>
      </c>
      <c r="D99" s="2980" t="s">
        <v>3536</v>
      </c>
      <c r="E99" s="2980" t="s">
        <v>3224</v>
      </c>
      <c r="F99" s="2980" t="s">
        <v>3166</v>
      </c>
      <c r="G99" s="2980" t="s">
        <v>3182</v>
      </c>
      <c r="H99" s="2984">
        <v>89</v>
      </c>
      <c r="I99" s="2984">
        <v>464.5</v>
      </c>
      <c r="J99" s="2984">
        <v>52297</v>
      </c>
    </row>
    <row r="100" spans="1:10">
      <c r="A100" s="2980" t="s">
        <v>3535</v>
      </c>
      <c r="B100" s="2980" t="s">
        <v>3171</v>
      </c>
      <c r="C100" s="2980" t="s">
        <v>1326</v>
      </c>
      <c r="D100" s="2980" t="s">
        <v>3537</v>
      </c>
      <c r="E100" s="2980" t="s">
        <v>3224</v>
      </c>
      <c r="F100" s="2980" t="s">
        <v>3166</v>
      </c>
      <c r="G100" s="2980" t="s">
        <v>3182</v>
      </c>
      <c r="H100" s="2984">
        <v>89</v>
      </c>
      <c r="I100" s="2984">
        <v>465.21</v>
      </c>
      <c r="J100" s="2984">
        <v>52377</v>
      </c>
    </row>
    <row r="101" spans="1:10">
      <c r="A101" s="2980" t="s">
        <v>3540</v>
      </c>
      <c r="B101" s="2980" t="s">
        <v>3171</v>
      </c>
      <c r="C101" s="2980" t="s">
        <v>1326</v>
      </c>
      <c r="D101" s="2980" t="s">
        <v>3312</v>
      </c>
      <c r="E101" s="2980" t="s">
        <v>3224</v>
      </c>
      <c r="F101" s="2980" t="s">
        <v>3166</v>
      </c>
      <c r="G101" s="2980" t="s">
        <v>3182</v>
      </c>
      <c r="H101" s="2984">
        <v>89</v>
      </c>
      <c r="I101" s="2984">
        <v>466.37</v>
      </c>
      <c r="J101" s="2984">
        <v>52378</v>
      </c>
    </row>
    <row r="102" spans="1:10">
      <c r="A102" s="2980" t="s">
        <v>3543</v>
      </c>
      <c r="B102" s="2980" t="s">
        <v>3171</v>
      </c>
      <c r="C102" s="2980" t="s">
        <v>1326</v>
      </c>
      <c r="D102" s="2980" t="s">
        <v>3309</v>
      </c>
      <c r="E102" s="2980" t="s">
        <v>3224</v>
      </c>
      <c r="F102" s="2980" t="s">
        <v>3166</v>
      </c>
      <c r="G102" s="2980" t="s">
        <v>3182</v>
      </c>
      <c r="H102" s="2984">
        <v>89</v>
      </c>
      <c r="I102" s="2984">
        <v>461.37</v>
      </c>
      <c r="J102" s="2984">
        <v>51945</v>
      </c>
    </row>
    <row r="103" spans="1:10">
      <c r="A103" s="2980" t="s">
        <v>3548</v>
      </c>
      <c r="B103" s="2980" t="s">
        <v>3222</v>
      </c>
      <c r="C103" s="2980" t="s">
        <v>1326</v>
      </c>
      <c r="D103" s="2980" t="s">
        <v>3236</v>
      </c>
      <c r="E103" s="2980" t="s">
        <v>3224</v>
      </c>
      <c r="F103" s="2980" t="s">
        <v>3166</v>
      </c>
      <c r="G103" s="2980" t="s">
        <v>3182</v>
      </c>
      <c r="H103" s="2984">
        <v>89</v>
      </c>
      <c r="I103" s="2984">
        <v>445.74</v>
      </c>
      <c r="J103" s="2984">
        <v>49809</v>
      </c>
    </row>
    <row r="104" spans="1:10">
      <c r="A104" s="2980" t="s">
        <v>3548</v>
      </c>
      <c r="B104" s="2980" t="s">
        <v>3222</v>
      </c>
      <c r="C104" s="2980" t="s">
        <v>1326</v>
      </c>
      <c r="D104" s="2980" t="s">
        <v>3551</v>
      </c>
      <c r="E104" s="2980" t="s">
        <v>3224</v>
      </c>
      <c r="F104" s="2980" t="s">
        <v>3166</v>
      </c>
      <c r="G104" s="2980" t="s">
        <v>3182</v>
      </c>
      <c r="H104" s="2984">
        <v>89</v>
      </c>
      <c r="I104" s="2984">
        <v>437.63</v>
      </c>
      <c r="J104" s="2984">
        <v>49310</v>
      </c>
    </row>
    <row r="105" spans="1:10">
      <c r="A105" s="2980" t="s">
        <v>3554</v>
      </c>
      <c r="B105" s="2980" t="s">
        <v>3243</v>
      </c>
      <c r="C105" s="2980" t="s">
        <v>1326</v>
      </c>
      <c r="D105" s="2980" t="s">
        <v>3239</v>
      </c>
      <c r="E105" s="2980" t="s">
        <v>3224</v>
      </c>
      <c r="F105" s="2980" t="s">
        <v>3166</v>
      </c>
      <c r="G105" s="2980" t="s">
        <v>3167</v>
      </c>
      <c r="H105" s="2984">
        <v>85</v>
      </c>
      <c r="I105" s="2984">
        <v>433.6</v>
      </c>
      <c r="J105" s="2984">
        <v>51210</v>
      </c>
    </row>
    <row r="106" spans="1:10">
      <c r="A106" s="2980" t="s">
        <v>3554</v>
      </c>
      <c r="B106" s="2980" t="s">
        <v>3222</v>
      </c>
      <c r="C106" s="2980" t="s">
        <v>1326</v>
      </c>
      <c r="D106" s="2980" t="s">
        <v>3557</v>
      </c>
      <c r="E106" s="2980" t="s">
        <v>3224</v>
      </c>
      <c r="F106" s="2980" t="s">
        <v>3166</v>
      </c>
      <c r="G106" s="2980" t="s">
        <v>3182</v>
      </c>
      <c r="H106" s="2984">
        <v>89</v>
      </c>
      <c r="I106" s="2984">
        <v>436.77</v>
      </c>
      <c r="J106" s="2984">
        <v>49214</v>
      </c>
    </row>
    <row r="107" spans="1:10">
      <c r="A107" s="2980" t="s">
        <v>3558</v>
      </c>
      <c r="B107" s="2980" t="s">
        <v>3171</v>
      </c>
      <c r="C107" s="2980" t="s">
        <v>1326</v>
      </c>
      <c r="D107" s="2980" t="s">
        <v>3557</v>
      </c>
      <c r="E107" s="2980" t="s">
        <v>3224</v>
      </c>
      <c r="F107" s="2980" t="s">
        <v>3166</v>
      </c>
      <c r="G107" s="2980" t="s">
        <v>3182</v>
      </c>
      <c r="H107" s="2984">
        <v>89</v>
      </c>
      <c r="I107" s="2984">
        <v>466.37</v>
      </c>
      <c r="J107" s="2984">
        <v>52378</v>
      </c>
    </row>
    <row r="108" spans="1:10">
      <c r="A108" s="2980" t="s">
        <v>3559</v>
      </c>
      <c r="B108" s="2980" t="s">
        <v>3222</v>
      </c>
      <c r="C108" s="2980" t="s">
        <v>1326</v>
      </c>
      <c r="D108" s="2980" t="s">
        <v>3561</v>
      </c>
      <c r="E108" s="2980" t="s">
        <v>3224</v>
      </c>
      <c r="F108" s="2980" t="s">
        <v>3166</v>
      </c>
      <c r="G108" s="2980" t="s">
        <v>3182</v>
      </c>
      <c r="H108" s="2984">
        <v>89</v>
      </c>
      <c r="I108" s="2984">
        <v>437.39</v>
      </c>
      <c r="J108" s="2984">
        <v>49156</v>
      </c>
    </row>
    <row r="109" spans="1:10">
      <c r="A109" s="2980" t="s">
        <v>3565</v>
      </c>
      <c r="B109" s="2980" t="s">
        <v>3171</v>
      </c>
      <c r="C109" s="2980" t="s">
        <v>1326</v>
      </c>
      <c r="D109" s="2980" t="s">
        <v>3285</v>
      </c>
      <c r="E109" s="2980" t="s">
        <v>3224</v>
      </c>
      <c r="F109" s="2980" t="s">
        <v>3166</v>
      </c>
      <c r="G109" s="2980" t="s">
        <v>3182</v>
      </c>
      <c r="H109" s="2984">
        <v>89</v>
      </c>
      <c r="I109" s="2984">
        <v>465.48</v>
      </c>
      <c r="J109" s="2984">
        <v>52278</v>
      </c>
    </row>
    <row r="110" spans="1:10">
      <c r="A110" s="2980" t="s">
        <v>3565</v>
      </c>
      <c r="B110" s="2980" t="s">
        <v>3222</v>
      </c>
      <c r="C110" s="2980" t="s">
        <v>1326</v>
      </c>
      <c r="D110" s="2980" t="s">
        <v>3495</v>
      </c>
      <c r="E110" s="2980" t="s">
        <v>3224</v>
      </c>
      <c r="F110" s="2980" t="s">
        <v>3166</v>
      </c>
      <c r="G110" s="2980" t="s">
        <v>3182</v>
      </c>
      <c r="H110" s="2984">
        <v>89</v>
      </c>
      <c r="I110" s="2984">
        <v>436.77</v>
      </c>
      <c r="J110" s="2984">
        <v>49214</v>
      </c>
    </row>
    <row r="111" spans="1:10">
      <c r="A111" s="2980" t="s">
        <v>3568</v>
      </c>
      <c r="B111" s="2980" t="s">
        <v>3171</v>
      </c>
      <c r="C111" s="2980" t="s">
        <v>1326</v>
      </c>
      <c r="D111" s="2980" t="s">
        <v>3527</v>
      </c>
      <c r="E111" s="2980" t="s">
        <v>3224</v>
      </c>
      <c r="F111" s="2980" t="s">
        <v>3166</v>
      </c>
      <c r="G111" s="2980" t="s">
        <v>3182</v>
      </c>
      <c r="H111" s="2984">
        <v>89</v>
      </c>
      <c r="I111" s="2984">
        <v>462.52</v>
      </c>
      <c r="J111" s="2984">
        <v>51945</v>
      </c>
    </row>
    <row r="112" spans="1:10">
      <c r="A112" s="2980" t="s">
        <v>3570</v>
      </c>
      <c r="B112" s="2980" t="s">
        <v>3238</v>
      </c>
      <c r="C112" s="2980" t="s">
        <v>1326</v>
      </c>
      <c r="D112" s="2980" t="s">
        <v>3571</v>
      </c>
      <c r="E112" s="2980" t="s">
        <v>3224</v>
      </c>
      <c r="F112" s="2980" t="s">
        <v>3166</v>
      </c>
      <c r="G112" s="2980" t="s">
        <v>3182</v>
      </c>
      <c r="H112" s="2984">
        <v>89</v>
      </c>
      <c r="I112" s="2984">
        <v>458.28</v>
      </c>
      <c r="J112" s="2984">
        <v>51510</v>
      </c>
    </row>
    <row r="113" spans="1:10">
      <c r="A113" s="2980" t="s">
        <v>3584</v>
      </c>
      <c r="B113" s="2980" t="s">
        <v>3171</v>
      </c>
      <c r="C113" s="2980" t="s">
        <v>1326</v>
      </c>
      <c r="D113" s="2980" t="s">
        <v>3282</v>
      </c>
      <c r="E113" s="2980" t="s">
        <v>3224</v>
      </c>
      <c r="F113" s="2980" t="s">
        <v>3166</v>
      </c>
      <c r="G113" s="2980" t="s">
        <v>3182</v>
      </c>
      <c r="H113" s="2984">
        <v>89</v>
      </c>
      <c r="I113" s="2984">
        <v>465.03</v>
      </c>
      <c r="J113" s="2984">
        <v>52357</v>
      </c>
    </row>
    <row r="114" spans="1:10">
      <c r="A114" s="2980" t="s">
        <v>3590</v>
      </c>
      <c r="B114" s="2980" t="s">
        <v>3171</v>
      </c>
      <c r="C114" s="2980" t="s">
        <v>1326</v>
      </c>
      <c r="D114" s="2980" t="s">
        <v>3495</v>
      </c>
      <c r="E114" s="2980" t="s">
        <v>3224</v>
      </c>
      <c r="F114" s="2980" t="s">
        <v>3166</v>
      </c>
      <c r="G114" s="2980" t="s">
        <v>3182</v>
      </c>
      <c r="H114" s="2984">
        <v>89</v>
      </c>
      <c r="I114" s="2984">
        <v>465.21</v>
      </c>
      <c r="J114" s="2984">
        <v>52377</v>
      </c>
    </row>
    <row r="115" spans="1:10">
      <c r="A115" s="2980" t="s">
        <v>3594</v>
      </c>
      <c r="B115" s="2980" t="s">
        <v>3171</v>
      </c>
      <c r="C115" s="2980" t="s">
        <v>1326</v>
      </c>
      <c r="D115" s="2980" t="s">
        <v>3595</v>
      </c>
      <c r="E115" s="2980" t="s">
        <v>3224</v>
      </c>
      <c r="F115" s="2980" t="s">
        <v>3166</v>
      </c>
      <c r="G115" s="2980" t="s">
        <v>3182</v>
      </c>
      <c r="H115" s="2984">
        <v>90</v>
      </c>
      <c r="I115" s="2984">
        <v>466.53</v>
      </c>
      <c r="J115" s="2984">
        <v>51987</v>
      </c>
    </row>
    <row r="116" spans="1:10">
      <c r="A116" s="2980" t="s">
        <v>3598</v>
      </c>
      <c r="B116" s="2980" t="s">
        <v>3171</v>
      </c>
      <c r="C116" s="2980" t="s">
        <v>1326</v>
      </c>
      <c r="D116" s="2980" t="s">
        <v>3560</v>
      </c>
      <c r="E116" s="2980" t="s">
        <v>3224</v>
      </c>
      <c r="F116" s="2980" t="s">
        <v>3166</v>
      </c>
      <c r="G116" s="2980" t="s">
        <v>3182</v>
      </c>
      <c r="H116" s="2984">
        <v>89</v>
      </c>
      <c r="I116" s="2984">
        <v>461.55</v>
      </c>
      <c r="J116" s="2984">
        <v>51965</v>
      </c>
    </row>
    <row r="117" spans="1:10">
      <c r="A117" s="2980" t="s">
        <v>3601</v>
      </c>
      <c r="B117" s="2980" t="s">
        <v>3171</v>
      </c>
      <c r="C117" s="2980" t="s">
        <v>1326</v>
      </c>
      <c r="D117" s="2980" t="s">
        <v>3227</v>
      </c>
      <c r="E117" s="2980" t="s">
        <v>3224</v>
      </c>
      <c r="F117" s="2980" t="s">
        <v>3166</v>
      </c>
      <c r="G117" s="2980" t="s">
        <v>3182</v>
      </c>
      <c r="H117" s="2984">
        <v>89</v>
      </c>
      <c r="I117" s="2984">
        <v>462.17</v>
      </c>
      <c r="J117" s="2984">
        <v>51906</v>
      </c>
    </row>
    <row r="118" spans="1:10">
      <c r="A118" s="2980" t="s">
        <v>3610</v>
      </c>
      <c r="B118" s="2980" t="s">
        <v>3260</v>
      </c>
      <c r="C118" s="2980" t="s">
        <v>1326</v>
      </c>
      <c r="D118" s="2980" t="s">
        <v>3561</v>
      </c>
      <c r="E118" s="2980" t="s">
        <v>3224</v>
      </c>
      <c r="F118" s="2980" t="s">
        <v>3166</v>
      </c>
      <c r="G118" s="2980" t="s">
        <v>3182</v>
      </c>
      <c r="H118" s="2984">
        <v>89</v>
      </c>
      <c r="I118" s="2984">
        <v>465.28</v>
      </c>
      <c r="J118" s="2984">
        <v>52255</v>
      </c>
    </row>
    <row r="119" spans="1:10">
      <c r="A119" s="2980" t="s">
        <v>3610</v>
      </c>
      <c r="B119" s="2980" t="s">
        <v>3171</v>
      </c>
      <c r="C119" s="2980" t="s">
        <v>1326</v>
      </c>
      <c r="D119" s="2980" t="s">
        <v>3617</v>
      </c>
      <c r="E119" s="2980" t="s">
        <v>3224</v>
      </c>
      <c r="F119" s="2980" t="s">
        <v>3166</v>
      </c>
      <c r="G119" s="2980" t="s">
        <v>3182</v>
      </c>
      <c r="H119" s="2984">
        <v>90</v>
      </c>
      <c r="I119" s="2984">
        <v>470.06</v>
      </c>
      <c r="J119" s="2984">
        <v>52380</v>
      </c>
    </row>
    <row r="120" spans="1:10">
      <c r="A120" s="2980" t="s">
        <v>3622</v>
      </c>
      <c r="B120" s="2980" t="s">
        <v>3222</v>
      </c>
      <c r="C120" s="2980" t="s">
        <v>1326</v>
      </c>
      <c r="D120" s="2980" t="s">
        <v>3560</v>
      </c>
      <c r="E120" s="2980" t="s">
        <v>3224</v>
      </c>
      <c r="F120" s="2980" t="s">
        <v>3166</v>
      </c>
      <c r="G120" s="2980" t="s">
        <v>3182</v>
      </c>
      <c r="H120" s="2984">
        <v>89</v>
      </c>
      <c r="I120" s="2984">
        <v>453.15</v>
      </c>
      <c r="J120" s="2984">
        <v>50928</v>
      </c>
    </row>
    <row r="121" spans="1:10">
      <c r="A121" s="2980" t="s">
        <v>3633</v>
      </c>
      <c r="B121" s="2980" t="s">
        <v>3171</v>
      </c>
      <c r="C121" s="2980" t="s">
        <v>1326</v>
      </c>
      <c r="D121" s="2980" t="s">
        <v>3637</v>
      </c>
      <c r="E121" s="2980" t="s">
        <v>3224</v>
      </c>
      <c r="F121" s="2980" t="s">
        <v>3166</v>
      </c>
      <c r="G121" s="2980" t="s">
        <v>3182</v>
      </c>
      <c r="H121" s="2984">
        <v>89</v>
      </c>
      <c r="I121" s="2984">
        <v>462.35</v>
      </c>
      <c r="J121" s="2984">
        <v>51926</v>
      </c>
    </row>
    <row r="122" spans="1:10">
      <c r="A122" s="2980" t="s">
        <v>3645</v>
      </c>
      <c r="B122" s="2980" t="s">
        <v>3260</v>
      </c>
      <c r="C122" s="2980" t="s">
        <v>1326</v>
      </c>
      <c r="D122" s="2980" t="s">
        <v>3646</v>
      </c>
      <c r="E122" s="2980" t="s">
        <v>3224</v>
      </c>
      <c r="F122" s="2980" t="s">
        <v>3166</v>
      </c>
      <c r="G122" s="2980" t="s">
        <v>3182</v>
      </c>
      <c r="H122" s="2984">
        <v>89</v>
      </c>
      <c r="I122" s="2984">
        <v>463.53</v>
      </c>
      <c r="J122" s="2984">
        <v>51919</v>
      </c>
    </row>
    <row r="123" spans="1:10">
      <c r="A123" s="2980" t="s">
        <v>3649</v>
      </c>
      <c r="B123" s="2980" t="s">
        <v>3171</v>
      </c>
      <c r="C123" s="2980" t="s">
        <v>1326</v>
      </c>
      <c r="D123" s="2980" t="s">
        <v>3300</v>
      </c>
      <c r="E123" s="2980" t="s">
        <v>3224</v>
      </c>
      <c r="F123" s="2980" t="s">
        <v>3166</v>
      </c>
      <c r="G123" s="2980" t="s">
        <v>3182</v>
      </c>
      <c r="H123" s="2984">
        <v>89</v>
      </c>
      <c r="I123" s="2984">
        <v>466.02</v>
      </c>
      <c r="J123" s="2984">
        <v>52338</v>
      </c>
    </row>
    <row r="124" spans="1:10">
      <c r="A124" s="2980" t="s">
        <v>3656</v>
      </c>
      <c r="B124" s="2980" t="s">
        <v>3171</v>
      </c>
      <c r="C124" s="2980" t="s">
        <v>1326</v>
      </c>
      <c r="D124" s="2980" t="s">
        <v>3323</v>
      </c>
      <c r="E124" s="2980" t="s">
        <v>3224</v>
      </c>
      <c r="F124" s="2980" t="s">
        <v>3166</v>
      </c>
      <c r="G124" s="2980" t="s">
        <v>3182</v>
      </c>
      <c r="H124" s="2984">
        <v>89</v>
      </c>
      <c r="I124" s="2984">
        <v>465.21</v>
      </c>
      <c r="J124" s="2984">
        <v>52377</v>
      </c>
    </row>
    <row r="125" spans="1:10">
      <c r="A125" s="2980" t="s">
        <v>3657</v>
      </c>
      <c r="B125" s="2980" t="s">
        <v>3222</v>
      </c>
      <c r="C125" s="2980" t="s">
        <v>1326</v>
      </c>
      <c r="D125" s="2980" t="s">
        <v>3520</v>
      </c>
      <c r="E125" s="2980" t="s">
        <v>3224</v>
      </c>
      <c r="F125" s="2980" t="s">
        <v>3166</v>
      </c>
      <c r="G125" s="2980" t="s">
        <v>3182</v>
      </c>
      <c r="H125" s="2984">
        <v>89</v>
      </c>
      <c r="I125" s="2984">
        <v>448.09</v>
      </c>
      <c r="J125" s="2984">
        <v>50489</v>
      </c>
    </row>
    <row r="126" spans="1:10">
      <c r="A126" s="2980" t="s">
        <v>3664</v>
      </c>
      <c r="B126" s="2980" t="s">
        <v>3171</v>
      </c>
      <c r="C126" s="2980" t="s">
        <v>1326</v>
      </c>
      <c r="D126" s="2980" t="s">
        <v>1326</v>
      </c>
      <c r="E126" s="2980" t="s">
        <v>3224</v>
      </c>
      <c r="F126" s="2980" t="s">
        <v>3166</v>
      </c>
      <c r="G126" s="2980" t="s">
        <v>3182</v>
      </c>
      <c r="H126" s="2984">
        <v>90</v>
      </c>
      <c r="I126" s="2984">
        <v>465.82</v>
      </c>
      <c r="J126" s="2984">
        <v>51907</v>
      </c>
    </row>
    <row r="127" spans="1:10">
      <c r="A127" s="2980" t="s">
        <v>3664</v>
      </c>
      <c r="B127" s="2980" t="s">
        <v>3171</v>
      </c>
      <c r="C127" s="2980" t="s">
        <v>1326</v>
      </c>
      <c r="D127" s="2980" t="s">
        <v>1326</v>
      </c>
      <c r="E127" s="2980" t="s">
        <v>3224</v>
      </c>
      <c r="F127" s="2980" t="s">
        <v>3166</v>
      </c>
      <c r="G127" s="2980" t="s">
        <v>3182</v>
      </c>
      <c r="H127" s="2984">
        <v>89</v>
      </c>
      <c r="I127" s="2984">
        <v>465.39</v>
      </c>
      <c r="J127" s="2984">
        <v>52397</v>
      </c>
    </row>
    <row r="128" spans="1:10">
      <c r="A128" s="2980" t="s">
        <v>3671</v>
      </c>
      <c r="B128" s="2980" t="s">
        <v>3171</v>
      </c>
      <c r="C128" s="2980" t="s">
        <v>1326</v>
      </c>
      <c r="D128" s="2980" t="s">
        <v>1326</v>
      </c>
      <c r="E128" s="2980" t="s">
        <v>3224</v>
      </c>
      <c r="F128" s="2980" t="s">
        <v>3166</v>
      </c>
      <c r="G128" s="2980" t="s">
        <v>3182</v>
      </c>
      <c r="H128" s="2984">
        <v>89</v>
      </c>
      <c r="I128" s="2984">
        <v>465.66</v>
      </c>
      <c r="J128" s="2984">
        <v>52298</v>
      </c>
    </row>
    <row r="129" spans="1:10">
      <c r="A129" s="2980" t="s">
        <v>3676</v>
      </c>
      <c r="B129" s="2980" t="s">
        <v>3171</v>
      </c>
      <c r="C129" s="2980" t="s">
        <v>1326</v>
      </c>
      <c r="D129" s="2980" t="s">
        <v>1326</v>
      </c>
      <c r="E129" s="2980" t="s">
        <v>3224</v>
      </c>
      <c r="F129" s="2980" t="s">
        <v>3166</v>
      </c>
      <c r="G129" s="2980" t="s">
        <v>3182</v>
      </c>
      <c r="H129" s="2984">
        <v>89</v>
      </c>
      <c r="I129" s="2984">
        <v>465.66</v>
      </c>
      <c r="J129" s="2984">
        <v>52298</v>
      </c>
    </row>
    <row r="130" spans="1:10">
      <c r="A130" s="2980" t="s">
        <v>3679</v>
      </c>
      <c r="B130" s="2980" t="s">
        <v>3171</v>
      </c>
      <c r="C130" s="2980" t="s">
        <v>1326</v>
      </c>
      <c r="D130" s="2980" t="s">
        <v>1326</v>
      </c>
      <c r="E130" s="2980" t="s">
        <v>3224</v>
      </c>
      <c r="F130" s="2980" t="s">
        <v>3166</v>
      </c>
      <c r="G130" s="2980" t="s">
        <v>3182</v>
      </c>
      <c r="H130" s="2984">
        <v>84</v>
      </c>
      <c r="I130" s="2984">
        <v>441.61</v>
      </c>
      <c r="J130" s="2984">
        <v>52379</v>
      </c>
    </row>
    <row r="131" spans="1:10">
      <c r="A131" s="2980" t="s">
        <v>3687</v>
      </c>
      <c r="B131" s="2980" t="s">
        <v>3171</v>
      </c>
      <c r="C131" s="2980" t="s">
        <v>1326</v>
      </c>
      <c r="D131" s="2980" t="s">
        <v>1326</v>
      </c>
      <c r="E131" s="2980" t="s">
        <v>3224</v>
      </c>
      <c r="F131" s="2980" t="s">
        <v>3166</v>
      </c>
      <c r="G131" s="2980" t="s">
        <v>3182</v>
      </c>
      <c r="H131" s="2984">
        <v>89</v>
      </c>
      <c r="I131" s="2984">
        <v>461.2</v>
      </c>
      <c r="J131" s="2984">
        <v>51925</v>
      </c>
    </row>
    <row r="132" spans="1:10">
      <c r="A132" s="2980" t="s">
        <v>3701</v>
      </c>
      <c r="B132" s="2980" t="s">
        <v>3171</v>
      </c>
      <c r="C132" s="2980" t="s">
        <v>1326</v>
      </c>
      <c r="D132" s="2980" t="s">
        <v>1326</v>
      </c>
      <c r="E132" s="2980" t="s">
        <v>3224</v>
      </c>
      <c r="F132" s="2980" t="s">
        <v>3166</v>
      </c>
      <c r="G132" s="2980" t="s">
        <v>3182</v>
      </c>
      <c r="H132" s="2984">
        <v>89</v>
      </c>
      <c r="I132" s="2984">
        <v>464.86</v>
      </c>
      <c r="J132" s="2984">
        <v>52337</v>
      </c>
    </row>
    <row r="133" spans="1:10">
      <c r="A133" s="2980" t="s">
        <v>3701</v>
      </c>
      <c r="B133" s="2980" t="s">
        <v>3222</v>
      </c>
      <c r="C133" s="2980" t="s">
        <v>1326</v>
      </c>
      <c r="D133" s="2980" t="s">
        <v>1326</v>
      </c>
      <c r="E133" s="2980" t="s">
        <v>3224</v>
      </c>
      <c r="F133" s="2980" t="s">
        <v>3166</v>
      </c>
      <c r="G133" s="2980" t="s">
        <v>3182</v>
      </c>
      <c r="H133" s="2984">
        <v>89</v>
      </c>
      <c r="I133" s="2984">
        <v>452.98</v>
      </c>
      <c r="J133" s="2984">
        <v>50908</v>
      </c>
    </row>
    <row r="134" spans="1:10">
      <c r="A134" s="2980" t="s">
        <v>3707</v>
      </c>
      <c r="B134" s="2980" t="s">
        <v>3222</v>
      </c>
      <c r="C134" s="2980" t="s">
        <v>1326</v>
      </c>
      <c r="D134" s="2980" t="s">
        <v>1326</v>
      </c>
      <c r="E134" s="2980" t="s">
        <v>3224</v>
      </c>
      <c r="F134" s="2980" t="s">
        <v>3166</v>
      </c>
      <c r="G134" s="2980" t="s">
        <v>3182</v>
      </c>
      <c r="H134" s="2984">
        <v>89</v>
      </c>
      <c r="I134" s="2984">
        <v>456.73</v>
      </c>
      <c r="J134" s="2984">
        <v>51129</v>
      </c>
    </row>
    <row r="135" spans="1:10">
      <c r="A135" s="2980" t="s">
        <v>3707</v>
      </c>
      <c r="B135" s="2980" t="s">
        <v>3171</v>
      </c>
      <c r="C135" s="2980" t="s">
        <v>1326</v>
      </c>
      <c r="D135" s="2980" t="s">
        <v>1326</v>
      </c>
      <c r="E135" s="2980" t="s">
        <v>3224</v>
      </c>
      <c r="F135" s="2980" t="s">
        <v>3166</v>
      </c>
      <c r="G135" s="2980" t="s">
        <v>3182</v>
      </c>
      <c r="H135" s="2984">
        <v>89</v>
      </c>
      <c r="I135" s="2984">
        <v>464.68</v>
      </c>
      <c r="J135" s="2984">
        <v>52317</v>
      </c>
    </row>
    <row r="136" spans="1:10">
      <c r="A136" s="2980" t="s">
        <v>3712</v>
      </c>
      <c r="B136" s="2980" t="s">
        <v>3171</v>
      </c>
      <c r="C136" s="2980" t="s">
        <v>1326</v>
      </c>
      <c r="D136" s="2980" t="s">
        <v>1326</v>
      </c>
      <c r="E136" s="2980" t="s">
        <v>3224</v>
      </c>
      <c r="F136" s="2980" t="s">
        <v>3166</v>
      </c>
      <c r="G136" s="2980" t="s">
        <v>3182</v>
      </c>
      <c r="H136" s="2984">
        <v>89</v>
      </c>
      <c r="I136" s="2984">
        <v>464.68</v>
      </c>
      <c r="J136" s="2984">
        <v>52317</v>
      </c>
    </row>
    <row r="137" spans="1:10">
      <c r="A137" s="2980" t="s">
        <v>3712</v>
      </c>
      <c r="B137" s="2980" t="s">
        <v>3171</v>
      </c>
      <c r="C137" s="2980" t="s">
        <v>1326</v>
      </c>
      <c r="D137" s="2980" t="s">
        <v>1326</v>
      </c>
      <c r="E137" s="2980" t="s">
        <v>3224</v>
      </c>
      <c r="F137" s="2980" t="s">
        <v>3166</v>
      </c>
      <c r="G137" s="2980" t="s">
        <v>3182</v>
      </c>
      <c r="H137" s="2984">
        <v>89</v>
      </c>
      <c r="I137" s="2984">
        <v>462.87</v>
      </c>
      <c r="J137" s="2984">
        <v>51985</v>
      </c>
    </row>
    <row r="138" spans="1:10">
      <c r="A138" s="2980" t="s">
        <v>3719</v>
      </c>
      <c r="B138" s="2980" t="s">
        <v>3222</v>
      </c>
      <c r="C138" s="2980" t="s">
        <v>1326</v>
      </c>
      <c r="D138" s="2980" t="s">
        <v>1326</v>
      </c>
      <c r="E138" s="2980" t="s">
        <v>3224</v>
      </c>
      <c r="F138" s="2980" t="s">
        <v>3166</v>
      </c>
      <c r="G138" s="2980" t="s">
        <v>3182</v>
      </c>
      <c r="H138" s="2984">
        <v>89</v>
      </c>
      <c r="I138" s="2984">
        <v>453.86</v>
      </c>
      <c r="J138" s="2984">
        <v>50808</v>
      </c>
    </row>
    <row r="139" spans="1:10">
      <c r="A139" s="2980" t="s">
        <v>3728</v>
      </c>
      <c r="B139" s="2980" t="s">
        <v>3171</v>
      </c>
      <c r="C139" s="2980" t="s">
        <v>1326</v>
      </c>
      <c r="D139" s="2980" t="s">
        <v>3551</v>
      </c>
      <c r="E139" s="2980" t="s">
        <v>3224</v>
      </c>
      <c r="F139" s="2980" t="s">
        <v>3166</v>
      </c>
      <c r="G139" s="2980" t="s">
        <v>3167</v>
      </c>
      <c r="H139" s="2984">
        <v>84</v>
      </c>
      <c r="I139" s="2984">
        <v>438.85</v>
      </c>
      <c r="J139" s="2984">
        <v>52052</v>
      </c>
    </row>
    <row r="140" spans="1:10">
      <c r="A140" s="2980" t="s">
        <v>3739</v>
      </c>
      <c r="B140" s="2980" t="s">
        <v>3171</v>
      </c>
      <c r="C140" s="2980" t="s">
        <v>1326</v>
      </c>
      <c r="D140" s="2980" t="s">
        <v>3740</v>
      </c>
      <c r="E140" s="2980" t="s">
        <v>3224</v>
      </c>
      <c r="F140" s="2980" t="s">
        <v>3166</v>
      </c>
      <c r="G140" s="2980" t="s">
        <v>3182</v>
      </c>
      <c r="H140" s="2984">
        <v>89</v>
      </c>
      <c r="I140" s="2984">
        <v>464.68</v>
      </c>
      <c r="J140" s="2984">
        <v>52317</v>
      </c>
    </row>
    <row r="141" spans="1:10">
      <c r="A141" s="2980" t="s">
        <v>3753</v>
      </c>
      <c r="B141" s="2980" t="s">
        <v>3171</v>
      </c>
      <c r="C141" s="2980" t="s">
        <v>1326</v>
      </c>
      <c r="D141" s="2980" t="s">
        <v>3732</v>
      </c>
      <c r="E141" s="2980" t="s">
        <v>3224</v>
      </c>
      <c r="F141" s="2980" t="s">
        <v>3166</v>
      </c>
      <c r="G141" s="2980" t="s">
        <v>3167</v>
      </c>
      <c r="H141" s="2984">
        <v>84</v>
      </c>
      <c r="I141" s="2984">
        <v>439.01</v>
      </c>
      <c r="J141" s="2984">
        <v>52071</v>
      </c>
    </row>
    <row r="142" spans="1:10">
      <c r="A142" s="2980" t="s">
        <v>3753</v>
      </c>
      <c r="B142" s="2980" t="s">
        <v>3171</v>
      </c>
      <c r="C142" s="2980" t="s">
        <v>1326</v>
      </c>
      <c r="D142" s="2980" t="s">
        <v>3277</v>
      </c>
      <c r="E142" s="2980" t="s">
        <v>3224</v>
      </c>
      <c r="F142" s="2980" t="s">
        <v>3166</v>
      </c>
      <c r="G142" s="2980" t="s">
        <v>3167</v>
      </c>
      <c r="H142" s="2984">
        <v>84</v>
      </c>
      <c r="I142" s="2984">
        <v>441.94</v>
      </c>
      <c r="J142" s="2984">
        <v>52419</v>
      </c>
    </row>
    <row r="143" spans="1:10">
      <c r="A143" s="2980" t="s">
        <v>3765</v>
      </c>
      <c r="B143" s="2980" t="s">
        <v>3222</v>
      </c>
      <c r="C143" s="2980" t="s">
        <v>1326</v>
      </c>
      <c r="D143" s="2980" t="s">
        <v>3277</v>
      </c>
      <c r="E143" s="2980" t="s">
        <v>3224</v>
      </c>
      <c r="F143" s="2980" t="s">
        <v>3166</v>
      </c>
      <c r="G143" s="2980" t="s">
        <v>3182</v>
      </c>
      <c r="H143" s="2984">
        <v>89</v>
      </c>
      <c r="I143" s="2984">
        <v>452.51</v>
      </c>
      <c r="J143" s="2984">
        <v>50987</v>
      </c>
    </row>
    <row r="144" spans="1:10">
      <c r="A144" s="2980" t="s">
        <v>3776</v>
      </c>
      <c r="B144" s="2980" t="s">
        <v>3222</v>
      </c>
      <c r="C144" s="2980" t="s">
        <v>1326</v>
      </c>
      <c r="D144" s="2980" t="s">
        <v>3617</v>
      </c>
      <c r="E144" s="2980" t="s">
        <v>3224</v>
      </c>
      <c r="F144" s="2980" t="s">
        <v>3166</v>
      </c>
      <c r="G144" s="2980" t="s">
        <v>3182</v>
      </c>
      <c r="H144" s="2984">
        <v>89</v>
      </c>
      <c r="I144" s="2984">
        <v>447.57</v>
      </c>
      <c r="J144" s="2984">
        <v>50430</v>
      </c>
    </row>
    <row r="145" spans="1:10">
      <c r="A145" s="2980" t="s">
        <v>3776</v>
      </c>
      <c r="B145" s="2980" t="s">
        <v>3171</v>
      </c>
      <c r="C145" s="2980" t="s">
        <v>1326</v>
      </c>
      <c r="D145" s="2980" t="s">
        <v>3783</v>
      </c>
      <c r="E145" s="2980" t="s">
        <v>3224</v>
      </c>
      <c r="F145" s="2980" t="s">
        <v>3166</v>
      </c>
      <c r="G145" s="2980" t="s">
        <v>3182</v>
      </c>
      <c r="H145" s="2980">
        <v>89</v>
      </c>
      <c r="I145" s="2984">
        <v>461.73</v>
      </c>
      <c r="J145" s="2984">
        <v>51984</v>
      </c>
    </row>
    <row r="146" spans="1:10">
      <c r="A146" s="2985" t="s">
        <v>3803</v>
      </c>
      <c r="H146" s="2980">
        <f>ROUND(AVERAGE(H2:H145),0)</f>
        <v>88</v>
      </c>
      <c r="I146" s="2980">
        <f t="shared" ref="I146:J146" si="0">ROUND(AVERAGE(I2:I145),0)</f>
        <v>447</v>
      </c>
      <c r="J146" s="2980">
        <f t="shared" si="0"/>
        <v>50533</v>
      </c>
    </row>
    <row r="147" spans="1:10">
      <c r="A147" s="2985" t="s">
        <v>3804</v>
      </c>
      <c r="H147" s="2984">
        <f>SUM(H2:H145)</f>
        <v>11589</v>
      </c>
      <c r="I147" s="2984">
        <f>SUM(I2:I145)</f>
        <v>58546.59</v>
      </c>
      <c r="J147" s="2980">
        <f>ROUND(I147*10000/H147,0)</f>
        <v>50519</v>
      </c>
    </row>
    <row r="154" spans="1:10">
      <c r="A154" s="2980" t="s">
        <v>3526</v>
      </c>
      <c r="B154" s="2980" t="s">
        <v>3243</v>
      </c>
      <c r="C154" s="2980" t="s">
        <v>1326</v>
      </c>
      <c r="D154" s="2980" t="s">
        <v>3319</v>
      </c>
      <c r="E154" s="2980" t="s">
        <v>3224</v>
      </c>
      <c r="F154" s="2980" t="s">
        <v>3166</v>
      </c>
      <c r="G154" s="2980" t="s">
        <v>3167</v>
      </c>
      <c r="H154" s="2984">
        <v>83</v>
      </c>
      <c r="I154" s="2984">
        <v>374</v>
      </c>
      <c r="J154" s="2984">
        <v>44974</v>
      </c>
    </row>
    <row r="155" spans="1:10">
      <c r="A155" s="2980" t="s">
        <v>3485</v>
      </c>
      <c r="B155" s="2980" t="s">
        <v>3243</v>
      </c>
      <c r="C155" s="2980" t="s">
        <v>1326</v>
      </c>
      <c r="D155" s="2980" t="s">
        <v>3488</v>
      </c>
      <c r="E155" s="2980" t="s">
        <v>3224</v>
      </c>
      <c r="F155" s="2980" t="s">
        <v>3166</v>
      </c>
      <c r="G155" s="2980" t="s">
        <v>3167</v>
      </c>
      <c r="H155" s="2984">
        <v>83</v>
      </c>
      <c r="I155" s="2984">
        <v>374</v>
      </c>
      <c r="J155" s="2984">
        <v>45207</v>
      </c>
    </row>
    <row r="156" spans="1:10">
      <c r="A156" s="2980" t="s">
        <v>3489</v>
      </c>
      <c r="B156" s="2980" t="s">
        <v>3243</v>
      </c>
      <c r="C156" s="2980" t="s">
        <v>1326</v>
      </c>
      <c r="D156" s="2980" t="s">
        <v>3490</v>
      </c>
      <c r="E156" s="2980" t="s">
        <v>3224</v>
      </c>
      <c r="F156" s="2980" t="s">
        <v>3166</v>
      </c>
      <c r="G156" s="2980" t="s">
        <v>3167</v>
      </c>
      <c r="H156" s="2984">
        <v>82</v>
      </c>
      <c r="I156" s="2984">
        <v>374</v>
      </c>
      <c r="J156" s="2984">
        <v>45366</v>
      </c>
    </row>
    <row r="157" spans="1:10">
      <c r="A157" s="2980" t="s">
        <v>3493</v>
      </c>
      <c r="B157" s="2980" t="s">
        <v>3243</v>
      </c>
      <c r="C157" s="2980" t="s">
        <v>1326</v>
      </c>
      <c r="D157" s="2980" t="s">
        <v>3266</v>
      </c>
      <c r="E157" s="2980" t="s">
        <v>3224</v>
      </c>
      <c r="F157" s="2980" t="s">
        <v>3166</v>
      </c>
      <c r="G157" s="2980" t="s">
        <v>3167</v>
      </c>
      <c r="H157" s="2984">
        <v>83</v>
      </c>
      <c r="I157" s="2984">
        <v>374</v>
      </c>
      <c r="J157" s="2984">
        <v>44974</v>
      </c>
    </row>
    <row r="158" spans="1:10">
      <c r="A158" s="2980" t="s">
        <v>3457</v>
      </c>
      <c r="B158" s="2980" t="s">
        <v>3243</v>
      </c>
      <c r="C158" s="2980" t="s">
        <v>1326</v>
      </c>
      <c r="D158" s="2980" t="s">
        <v>1326</v>
      </c>
      <c r="E158" s="2980" t="s">
        <v>3224</v>
      </c>
      <c r="F158" s="2980" t="s">
        <v>3166</v>
      </c>
      <c r="G158" s="2980" t="s">
        <v>3167</v>
      </c>
      <c r="H158" s="2984">
        <v>83</v>
      </c>
      <c r="I158" s="2984">
        <v>374</v>
      </c>
      <c r="J158" s="2984">
        <v>45207</v>
      </c>
    </row>
    <row r="159" spans="1:10">
      <c r="A159" s="2980" t="s">
        <v>3458</v>
      </c>
      <c r="B159" s="2980" t="s">
        <v>3243</v>
      </c>
      <c r="C159" s="2980" t="s">
        <v>1326</v>
      </c>
      <c r="D159" s="2980" t="s">
        <v>1326</v>
      </c>
      <c r="E159" s="2980" t="s">
        <v>3224</v>
      </c>
      <c r="F159" s="2980" t="s">
        <v>3166</v>
      </c>
      <c r="G159" s="2980" t="s">
        <v>3167</v>
      </c>
      <c r="H159" s="2984">
        <v>83</v>
      </c>
      <c r="I159" s="2984">
        <v>374</v>
      </c>
      <c r="J159" s="2984">
        <v>44974</v>
      </c>
    </row>
    <row r="160" spans="1:10">
      <c r="A160" s="2980" t="s">
        <v>3422</v>
      </c>
      <c r="B160" s="2980" t="s">
        <v>3243</v>
      </c>
      <c r="C160" s="2980" t="s">
        <v>1326</v>
      </c>
      <c r="D160" s="2980" t="s">
        <v>1326</v>
      </c>
      <c r="E160" s="2980" t="s">
        <v>3224</v>
      </c>
      <c r="F160" s="2980" t="s">
        <v>3166</v>
      </c>
      <c r="G160" s="2980" t="s">
        <v>3167</v>
      </c>
      <c r="H160" s="2984">
        <v>83</v>
      </c>
      <c r="I160" s="2984">
        <v>374</v>
      </c>
      <c r="J160" s="2984">
        <v>44974</v>
      </c>
    </row>
    <row r="161" spans="1:10">
      <c r="A161" s="2980" t="s">
        <v>3426</v>
      </c>
      <c r="B161" s="2980" t="s">
        <v>3243</v>
      </c>
      <c r="C161" s="2980" t="s">
        <v>1326</v>
      </c>
      <c r="D161" s="2980" t="s">
        <v>1326</v>
      </c>
      <c r="E161" s="2980" t="s">
        <v>3224</v>
      </c>
      <c r="F161" s="2980" t="s">
        <v>3166</v>
      </c>
      <c r="G161" s="2980" t="s">
        <v>3167</v>
      </c>
      <c r="H161" s="2984">
        <v>83</v>
      </c>
      <c r="I161" s="2984">
        <v>374</v>
      </c>
      <c r="J161" s="2984">
        <v>44974</v>
      </c>
    </row>
    <row r="162" spans="1:10">
      <c r="A162" s="2980" t="s">
        <v>3427</v>
      </c>
      <c r="B162" s="2980" t="s">
        <v>3243</v>
      </c>
      <c r="C162" s="2980" t="s">
        <v>1326</v>
      </c>
      <c r="D162" s="2980" t="s">
        <v>1326</v>
      </c>
      <c r="E162" s="2980" t="s">
        <v>3224</v>
      </c>
      <c r="F162" s="2980" t="s">
        <v>3166</v>
      </c>
      <c r="G162" s="2980" t="s">
        <v>3167</v>
      </c>
      <c r="H162" s="2984">
        <v>83</v>
      </c>
      <c r="I162" s="2984">
        <v>374</v>
      </c>
      <c r="J162" s="2984">
        <v>45207</v>
      </c>
    </row>
    <row r="163" spans="1:10">
      <c r="A163" s="2980" t="s">
        <v>3428</v>
      </c>
      <c r="B163" s="2980" t="s">
        <v>3243</v>
      </c>
      <c r="C163" s="2980" t="s">
        <v>1326</v>
      </c>
      <c r="D163" s="2980" t="s">
        <v>1326</v>
      </c>
      <c r="E163" s="2980" t="s">
        <v>3224</v>
      </c>
      <c r="F163" s="2980" t="s">
        <v>3166</v>
      </c>
      <c r="G163" s="2980" t="s">
        <v>3167</v>
      </c>
      <c r="H163" s="2984">
        <v>83</v>
      </c>
      <c r="I163" s="2984">
        <v>374</v>
      </c>
      <c r="J163" s="2984">
        <v>45207</v>
      </c>
    </row>
    <row r="164" spans="1:10">
      <c r="A164" s="2980" t="s">
        <v>3382</v>
      </c>
      <c r="B164" s="2980" t="s">
        <v>3243</v>
      </c>
      <c r="C164" s="2980" t="s">
        <v>1326</v>
      </c>
      <c r="D164" s="2980" t="s">
        <v>1326</v>
      </c>
      <c r="E164" s="2980" t="s">
        <v>3224</v>
      </c>
      <c r="F164" s="2980" t="s">
        <v>3166</v>
      </c>
      <c r="G164" s="2980" t="s">
        <v>3167</v>
      </c>
      <c r="H164" s="2984">
        <v>83</v>
      </c>
      <c r="I164" s="2984">
        <v>374</v>
      </c>
      <c r="J164" s="2984">
        <v>45207</v>
      </c>
    </row>
    <row r="165" spans="1:10">
      <c r="A165" s="2980" t="s">
        <v>3395</v>
      </c>
      <c r="B165" s="2980" t="s">
        <v>3243</v>
      </c>
      <c r="C165" s="2980" t="s">
        <v>1326</v>
      </c>
      <c r="D165" s="2980" t="s">
        <v>1326</v>
      </c>
      <c r="E165" s="2980" t="s">
        <v>3224</v>
      </c>
      <c r="F165" s="2980" t="s">
        <v>3166</v>
      </c>
      <c r="G165" s="2980" t="s">
        <v>3167</v>
      </c>
      <c r="H165" s="2984">
        <v>83</v>
      </c>
      <c r="I165" s="2984">
        <v>374</v>
      </c>
      <c r="J165" s="2984">
        <v>45207</v>
      </c>
    </row>
    <row r="166" spans="1:10">
      <c r="A166" s="2980" t="s">
        <v>3341</v>
      </c>
      <c r="B166" s="2980" t="s">
        <v>3252</v>
      </c>
      <c r="C166" s="2980" t="s">
        <v>1326</v>
      </c>
      <c r="D166" s="2980" t="s">
        <v>3266</v>
      </c>
      <c r="E166" s="2980" t="s">
        <v>3224</v>
      </c>
      <c r="F166" s="2980" t="s">
        <v>3166</v>
      </c>
      <c r="G166" s="2980" t="s">
        <v>3182</v>
      </c>
      <c r="H166" s="2984">
        <v>83</v>
      </c>
      <c r="I166" s="2984">
        <v>374</v>
      </c>
      <c r="J166" s="2984">
        <v>45207</v>
      </c>
    </row>
  </sheetData>
  <autoFilter ref="A1:J145"/>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06" t="str">
        <f>IF(项目基本情况!B9="房地产市场价值","估价结果一览表","结果表-2")</f>
        <v>估价结果一览表</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房地产市场价值</v>
      </c>
      <c r="I2" s="3007"/>
    </row>
    <row r="3" spans="1:9" ht="15">
      <c r="A3" s="3001"/>
      <c r="B3" s="3001"/>
      <c r="C3" s="3001"/>
      <c r="D3" s="1044" t="s">
        <v>1632</v>
      </c>
      <c r="E3" s="1044" t="s">
        <v>1638</v>
      </c>
      <c r="F3" s="1044" t="s">
        <v>1632</v>
      </c>
      <c r="G3" s="1044" t="s">
        <v>1633</v>
      </c>
      <c r="H3" s="1044" t="s">
        <v>1632</v>
      </c>
      <c r="I3" s="1044" t="s">
        <v>1633</v>
      </c>
    </row>
    <row r="4" spans="1:9" ht="60">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453051</v>
      </c>
      <c r="I4" s="1044" t="e">
        <f ca="1">结果表!I118</f>
        <v>#DIV/0!</v>
      </c>
    </row>
    <row r="5" spans="1:9" ht="30" customHeight="1">
      <c r="A5" s="3001" t="s">
        <v>1634</v>
      </c>
      <c r="B5" s="3001"/>
      <c r="C5" s="3001"/>
      <c r="D5" s="3002" t="e">
        <f ca="1">结果表!D119</f>
        <v>#REF!</v>
      </c>
      <c r="E5" s="3002"/>
      <c r="F5" s="3002" t="e">
        <f ca="1">结果表!F119</f>
        <v>#REF!</v>
      </c>
      <c r="G5" s="3002"/>
      <c r="H5" s="3002" t="str">
        <f ca="1">结果表!H119</f>
        <v>肆拾伍亿叁仟零伍拾壹万元整</v>
      </c>
      <c r="I5" s="3002"/>
    </row>
    <row r="6" spans="1:9" ht="15.75">
      <c r="A6" s="3000" t="str">
        <f>结果表!A120</f>
        <v/>
      </c>
      <c r="B6" s="3000"/>
      <c r="C6" s="3000"/>
      <c r="D6" s="3000">
        <f>结果表!D120</f>
        <v>0</v>
      </c>
      <c r="E6" s="3000"/>
      <c r="F6" s="3000"/>
      <c r="G6" s="3000"/>
      <c r="H6" s="3000"/>
      <c r="I6" s="3000"/>
    </row>
    <row r="7" spans="1:9" ht="15">
      <c r="A7" s="3001" t="s">
        <v>1634</v>
      </c>
      <c r="B7" s="3001"/>
      <c r="C7" s="3001"/>
      <c r="D7" s="3003" t="str">
        <f>结果表!D121</f>
        <v>零元整</v>
      </c>
      <c r="E7" s="3004"/>
      <c r="F7" s="3004"/>
      <c r="G7" s="3004"/>
      <c r="H7" s="3004"/>
      <c r="I7" s="3005"/>
    </row>
    <row r="8" spans="1:9" ht="15.75">
      <c r="A8" s="3000" t="str">
        <f>结果表!A122</f>
        <v/>
      </c>
      <c r="B8" s="3000"/>
      <c r="C8" s="3000"/>
      <c r="D8" s="3000">
        <f ca="1">结果表!D122</f>
        <v>453051</v>
      </c>
      <c r="E8" s="3000"/>
      <c r="F8" s="3000"/>
      <c r="G8" s="3000"/>
      <c r="H8" s="3000"/>
      <c r="I8" s="3000"/>
    </row>
    <row r="9" spans="1:9" ht="15">
      <c r="A9" s="3001" t="s">
        <v>1634</v>
      </c>
      <c r="B9" s="3001"/>
      <c r="C9" s="3001"/>
      <c r="D9" s="3002" t="str">
        <f ca="1">结果表!D123</f>
        <v>肆拾伍亿叁仟零伍拾壹万元整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1634</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1634</v>
      </c>
      <c r="B13" s="2997"/>
      <c r="C13" s="2997"/>
      <c r="D13" s="2998" t="e">
        <f>结果表!D127</f>
        <v>#VALUE!</v>
      </c>
      <c r="E13" s="2998"/>
      <c r="F13" s="2998"/>
      <c r="G13" s="2998"/>
      <c r="H13" s="2998"/>
      <c r="I13" s="2998"/>
    </row>
    <row r="14" spans="1:9" ht="15" thickTop="1">
      <c r="A14" s="2999" t="s">
        <v>1639</v>
      </c>
      <c r="B14" s="2999"/>
      <c r="C14" s="2999"/>
      <c r="D14" s="2999"/>
      <c r="E14" s="2999"/>
      <c r="F14" s="2999"/>
      <c r="G14" s="2999"/>
      <c r="H14" s="2999"/>
      <c r="I14" s="2999"/>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14" t="s">
        <v>1656</v>
      </c>
      <c r="B1" s="3014"/>
      <c r="C1" s="3014"/>
      <c r="D1" s="3014"/>
    </row>
    <row r="2" spans="1:4" ht="18">
      <c r="A2" s="3015" t="s">
        <v>1640</v>
      </c>
      <c r="B2" s="3015"/>
      <c r="C2" s="3015"/>
      <c r="D2" s="3015"/>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15" t="s">
        <v>1646</v>
      </c>
      <c r="B6" s="3015"/>
      <c r="C6" s="3015"/>
      <c r="D6" s="3015"/>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3016" t="s">
        <v>1649</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3"/>
      <c r="C12" s="3013"/>
      <c r="D12" s="3013"/>
    </row>
    <row r="13" spans="1:4" ht="30" customHeight="1">
      <c r="A13" s="3008" t="str">
        <f>IF(项目基本情况!B8="抵押","3.抵押双方在办理抵押登记手续时，应使用本公司出具的正式《房地产评估报告》，特提醒报告使用者注意。","——")</f>
        <v>——</v>
      </c>
      <c r="B13" s="3013"/>
      <c r="C13" s="3013"/>
      <c r="D13" s="3013"/>
    </row>
    <row r="14" spans="1:4" ht="15.75" customHeight="1">
      <c r="A14" s="3008" t="str">
        <f>IF(项目基本情况!B8="抵押","4.本次评估估价师所知悉的法定优先受偿款情况说明如下：","——")</f>
        <v>——</v>
      </c>
      <c r="B14" s="3013"/>
      <c r="C14" s="3013"/>
      <c r="D14" s="3013"/>
    </row>
    <row r="15" spans="1:4" ht="42" customHeight="1">
      <c r="A15" s="3008" t="str">
        <f>IF(项目基本情况!B8="抵押","（1）"&amp;CONCATENATE(项目基本情况!L20,项目基本情况!L21,项目基本情况!L22),"——")</f>
        <v>——</v>
      </c>
      <c r="B15" s="3008"/>
      <c r="C15" s="3008"/>
      <c r="D15" s="3008"/>
    </row>
    <row r="16" spans="1:4" ht="30" customHeight="1">
      <c r="A16" s="3010" t="s">
        <v>1650</v>
      </c>
      <c r="B16" s="3010"/>
      <c r="C16" s="3010"/>
      <c r="D16" s="3010"/>
    </row>
    <row r="17" spans="1:4" ht="144" customHeight="1">
      <c r="A17" s="3010" t="s">
        <v>1651</v>
      </c>
      <c r="B17" s="3010"/>
      <c r="C17" s="3010"/>
      <c r="D17" s="3010"/>
    </row>
    <row r="18" spans="1:4" ht="15.75" customHeight="1">
      <c r="A18" s="3008" t="str">
        <f>IF(项目基本情况!B8="抵押",结果表!K120,"——")</f>
        <v>——</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1652</v>
      </c>
      <c r="B22" s="3012"/>
      <c r="C22" s="3012"/>
      <c r="D22" s="3012"/>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5" sqref="C15"/>
      <selection pane="bottomLeft" activeCell="C15" sqref="C15"/>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22" t="s">
        <v>1663</v>
      </c>
      <c r="B15" s="3017" t="s">
        <v>136</v>
      </c>
      <c r="C15" s="3018"/>
    </row>
    <row r="16" spans="1:7" ht="13.5">
      <c r="A16" s="3023"/>
      <c r="B16" s="3017" t="s">
        <v>69</v>
      </c>
      <c r="C16" s="3018"/>
    </row>
    <row r="17" spans="1:3" ht="13.5">
      <c r="A17" s="3023"/>
      <c r="B17" s="3020" t="s">
        <v>1664</v>
      </c>
      <c r="C17" s="1999" t="s">
        <v>1663</v>
      </c>
    </row>
    <row r="18" spans="1:3" ht="13.5">
      <c r="A18" s="3023"/>
      <c r="B18" s="3020"/>
      <c r="C18" s="1999" t="s">
        <v>1665</v>
      </c>
    </row>
    <row r="19" spans="1:3" ht="13.5">
      <c r="A19" s="3023"/>
      <c r="B19" s="3020"/>
      <c r="C19" s="1999" t="s">
        <v>1666</v>
      </c>
    </row>
    <row r="20" spans="1:3" ht="13.5">
      <c r="A20" s="3024"/>
      <c r="B20" s="3019" t="s">
        <v>1667</v>
      </c>
      <c r="C20" s="3018"/>
    </row>
    <row r="21" spans="1:3" ht="13.5">
      <c r="A21" s="2000" t="s">
        <v>1668</v>
      </c>
      <c r="B21" s="2001"/>
      <c r="C21" s="2002"/>
    </row>
    <row r="22" spans="1:3" ht="13.5">
      <c r="A22" s="3021" t="s">
        <v>1669</v>
      </c>
      <c r="B22" s="3019" t="s">
        <v>1670</v>
      </c>
      <c r="C22" s="3018"/>
    </row>
    <row r="23" spans="1:3" ht="13.5">
      <c r="A23" s="3021"/>
      <c r="B23" s="3019" t="s">
        <v>1671</v>
      </c>
      <c r="C23" s="3018"/>
    </row>
    <row r="24" spans="1:3" ht="13.5">
      <c r="A24" s="3021"/>
      <c r="B24" s="3019" t="s">
        <v>1672</v>
      </c>
      <c r="C24" s="3018"/>
    </row>
    <row r="25" spans="1:3" ht="13.5">
      <c r="A25" s="3021"/>
      <c r="B25" s="3020" t="s">
        <v>1673</v>
      </c>
      <c r="C25" s="1999" t="s">
        <v>1674</v>
      </c>
    </row>
    <row r="26" spans="1:3" ht="13.5">
      <c r="A26" s="3021"/>
      <c r="B26" s="3020"/>
      <c r="C26" s="1999" t="s">
        <v>1675</v>
      </c>
    </row>
    <row r="27" spans="1:3" ht="13.5">
      <c r="A27" s="3021"/>
      <c r="B27" s="3020"/>
      <c r="C27" s="1999" t="s">
        <v>1676</v>
      </c>
    </row>
    <row r="28" spans="1:3" ht="13.5">
      <c r="A28" s="3021"/>
      <c r="B28" s="3020"/>
      <c r="C28" s="1999" t="s">
        <v>1677</v>
      </c>
    </row>
    <row r="29" spans="1:3" ht="13.5">
      <c r="A29" s="3021"/>
      <c r="B29" s="3020"/>
      <c r="C29" s="1999" t="s">
        <v>1678</v>
      </c>
    </row>
    <row r="30" spans="1:3" ht="13.5">
      <c r="A30" s="3021"/>
      <c r="B30" s="3020"/>
      <c r="C30" s="1999" t="s">
        <v>1679</v>
      </c>
    </row>
    <row r="31" spans="1:3" ht="13.5">
      <c r="A31" s="3021"/>
      <c r="B31" s="3020"/>
      <c r="C31" s="1999" t="s">
        <v>1680</v>
      </c>
    </row>
    <row r="32" spans="1:3" ht="13.5">
      <c r="A32" s="3021"/>
      <c r="B32" s="3020"/>
      <c r="C32" s="1999" t="s">
        <v>1681</v>
      </c>
    </row>
    <row r="33" spans="1:3" ht="13.5">
      <c r="A33" s="3021"/>
      <c r="B33" s="3020"/>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44077</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3053</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25" t="s">
        <v>842</v>
      </c>
      <c r="B25" s="3025"/>
      <c r="C25" s="3025"/>
      <c r="D25" s="3025"/>
      <c r="E25" s="3025"/>
      <c r="F25" s="3025"/>
      <c r="G25" s="3025"/>
    </row>
    <row r="26" spans="1:7" s="1025" customFormat="1" ht="24" customHeight="1">
      <c r="A26" s="3026" t="s">
        <v>843</v>
      </c>
      <c r="B26" s="3026"/>
      <c r="C26" s="3027"/>
      <c r="D26" s="3028" t="s">
        <v>844</v>
      </c>
      <c r="E26" s="3026"/>
      <c r="F26" s="3026"/>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金麟府数据</vt:lpstr>
      <vt:lpstr>中国铁建国际公馆</vt:lpstr>
      <vt:lpstr>金麟府分户</vt:lpstr>
      <vt:lpstr>金麟府分户 (80-90)</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2020-09-03T07:16:02Z</dcterms:modified>
</cp:coreProperties>
</file>