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酒店经营收益说明表" sheetId="79" r:id="rId26"/>
    <sheet name="2017损益表" sheetId="80" r:id="rId27"/>
    <sheet name="2018年损益表" sheetId="81" r:id="rId28"/>
    <sheet name="2019年12月损益" sheetId="82" r:id="rId29"/>
    <sheet name="2020年损益" sheetId="83" r:id="rId30"/>
    <sheet name="2021年损益" sheetId="84"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结果表!$A$1:$I$127</definedName>
    <definedName name="_xlnm.Print_Area" localSheetId="25">酒店经营收益说明表!$A$1:$I$22</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1" i="82" l="1"/>
  <c r="F20" i="82"/>
  <c r="F19" i="81"/>
  <c r="F17" i="80"/>
  <c r="N14" i="1"/>
  <c r="D16" i="84"/>
  <c r="D15" i="84"/>
  <c r="D13" i="84"/>
  <c r="D12" i="84"/>
  <c r="C10" i="84"/>
  <c r="C14" i="84" s="1"/>
  <c r="C18" i="84" s="1"/>
  <c r="C20" i="84" s="1"/>
  <c r="D9" i="84"/>
  <c r="D8" i="84"/>
  <c r="D7" i="84"/>
  <c r="D10" i="84" s="1"/>
  <c r="D14" i="84" s="1"/>
  <c r="D18" i="84" s="1"/>
  <c r="D20" i="84" s="1"/>
  <c r="D6" i="84"/>
  <c r="C14" i="83"/>
  <c r="C18" i="83" s="1"/>
  <c r="C20" i="83" s="1"/>
  <c r="C10" i="83"/>
  <c r="C14" i="82"/>
  <c r="C18" i="82" s="1"/>
  <c r="C20" i="82" s="1"/>
  <c r="C10" i="82"/>
  <c r="C36" i="77"/>
  <c r="E14" i="77"/>
  <c r="R5" i="77"/>
  <c r="P12" i="77"/>
  <c r="O13" i="77"/>
  <c r="O12" i="77"/>
  <c r="O10" i="77"/>
  <c r="O9" i="77"/>
  <c r="O8" i="77"/>
  <c r="R16" i="77"/>
  <c r="P10" i="77"/>
  <c r="P9" i="77"/>
  <c r="P8" i="77"/>
  <c r="R7" i="77"/>
  <c r="C6" i="68"/>
  <c r="B5" i="77"/>
  <c r="B4" i="77"/>
  <c r="F19" i="6"/>
  <c r="AN13" i="3"/>
  <c r="AL13" i="3"/>
  <c r="I13" i="3"/>
  <c r="G16" i="78"/>
  <c r="R8" i="77"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M14" i="77"/>
  <c r="N14" i="77" s="1"/>
  <c r="D14" i="77"/>
  <c r="R13" i="77"/>
  <c r="R12" i="77"/>
  <c r="R11" i="77"/>
  <c r="R10" i="77"/>
  <c r="R9"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V9" i="71" l="1"/>
  <c r="U9" i="71"/>
  <c r="T9" i="71"/>
  <c r="S9" i="71"/>
  <c r="U5" i="77" l="1"/>
  <c r="D6" i="77"/>
  <c r="E20" i="43"/>
  <c r="C23" i="77" l="1"/>
  <c r="D16" i="77"/>
  <c r="D10" i="77"/>
  <c r="D9" i="77"/>
  <c r="D18" i="77"/>
  <c r="D17"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56" i="3" s="1"/>
  <c r="BA13" i="3"/>
  <c r="E10" i="6"/>
  <c r="BA5" i="3"/>
  <c r="E27" i="6"/>
  <c r="E11" i="6"/>
  <c r="E60" i="39"/>
  <c r="BL17" i="3"/>
  <c r="AZ17" i="3"/>
  <c r="BL13" i="3"/>
  <c r="E64" i="39"/>
  <c r="G30" i="6"/>
  <c r="G31" i="6" s="1"/>
  <c r="J56" i="9"/>
  <c r="J57" i="9" s="1"/>
  <c r="J59" i="9" s="1"/>
  <c r="J61" i="9" s="1"/>
  <c r="A24" i="51"/>
  <c r="B18" i="72" s="1"/>
  <c r="U29" i="34"/>
  <c r="E14" i="6"/>
  <c r="E63" i="39" s="1"/>
  <c r="E5" i="6"/>
  <c r="D9" i="11" s="1"/>
  <c r="C9" i="11" s="1"/>
  <c r="E32" i="6"/>
  <c r="L19" i="6"/>
  <c r="G1" i="68"/>
  <c r="K1" i="12"/>
  <c r="F30" i="6"/>
  <c r="E28" i="6"/>
  <c r="E57" i="40"/>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72" i="43"/>
  <c r="L20" i="6"/>
  <c r="E61" i="39"/>
  <c r="E56" i="39"/>
  <c r="E51" i="40"/>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2" i="39"/>
  <c r="T11" i="1"/>
  <c r="D9" i="69"/>
  <c r="C9" i="69" s="1"/>
  <c r="D19" i="12"/>
  <c r="C19" i="12" s="1"/>
  <c r="AQ9" i="1"/>
  <c r="AR11" i="1"/>
  <c r="E59" i="40"/>
  <c r="T9"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S24" i="6" s="1"/>
  <c r="K14" i="1"/>
  <c r="M14" i="1" s="1"/>
  <c r="O14" i="1" s="1"/>
  <c r="BL5" i="3"/>
  <c r="E191" i="3"/>
  <c r="E99" i="3"/>
  <c r="E254" i="3"/>
  <c r="E135" i="3"/>
  <c r="E91" i="3"/>
  <c r="E290" i="3"/>
  <c r="E221" i="3"/>
  <c r="E161" i="3"/>
  <c r="E180" i="3"/>
  <c r="E117" i="3"/>
  <c r="K26" i="6"/>
  <c r="M26" i="6" s="1"/>
  <c r="I26" i="6" s="1"/>
  <c r="S26" i="6" s="1"/>
  <c r="K22" i="6"/>
  <c r="M22" i="6" s="1"/>
  <c r="I22" i="6" s="1"/>
  <c r="S22" i="6" s="1"/>
  <c r="K19" i="6"/>
  <c r="S6" i="1"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Q16" i="1"/>
  <c r="F27" i="69" s="1"/>
  <c r="AB45" i="21"/>
  <c r="AC33" i="21"/>
  <c r="W33" i="21"/>
  <c r="S33" i="21"/>
  <c r="AA33" i="21"/>
  <c r="W32" i="21"/>
  <c r="AC32" i="21"/>
  <c r="AB9" i="21"/>
  <c r="U9" i="21"/>
  <c r="AA32" i="21"/>
  <c r="S32" i="21"/>
  <c r="W9" i="21"/>
  <c r="AC9" i="21"/>
  <c r="AB32" i="21"/>
  <c r="U32" i="21"/>
  <c r="AA10" i="21"/>
  <c r="S10" i="21"/>
  <c r="E6" i="70"/>
  <c r="D3" i="34"/>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D3" i="37"/>
  <c r="AC11" i="37"/>
  <c r="W11" i="37"/>
  <c r="W11" i="34"/>
  <c r="AC11" i="34"/>
  <c r="R7" i="1"/>
  <c r="F34" i="11"/>
  <c r="C36" i="11" s="1"/>
  <c r="F11" i="12"/>
  <c r="C23" i="12" s="1"/>
  <c r="F34" i="68"/>
  <c r="R8" i="1"/>
  <c r="E2" i="70"/>
  <c r="AE7" i="1"/>
  <c r="AE8" i="1"/>
  <c r="AE6" i="1"/>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9" i="68"/>
  <c r="F41" i="15"/>
  <c r="E8" i="76"/>
  <c r="E13" i="76"/>
  <c r="M6" i="67"/>
  <c r="F7" i="15"/>
  <c r="F16" i="67"/>
  <c r="F13" i="15"/>
  <c r="AO12" i="1"/>
  <c r="E2" i="68"/>
  <c r="F26" i="15"/>
  <c r="F42" i="67"/>
  <c r="M28" i="67"/>
  <c r="L47" i="67"/>
  <c r="F36" i="67"/>
  <c r="B8" i="76"/>
  <c r="AO8" i="1"/>
  <c r="C76" i="67"/>
  <c r="M6" i="15"/>
  <c r="M28" i="15"/>
  <c r="F43" i="15"/>
  <c r="L48" i="15"/>
  <c r="L48" i="67"/>
  <c r="M29" i="15"/>
  <c r="F20" i="31"/>
  <c r="D2" i="33"/>
  <c r="M24" i="15"/>
  <c r="F37" i="15"/>
  <c r="F6" i="67"/>
  <c r="E2" i="69"/>
  <c r="F7" i="73"/>
  <c r="D2" i="34"/>
  <c r="F8" i="67"/>
  <c r="F38" i="15"/>
  <c r="M24" i="67"/>
  <c r="AO7" i="1"/>
  <c r="F9" i="67"/>
  <c r="B7" i="76"/>
  <c r="F36" i="15"/>
  <c r="F6" i="73"/>
  <c r="D2" i="35"/>
  <c r="AO10" i="1"/>
  <c r="D6" i="73"/>
  <c r="M9" i="67"/>
  <c r="M26" i="15"/>
  <c r="L47" i="15"/>
  <c r="F37" i="67"/>
  <c r="M9" i="15"/>
  <c r="B9" i="76"/>
  <c r="C76" i="15"/>
  <c r="F41" i="67"/>
  <c r="M29" i="67"/>
  <c r="F26" i="67"/>
  <c r="F40" i="15"/>
  <c r="M26" i="67"/>
  <c r="D4" i="73"/>
  <c r="E11" i="76"/>
  <c r="D3" i="73"/>
  <c r="M22" i="67"/>
  <c r="D2" i="21"/>
  <c r="M21" i="67"/>
  <c r="F42" i="15"/>
  <c r="F5" i="73"/>
  <c r="D7" i="73"/>
  <c r="B11" i="76"/>
  <c r="J15" i="15"/>
  <c r="F43" i="67"/>
  <c r="F38" i="67"/>
  <c r="F40" i="67"/>
  <c r="B12" i="76"/>
  <c r="E9" i="76"/>
  <c r="AO11" i="1"/>
  <c r="D5" i="73"/>
  <c r="M8" i="67"/>
  <c r="E10" i="76"/>
  <c r="F35" i="67"/>
  <c r="E7" i="76"/>
  <c r="B10" i="76"/>
  <c r="AO9" i="1"/>
  <c r="M8" i="15"/>
  <c r="M22" i="15"/>
  <c r="AO6" i="1"/>
  <c r="B13" i="76"/>
  <c r="M23" i="67"/>
  <c r="M23" i="15"/>
  <c r="F7" i="67"/>
  <c r="D2" i="37"/>
  <c r="M21" i="15"/>
  <c r="F13" i="67"/>
  <c r="M27" i="67"/>
  <c r="J15" i="67"/>
  <c r="F6" i="15"/>
  <c r="F16" i="15"/>
  <c r="F9" i="15"/>
  <c r="F35" i="15"/>
  <c r="E12" i="76"/>
  <c r="D2" i="36"/>
  <c r="AO13" i="1"/>
  <c r="F4" i="73"/>
  <c r="F3" i="73"/>
  <c r="M27" i="15"/>
  <c r="F8" i="15"/>
  <c r="K5" i="4" l="1"/>
  <c r="B47" i="48" s="1"/>
  <c r="C9" i="68"/>
  <c r="C24" i="12"/>
  <c r="F30" i="11"/>
  <c r="C48" i="11" s="1"/>
  <c r="C21" i="68"/>
  <c r="C19" i="11"/>
  <c r="C20" i="11" s="1"/>
  <c r="D22" i="67"/>
  <c r="AQ6" i="1"/>
  <c r="T6" i="1"/>
  <c r="C34" i="69"/>
  <c r="C35" i="69" s="1"/>
  <c r="H16" i="1"/>
  <c r="F28" i="12"/>
  <c r="K20" i="6"/>
  <c r="M20" i="6" s="1"/>
  <c r="I20" i="6" s="1"/>
  <c r="S20" i="6" s="1"/>
  <c r="F31" i="6"/>
  <c r="E16" i="6"/>
  <c r="E89" i="3"/>
  <c r="E157" i="3"/>
  <c r="E122" i="3"/>
  <c r="E181" i="3"/>
  <c r="E269" i="3"/>
  <c r="E228" i="3"/>
  <c r="E148" i="3"/>
  <c r="E188" i="3"/>
  <c r="E23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AY6" i="3"/>
  <c r="AY83" i="3" s="1"/>
  <c r="C92" i="9"/>
  <c r="C94" i="9"/>
  <c r="F30" i="69"/>
  <c r="F48" i="69" s="1"/>
  <c r="D68" i="9"/>
  <c r="M18" i="15"/>
  <c r="F52" i="9"/>
  <c r="F32" i="15"/>
  <c r="F60" i="15" s="1"/>
  <c r="F32" i="67"/>
  <c r="F60" i="67" s="1"/>
  <c r="F28" i="67"/>
  <c r="C28" i="67" s="1"/>
  <c r="F48" i="9"/>
  <c r="O52" i="9" s="1"/>
  <c r="C30" i="69"/>
  <c r="C30" i="11"/>
  <c r="F54" i="9"/>
  <c r="F28" i="15"/>
  <c r="C28" i="15" s="1"/>
  <c r="C48" i="69"/>
  <c r="M18" i="67"/>
  <c r="F31" i="12"/>
  <c r="C31" i="12" s="1"/>
  <c r="F30" i="68"/>
  <c r="S25" i="6"/>
  <c r="S23" i="6"/>
  <c r="S16" i="1"/>
  <c r="F27" i="11"/>
  <c r="M16" i="1"/>
  <c r="P7" i="1"/>
  <c r="AR7" i="1"/>
  <c r="AR6" i="1"/>
  <c r="E65" i="39"/>
  <c r="M19" i="6"/>
  <c r="D3" i="21"/>
  <c r="E6" i="6"/>
  <c r="D37" i="11"/>
  <c r="C37" i="11" s="1"/>
  <c r="D14" i="12"/>
  <c r="D17" i="12" s="1"/>
  <c r="C17" i="12" s="1"/>
  <c r="M18" i="9"/>
  <c r="B118" i="9" s="1"/>
  <c r="B14" i="74" s="1"/>
  <c r="B1" i="74" s="1"/>
  <c r="C7" i="74" s="1"/>
  <c r="D3" i="33"/>
  <c r="C17" i="4"/>
  <c r="L18" i="9"/>
  <c r="AY87" i="3"/>
  <c r="AY51" i="3"/>
  <c r="AY34" i="3"/>
  <c r="AY207" i="3"/>
  <c r="AY144" i="3"/>
  <c r="AY124" i="3"/>
  <c r="AY95" i="3"/>
  <c r="AY42" i="3"/>
  <c r="AY152" i="3"/>
  <c r="AY281" i="3"/>
  <c r="AY111" i="3"/>
  <c r="AY168" i="3"/>
  <c r="AY253" i="3"/>
  <c r="AY236" i="3"/>
  <c r="AY382" i="3"/>
  <c r="AY366" i="3"/>
  <c r="AY303" i="3"/>
  <c r="AY473" i="3"/>
  <c r="AY460" i="3"/>
  <c r="AY441" i="3"/>
  <c r="AY529" i="3"/>
  <c r="AY26" i="3"/>
  <c r="AY103" i="3"/>
  <c r="AY50" i="3"/>
  <c r="AY160" i="3"/>
  <c r="AY289" i="3"/>
  <c r="AY183" i="3"/>
  <c r="AY261" i="3"/>
  <c r="AY284" i="3"/>
  <c r="AY209" i="3"/>
  <c r="AY319" i="3"/>
  <c r="AY455" i="3"/>
  <c r="AY497"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O11" i="1"/>
  <c r="P11" i="1" s="1"/>
  <c r="O12" i="1"/>
  <c r="P12" i="1" s="1"/>
  <c r="O8" i="1"/>
  <c r="P8" i="1" s="1"/>
  <c r="P14" i="1"/>
  <c r="K15" i="1"/>
  <c r="K16" i="1" s="1"/>
  <c r="E30" i="6"/>
  <c r="E31" i="6" s="1"/>
  <c r="O9" i="1"/>
  <c r="P9" i="1" s="1"/>
  <c r="T7" i="1"/>
  <c r="K21" i="6"/>
  <c r="M21" i="6" s="1"/>
  <c r="I21" i="6"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49" i="43"/>
  <c r="H48" i="43"/>
  <c r="H54" i="43"/>
  <c r="H56"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36" i="68"/>
  <c r="C34" i="68"/>
  <c r="F27" i="68"/>
  <c r="C14" i="15"/>
  <c r="C17" i="67"/>
  <c r="C17" i="15"/>
  <c r="C16" i="15"/>
  <c r="C14" i="67"/>
  <c r="C16" i="67"/>
  <c r="G1" i="73"/>
  <c r="F45" i="68" l="1"/>
  <c r="C29" i="12"/>
  <c r="D28" i="12" s="1"/>
  <c r="C29" i="68"/>
  <c r="D27" i="68" s="1"/>
  <c r="C38" i="69"/>
  <c r="K27" i="6"/>
  <c r="C18" i="15"/>
  <c r="C15" i="15"/>
  <c r="T16" i="1"/>
  <c r="D22" i="4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43" i="3"/>
  <c r="AY412" i="3"/>
  <c r="AY489" i="3"/>
  <c r="AY363" i="3"/>
  <c r="AY252" i="3"/>
  <c r="AY204" i="3"/>
  <c r="AY123" i="3"/>
  <c r="AY74" i="3"/>
  <c r="AY139" i="3"/>
  <c r="AY196" i="3"/>
  <c r="AY67" i="3"/>
  <c r="AY180" i="3"/>
  <c r="AY106" i="3"/>
  <c r="AY409" i="3"/>
  <c r="AY428" i="3"/>
  <c r="AY470" i="3"/>
  <c r="AY318" i="3"/>
  <c r="AY335" i="3"/>
  <c r="AY371" i="3"/>
  <c r="AY225" i="3"/>
  <c r="AY268" i="3"/>
  <c r="AY297" i="3"/>
  <c r="AY58" i="3"/>
  <c r="AY276" i="3"/>
  <c r="AY131" i="3"/>
  <c r="AY188" i="3"/>
  <c r="AY59" i="3"/>
  <c r="AY115" i="3"/>
  <c r="AY155" i="3"/>
  <c r="AY176" i="3"/>
  <c r="AY23" i="3"/>
  <c r="AY66" i="3"/>
  <c r="H6" i="3"/>
  <c r="AY82" i="3"/>
  <c r="AY191" i="3"/>
  <c r="AY132" i="3"/>
  <c r="AY31" i="3"/>
  <c r="AY292" i="3"/>
  <c r="AY147" i="3"/>
  <c r="AY220" i="3"/>
  <c r="AY350" i="3"/>
  <c r="AY486" i="3"/>
  <c r="AY425" i="3"/>
  <c r="AY199"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37" i="3"/>
  <c r="AY129" i="3"/>
  <c r="AY287" i="3"/>
  <c r="AY98" i="3"/>
  <c r="AY18" i="3"/>
  <c r="AY171" i="3"/>
  <c r="AY90" i="3"/>
  <c r="AY163" i="3"/>
  <c r="AY75" i="3"/>
  <c r="AY237" i="3"/>
  <c r="AY387" i="3"/>
  <c r="AY334" i="3"/>
  <c r="AY444" i="3"/>
  <c r="AY526" i="3"/>
  <c r="AY300" i="3"/>
  <c r="AY260" i="3"/>
  <c r="AY217" i="3"/>
  <c r="AY372" i="3"/>
  <c r="AY327" i="3"/>
  <c r="AY310"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C14" i="12"/>
  <c r="F48" i="68"/>
  <c r="C30" i="68"/>
  <c r="C48" i="68"/>
  <c r="C47" i="68"/>
  <c r="D45" i="68" s="1"/>
  <c r="C35" i="68"/>
  <c r="C38" i="68"/>
  <c r="C28" i="11"/>
  <c r="C27" i="11" s="1"/>
  <c r="C47" i="11"/>
  <c r="D45" i="11" s="1"/>
  <c r="C29" i="11"/>
  <c r="D27" i="11" s="1"/>
  <c r="N16" i="1"/>
  <c r="L16" i="1"/>
  <c r="C34" i="11"/>
  <c r="O16" i="1"/>
  <c r="D10" i="69"/>
  <c r="D10" i="11"/>
  <c r="C10" i="11" s="1"/>
  <c r="D20" i="12"/>
  <c r="C20" i="12" s="1"/>
  <c r="D6" i="6"/>
  <c r="M27" i="6"/>
  <c r="I19" i="6"/>
  <c r="S21" i="6"/>
  <c r="H21" i="6"/>
  <c r="P16" i="1"/>
  <c r="C11" i="12" s="1"/>
  <c r="B4" i="52"/>
  <c r="B43" i="72" s="1"/>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D10" i="68"/>
  <c r="C19" i="15" l="1"/>
  <c r="U10" i="39"/>
  <c r="H20" i="6"/>
  <c r="M19" i="9"/>
  <c r="C118" i="9" s="1"/>
  <c r="C14" i="74" s="1"/>
  <c r="B2" i="74" s="1"/>
  <c r="D7" i="74" s="1"/>
  <c r="D25" i="6"/>
  <c r="D15" i="6"/>
  <c r="D22" i="6"/>
  <c r="D21" i="6"/>
  <c r="R21" i="6" s="1"/>
  <c r="D24" i="6"/>
  <c r="D20" i="6"/>
  <c r="D5" i="6"/>
  <c r="D9" i="6"/>
  <c r="D10" i="6"/>
  <c r="L19" i="9"/>
  <c r="D29" i="6"/>
  <c r="H24" i="6"/>
  <c r="D19" i="6"/>
  <c r="D26" i="6"/>
  <c r="C18" i="4"/>
  <c r="D8" i="6"/>
  <c r="D23" i="6"/>
  <c r="D14" i="6"/>
  <c r="D12" i="6"/>
  <c r="D11" i="6"/>
  <c r="D13" i="6"/>
  <c r="D28" i="6"/>
  <c r="E61" i="40"/>
  <c r="H22" i="6"/>
  <c r="H25" i="6"/>
  <c r="H23" i="6"/>
  <c r="H26" i="6"/>
  <c r="E6" i="3"/>
  <c r="AC10" i="40"/>
  <c r="AC10" i="39"/>
  <c r="C38" i="11"/>
  <c r="C35" i="11"/>
  <c r="F50" i="69"/>
  <c r="F50" i="11"/>
  <c r="F50" i="68"/>
  <c r="S10" i="40"/>
  <c r="AB10" i="40"/>
  <c r="S19" i="6"/>
  <c r="S27" i="6" s="1"/>
  <c r="I27" i="6"/>
  <c r="H19" i="6"/>
  <c r="C10" i="68"/>
  <c r="B29" i="1" s="1"/>
  <c r="C8" i="68" s="1"/>
  <c r="C5" i="68" s="1"/>
  <c r="D19" i="68"/>
  <c r="C15" i="12"/>
  <c r="C12" i="12"/>
  <c r="C10" i="69"/>
  <c r="C8" i="69" s="1"/>
  <c r="C5" i="69" s="1"/>
  <c r="D19" i="69"/>
  <c r="S7" i="43"/>
  <c r="T7" i="43" s="1"/>
  <c r="V7" i="43" s="1"/>
  <c r="C23" i="43"/>
  <c r="C21" i="43" s="1"/>
  <c r="C29" i="43" s="1"/>
  <c r="C30" i="43" s="1"/>
  <c r="E30" i="43" s="1"/>
  <c r="S5" i="43"/>
  <c r="T5" i="43" s="1"/>
  <c r="V5" i="43" s="1"/>
  <c r="S4" i="43"/>
  <c r="T4" i="43" s="1"/>
  <c r="V4" i="43" s="1"/>
  <c r="S3" i="43"/>
  <c r="T3" i="43" s="1"/>
  <c r="V3" i="43" s="1"/>
  <c r="S2" i="43"/>
  <c r="T2" i="43" s="1"/>
  <c r="V2" i="43" s="1"/>
  <c r="S6" i="43"/>
  <c r="T6" i="43" s="1"/>
  <c r="V6" i="43" s="1"/>
  <c r="C115" i="43"/>
  <c r="D11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C18" i="12" l="1"/>
  <c r="E29" i="43"/>
  <c r="R26" i="6"/>
  <c r="R23" i="6"/>
  <c r="R24" i="6"/>
  <c r="R22" i="6"/>
  <c r="D30" i="6"/>
  <c r="D16" i="6"/>
  <c r="R20" i="6"/>
  <c r="C4" i="52"/>
  <c r="B45" i="72" s="1"/>
  <c r="A7" i="51"/>
  <c r="B7" i="72" s="1"/>
  <c r="A10" i="51"/>
  <c r="B9" i="72" s="1"/>
  <c r="D27" i="6"/>
  <c r="R25" i="6"/>
  <c r="C16" i="12"/>
  <c r="C33" i="11"/>
  <c r="C39" i="11" s="1"/>
  <c r="C46" i="11" s="1"/>
  <c r="C45" i="11" s="1"/>
  <c r="C19" i="69"/>
  <c r="C20" i="69" s="1"/>
  <c r="D37" i="69"/>
  <c r="C37" i="69" s="1"/>
  <c r="C33" i="69" s="1"/>
  <c r="C42" i="69" s="1"/>
  <c r="C19" i="68"/>
  <c r="D37" i="68"/>
  <c r="C37" i="68" s="1"/>
  <c r="C33" i="68" s="1"/>
  <c r="C39" i="68" s="1"/>
  <c r="C46" i="68" s="1"/>
  <c r="C45" i="68" s="1"/>
  <c r="H27" i="6"/>
  <c r="R19"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4" i="68"/>
  <c r="D41" i="68" s="1"/>
  <c r="C23" i="68"/>
  <c r="C26" i="68"/>
  <c r="D22" i="68" s="1"/>
  <c r="C24" i="68"/>
  <c r="C26" i="12"/>
  <c r="D25" i="12" s="1"/>
  <c r="C44" i="11"/>
  <c r="D41" i="11" s="1"/>
  <c r="C23" i="11"/>
  <c r="C24" i="11"/>
  <c r="C43" i="11"/>
  <c r="C25" i="11"/>
  <c r="C26" i="11"/>
  <c r="D22" i="11" s="1"/>
  <c r="C38" i="67"/>
  <c r="C38" i="15"/>
  <c r="C66" i="67"/>
  <c r="C60" i="67"/>
  <c r="C23" i="67"/>
  <c r="C29" i="67" s="1"/>
  <c r="E6" i="76"/>
  <c r="B6" i="76"/>
  <c r="C21" i="12" l="1"/>
  <c r="R27" i="6"/>
  <c r="R6" i="1"/>
  <c r="R16" i="1" s="1"/>
  <c r="D31" i="6"/>
  <c r="C42" i="11"/>
  <c r="C41" i="11" s="1"/>
  <c r="C49" i="11" s="1"/>
  <c r="C51" i="11" s="1"/>
  <c r="C28" i="69"/>
  <c r="C27" i="69" s="1"/>
  <c r="C25" i="69"/>
  <c r="C22" i="69" s="1"/>
  <c r="C42" i="68"/>
  <c r="C22" i="12"/>
  <c r="C27" i="12" s="1"/>
  <c r="C25" i="12" s="1"/>
  <c r="C43" i="68"/>
  <c r="C20" i="68"/>
  <c r="C25" i="68" s="1"/>
  <c r="C22" i="68" s="1"/>
  <c r="C39" i="69"/>
  <c r="C43" i="69" s="1"/>
  <c r="C41"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41" i="68" l="1"/>
  <c r="C49" i="68" s="1"/>
  <c r="C31" i="69"/>
  <c r="I5" i="6"/>
  <c r="I6" i="6"/>
  <c r="C30" i="12"/>
  <c r="C28" i="12" s="1"/>
  <c r="C32" i="12" s="1"/>
  <c r="B2" i="12" s="1"/>
  <c r="B3" i="12" s="1"/>
  <c r="C46" i="69"/>
  <c r="C45" i="69" s="1"/>
  <c r="C49" i="69" s="1"/>
  <c r="C51" i="69" s="1"/>
  <c r="C28" i="68"/>
  <c r="C27" i="68" s="1"/>
  <c r="C31" i="68"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C56" i="67"/>
  <c r="C65" i="67" s="1"/>
  <c r="C75" i="67"/>
  <c r="Q70" i="67"/>
  <c r="C37" i="67"/>
  <c r="C30" i="67" s="1"/>
  <c r="C39" i="67" s="1"/>
  <c r="C56" i="15"/>
  <c r="C65" i="15" s="1"/>
  <c r="Q70" i="15"/>
  <c r="C37" i="15"/>
  <c r="C30" i="15" s="1"/>
  <c r="C39" i="15" s="1"/>
  <c r="C75" i="15"/>
  <c r="J22" i="15"/>
  <c r="J13" i="15"/>
  <c r="J23" i="15" s="1"/>
  <c r="L51" i="15"/>
  <c r="L51" i="67"/>
  <c r="C51" i="68" l="1"/>
  <c r="C52" i="68" s="1"/>
  <c r="B2" i="68" s="1"/>
  <c r="D13" i="77"/>
  <c r="D12" i="77" s="1"/>
  <c r="D11" i="77" s="1"/>
  <c r="C52" i="69"/>
  <c r="B2" i="69" s="1"/>
  <c r="B3"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B3" i="68"/>
  <c r="C19" i="9"/>
  <c r="C20" i="9"/>
  <c r="C57" i="68" l="1"/>
  <c r="C102" i="9"/>
  <c r="C21" i="9"/>
  <c r="C103" i="9"/>
  <c r="E11" i="77"/>
  <c r="E7" i="77" s="1"/>
  <c r="C27" i="77" s="1"/>
  <c r="D7" i="77"/>
  <c r="C26" i="77" s="1"/>
  <c r="C32" i="77" s="1"/>
  <c r="E35" i="77"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B3"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D35" i="9"/>
  <c r="C38" i="77" l="1"/>
  <c r="C39" i="77" s="1"/>
  <c r="C40" i="77" s="1"/>
  <c r="C41" i="77" s="1"/>
  <c r="E38" i="77"/>
  <c r="E39" i="77" s="1"/>
  <c r="C56"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34" i="9"/>
  <c r="B2" i="77" l="1"/>
  <c r="M69" i="39"/>
  <c r="N67" i="39"/>
  <c r="R39" i="35"/>
  <c r="E38" i="35"/>
  <c r="M63" i="40"/>
  <c r="L65" i="40"/>
  <c r="D19" i="9"/>
  <c r="D21" i="9" l="1"/>
  <c r="G19" i="9"/>
  <c r="G21" i="9" s="1"/>
  <c r="D102" i="9"/>
  <c r="D22" i="9"/>
  <c r="B3" i="77"/>
  <c r="O67" i="39"/>
  <c r="O69" i="39" s="1"/>
  <c r="N69" i="39"/>
  <c r="F7" i="39"/>
  <c r="C39" i="35"/>
  <c r="B2" i="35" s="1"/>
  <c r="B3" i="35" s="1"/>
  <c r="C38" i="35"/>
  <c r="N63" i="40"/>
  <c r="M65" i="40"/>
  <c r="E43" i="35"/>
  <c r="F43" i="35" s="1"/>
  <c r="E42" i="35"/>
  <c r="F42" i="35" s="1"/>
  <c r="I43" i="35"/>
  <c r="J43" i="35" s="1"/>
  <c r="D20" i="9"/>
  <c r="D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D119" i="9" l="1"/>
  <c r="D5" i="52" s="1"/>
  <c r="B49" i="72" s="1"/>
  <c r="H4" i="52"/>
  <c r="H119" i="9"/>
  <c r="H5" i="52" s="1"/>
  <c r="C104" i="9"/>
  <c r="D14" i="74"/>
  <c r="H101" i="9"/>
  <c r="I118" i="9"/>
  <c r="F119" i="9"/>
  <c r="F5" i="52" s="1"/>
  <c r="B53" i="72" s="1"/>
  <c r="F4" i="52"/>
  <c r="B51" i="72" s="1"/>
  <c r="C105" i="9" l="1"/>
  <c r="I4" i="52"/>
  <c r="H102" i="9"/>
  <c r="D7" i="53" s="1"/>
  <c r="B21" i="72" s="1"/>
  <c r="E118" i="9"/>
  <c r="E4" i="52" s="1"/>
  <c r="B48" i="72" s="1"/>
  <c r="F14" i="74"/>
  <c r="B5" i="74"/>
  <c r="E14" i="74"/>
  <c r="M48" i="9"/>
  <c r="D5" i="53"/>
  <c r="D45" i="9"/>
  <c r="H107" i="9"/>
  <c r="D13" i="53" l="1"/>
  <c r="D122" i="9"/>
  <c r="M49" i="9"/>
  <c r="H108" i="9"/>
  <c r="D15" i="53" s="1"/>
  <c r="B31" i="72" s="1"/>
  <c r="D6" i="53"/>
  <c r="B22" i="72" s="1"/>
  <c r="B20" i="72"/>
  <c r="D53" i="9"/>
  <c r="C78" i="9"/>
  <c r="C73" i="9" s="1"/>
  <c r="D52" i="9"/>
  <c r="C93" i="9"/>
  <c r="C86" i="9" s="1"/>
  <c r="D55" i="9"/>
  <c r="M53" i="9" s="1"/>
  <c r="C85" i="9"/>
  <c r="C95" i="9" s="1"/>
  <c r="C72" i="9"/>
  <c r="C64" i="9"/>
  <c r="C63" i="9" s="1"/>
  <c r="C67" i="9" s="1"/>
  <c r="C5" i="74"/>
  <c r="D5" i="74"/>
  <c r="C79" i="9" l="1"/>
  <c r="D59" i="9"/>
  <c r="M55" i="9" s="1"/>
  <c r="C68" i="9"/>
  <c r="D54" i="9" s="1"/>
  <c r="C96" i="9"/>
  <c r="E96" i="9" s="1"/>
  <c r="E97" i="9" s="1"/>
  <c r="D8" i="52"/>
  <c r="D123" i="9"/>
  <c r="D9" i="52" s="1"/>
  <c r="G14" i="74"/>
  <c r="B6" i="74" s="1"/>
  <c r="C80" i="9"/>
  <c r="E80" i="9" s="1"/>
  <c r="E81" i="9" s="1"/>
  <c r="L68" i="9"/>
  <c r="M68" i="9" s="1"/>
  <c r="L64" i="9"/>
  <c r="M64" i="9" s="1"/>
  <c r="L66" i="9"/>
  <c r="M66" i="9" s="1"/>
  <c r="L65" i="9"/>
  <c r="M65" i="9" s="1"/>
  <c r="L67" i="9"/>
  <c r="M67" i="9" s="1"/>
  <c r="L63" i="9"/>
  <c r="M63" i="9" s="1"/>
  <c r="B30" i="72"/>
  <c r="D14" i="53"/>
  <c r="B32" i="72" s="1"/>
  <c r="C97" i="9" l="1"/>
  <c r="D58" i="9" s="1"/>
  <c r="D56" i="9" s="1"/>
  <c r="M54" i="9" s="1"/>
  <c r="N57" i="9" s="1"/>
  <c r="N58" i="9" s="1"/>
  <c r="M69" i="9"/>
  <c r="N69" i="9" s="1"/>
  <c r="C6" i="74"/>
  <c r="D6" i="74"/>
  <c r="C81" i="9"/>
  <c r="N59" i="9" l="1"/>
  <c r="H111" i="9" s="1"/>
  <c r="P57" i="9"/>
  <c r="N61" i="9" l="1"/>
  <c r="H112" i="9" s="1"/>
  <c r="D21" i="53" s="1"/>
  <c r="B39" i="72" s="1"/>
  <c r="N60" i="9"/>
  <c r="D126" i="9"/>
  <c r="D19" i="53"/>
  <c r="D127" i="9" l="1"/>
  <c r="D13" i="52" s="1"/>
  <c r="D12" i="52"/>
  <c r="I14" i="74"/>
  <c r="B8" i="74"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<sst xmlns="http://schemas.openxmlformats.org/spreadsheetml/2006/main" count="7679" uniqueCount="3273">
  <si>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</si>
  <si>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</si>
  <si>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</si>
  <si>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</si>
  <si>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</si>
  <si>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</si>
  <si>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</si>
  <si>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</si>
  <si>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</si>
  <si>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</si>
  <si>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</si>
  <si>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</si>
  <si>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</si>
  <si>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</si>
  <si>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</si>
  <si>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</si>
  <si>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</si>
  <si>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</si>
  <si>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</si>
  <si>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</si>
  <si>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</si>
  <si>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</si>
  <si>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</si>
  <si>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</si>
  <si>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</si>
  <si>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</si>
  <si>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</si>
  <si>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</si>
  <si>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</si>
  <si>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</si>
  <si>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</si>
  <si>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</si>
  <si>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</si>
  <si>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</si>
  <si>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</si>
  <si>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</si>
  <si>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</si>
  <si>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</si>
  <si>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</si>
  <si>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</si>
  <si>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</si>
  <si>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</si>
  <si>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</si>
  <si>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</si>
  <si>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</si>
  <si>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</si>
  <si>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</si>
  <si>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</si>
  <si>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</si>
  <si>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</si>
  <si>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</si>
  <si>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</si>
  <si>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</si>
  <si>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</si>
  <si>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</si>
  <si>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</si>
  <si>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</si>
  <si>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</si>
  <si>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</si>
  <si>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</si>
  <si>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</si>
  <si>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</si>
  <si>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</si>
  <si>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</si>
  <si>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</si>
  <si>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</si>
  <si>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</si>
  <si>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</si>
  <si>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</si>
  <si>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</si>
  <si>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</si>
  <si>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</si>
  <si>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</si>
  <si>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</si>
  <si>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</si>
  <si>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</si>
  <si>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</si>
  <si>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</si>
  <si>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</si>
  <si>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</si>
  <si>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</si>
  <si>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</si>
  <si>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</si>
  <si>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</si>
  <si>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</si>
  <si>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</si>
  <si>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</si>
  <si>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</si>
  <si>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</si>
  <si>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</si>
  <si>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</si>
  <si>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</si>
  <si>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</si>
  <si>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</si>
  <si>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</si>
  <si>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</si>
  <si>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</si>
  <si>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</si>
  <si>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</si>
  <si>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</si>
  <si>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</si>
  <si>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</si>
  <si>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</si>
  <si>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</si>
  <si>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</si>
  <si>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</si>
  <si>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</si>
  <si>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</si>
  <si>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</si>
  <si>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</si>
  <si>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</si>
  <si>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</si>
  <si>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</si>
  <si>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</si>
  <si>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</si>
  <si>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</si>
  <si>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</si>
  <si>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</si>
  <si>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</si>
  <si>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</si>
  <si>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</si>
  <si>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</si>
  <si>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</si>
  <si>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</si>
  <si>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</si>
  <si>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</si>
  <si>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</si>
  <si>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</si>
  <si>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</si>
  <si>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</si>
  <si>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</si>
  <si>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</si>
  <si>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</si>
  <si>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</si>
  <si>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</si>
  <si>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</si>
  <si>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</si>
  <si>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</si>
  <si>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</si>
  <si>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</si>
  <si>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</si>
  <si>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</si>
  <si>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</si>
  <si>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</si>
  <si>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</si>
  <si>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</si>
  <si>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</si>
  <si>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</si>
  <si>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</si>
  <si>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</si>
  <si>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</si>
  <si>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</si>
  <si>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</si>
  <si>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</si>
  <si>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</si>
  <si>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</si>
  <si>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</si>
  <si>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</si>
  <si>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</si>
  <si>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</si>
  <si>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</si>
  <si>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</si>
  <si>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</si>
  <si>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</si>
  <si>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</si>
  <si>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</si>
  <si>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</si>
  <si>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</si>
  <si>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</si>
  <si>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</si>
  <si>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</si>
  <si>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</si>
  <si>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</si>
  <si>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</si>
  <si>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</si>
  <si>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</si>
  <si>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</si>
  <si>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</si>
  <si>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</si>
  <si>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</si>
  <si>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</si>
  <si>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</si>
  <si>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</si>
  <si>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</si>
  <si>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</si>
  <si>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</si>
  <si>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</si>
  <si>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</si>
  <si>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</si>
  <si>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</si>
  <si>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</si>
  <si>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</si>
  <si>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</si>
  <si>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</si>
  <si>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</si>
  <si>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</si>
  <si>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</si>
  <si>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</si>
  <si>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</si>
  <si>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</si>
  <si>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</si>
  <si>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</si>
  <si>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</si>
  <si>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</si>
  <si>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</si>
  <si>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</si>
  <si>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</si>
  <si>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</si>
  <si>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</si>
  <si>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</si>
  <si>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</si>
  <si>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</si>
  <si>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</si>
  <si>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</si>
  <si>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</si>
  <si>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</si>
  <si>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</si>
  <si>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</si>
  <si>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</si>
  <si>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</si>
  <si>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</si>
  <si>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</si>
  <si>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</si>
  <si>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</si>
  <si>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</si>
  <si>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</si>
  <si>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</si>
  <si>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</si>
  <si>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</si>
  <si>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</si>
  <si>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</si>
  <si>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</si>
  <si>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</si>
  <si>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</si>
  <si>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</si>
  <si>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</si>
  <si>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</si>
  <si>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</si>
  <si>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</si>
  <si>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</si>
  <si>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</si>
  <si>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</si>
  <si>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</si>
  <si>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</si>
  <si>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</si>
  <si>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</si>
  <si>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</si>
  <si>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</si>
  <si>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</si>
  <si>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</si>
  <si>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</si>
  <si>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</si>
  <si>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</si>
  <si>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</si>
  <si>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</si>
  <si>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</si>
  <si>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</si>
  <si>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</si>
  <si>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</si>
  <si>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</si>
  <si>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</si>
  <si>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</si>
  <si>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</si>
  <si>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</si>
  <si>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</si>
  <si>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</si>
  <si>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</si>
  <si>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</si>
  <si>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</si>
  <si>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</si>
  <si>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</si>
  <si>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</si>
  <si>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</si>
  <si>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</si>
  <si>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</si>
  <si>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</si>
  <si>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</si>
  <si>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</si>
  <si>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</si>
  <si>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</si>
  <si>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</si>
  <si>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</si>
  <si>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</si>
  <si>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</si>
  <si>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</si>
  <si>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</si>
  <si>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</si>
  <si>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</si>
  <si>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</si>
  <si>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</si>
  <si>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</si>
  <si>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</si>
  <si>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</si>
  <si>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</si>
  <si>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</si>
  <si>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</si>
  <si>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</si>
  <si>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</si>
  <si>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</si>
  <si>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</si>
  <si>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</si>
  <si>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</si>
  <si>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</si>
  <si>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</si>
  <si>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</si>
  <si>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</si>
  <si>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</si>
  <si>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</si>
  <si>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</si>
  <si>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</si>
  <si>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</si>
  <si>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</si>
  <si>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</si>
  <si>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</si>
  <si>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</si>
  <si>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</si>
  <si>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</si>
  <si>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</si>
  <si>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</si>
  <si>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</si>
  <si>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</si>
  <si>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</si>
  <si>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</si>
  <si>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</si>
  <si>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</si>
  <si>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</si>
  <si>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</si>
  <si>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</si>
  <si>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</si>
  <si>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</si>
  <si>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</si>
  <si>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</si>
  <si>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</si>
  <si>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</si>
  <si>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</si>
  <si>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</si>
  <si>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</si>
  <si>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</si>
  <si>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</si>
  <si>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</si>
  <si>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</si>
  <si>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</si>
  <si>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</si>
  <si>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</si>
  <si>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</si>
  <si>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</si>
  <si>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</si>
  <si>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</si>
  <si>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</si>
  <si>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</si>
  <si>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</si>
  <si>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</si>
  <si>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</si>
  <si>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</si>
  <si>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</si>
  <si>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</si>
  <si>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</si>
  <si>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</si>
  <si>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</si>
  <si>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</si>
  <si>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</si>
  <si>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</si>
  <si>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</si>
  <si>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</si>
  <si>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</si>
  <si>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</si>
  <si>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</si>
  <si>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</si>
  <si>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</si>
  <si>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</si>
  <si>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</si>
  <si>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</si>
  <si>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</si>
  <si>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</si>
  <si>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</si>
  <si>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</si>
  <si>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</si>
  <si>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</si>
  <si>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</si>
  <si>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</si>
  <si>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</si>
  <si>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</si>
  <si>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</si>
  <si>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</si>
  <si>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</si>
  <si>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</si>
  <si>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</si>
  <si>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</si>
  <si>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</si>
  <si>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</si>
  <si>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</si>
  <si>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</si>
  <si>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</si>
  <si>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</si>
  <si>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</si>
  <si>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</si>
  <si>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</si>
  <si>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</si>
  <si>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</si>
  <si>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</si>
  <si>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</si>
  <si>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</si>
  <si>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</si>
  <si>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</si>
  <si>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</si>
  <si>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</si>
  <si>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</si>
  <si>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</si>
  <si>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</si>
  <si>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</si>
  <si>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</si>
  <si>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</si>
  <si>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</si>
  <si>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</si>
  <si>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</si>
  <si>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</si>
  <si>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</si>
  <si>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</si>
  <si>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</si>
  <si>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</si>
  <si>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</si>
  <si>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</si>
  <si>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</si>
  <si>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</si>
  <si>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</si>
  <si>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</si>
  <si>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</si>
  <si>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</si>
  <si>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</si>
  <si>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</si>
  <si>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</si>
  <si>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</si>
  <si>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</si>
  <si>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</si>
  <si>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</si>
  <si>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</si>
  <si>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</si>
  <si>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</si>
  <si>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</si>
  <si>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</si>
  <si>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</si>
  <si>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</si>
  <si>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</si>
  <si>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</si>
  <si>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</si>
  <si>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</si>
  <si>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</si>
  <si>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</si>
  <si>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</si>
  <si>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</si>
  <si>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</si>
  <si>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</si>
  <si>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</si>
  <si>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</si>
  <si>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</si>
  <si>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</si>
  <si>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</si>
  <si>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</si>
  <si>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</si>
  <si>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</si>
  <si>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</si>
  <si>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</si>
  <si>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</si>
  <si>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</si>
  <si>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</si>
  <si>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</si>
  <si>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</si>
  <si>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</si>
  <si>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</si>
  <si>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</si>
  <si>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</si>
  <si>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</si>
  <si>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</si>
  <si>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</si>
  <si>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</si>
  <si>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</si>
  <si>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</si>
  <si>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</si>
  <si>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</si>
  <si>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</si>
  <si>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</si>
  <si>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</si>
  <si>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</si>
  <si>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</si>
  <si>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</si>
  <si>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</si>
  <si>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</si>
  <si>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</si>
  <si>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</si>
  <si>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</si>
  <si>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</si>
  <si>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</si>
  <si>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</si>
  <si>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</si>
  <si>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</si>
  <si>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</si>
  <si>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</si>
  <si>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</si>
  <si>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</si>
  <si>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</si>
  <si>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</si>
  <si>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</si>
  <si>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</si>
  <si>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</si>
  <si>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</si>
  <si>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</si>
  <si>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</si>
  <si>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</si>
  <si>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</si>
  <si>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</si>
  <si>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</si>
  <si>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</si>
  <si>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</si>
  <si>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</si>
  <si>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</si>
  <si>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</si>
  <si>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</si>
  <si>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</si>
  <si>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</si>
  <si>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</si>
  <si>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</si>
  <si>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</si>
  <si>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</si>
  <si>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</si>
  <si>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</si>
  <si>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</si>
  <si>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</si>
  <si>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</si>
  <si>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</si>
  <si>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</si>
  <si>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</si>
  <si>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</si>
  <si>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</si>
  <si>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</si>
  <si>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</si>
  <si>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</si>
  <si>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</si>
  <si>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</si>
  <si>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</si>
  <si>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</si>
  <si>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</si>
  <si>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</si>
  <si>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</si>
  <si>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</si>
  <si>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</si>
  <si>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</si>
  <si>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</si>
  <si>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</si>
  <si>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</si>
  <si>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</si>
  <si>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</si>
  <si>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</si>
  <si>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</si>
  <si>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</si>
  <si>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</si>
  <si>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</si>
  <si>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</si>
  <si>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</si>
  <si>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</si>
  <si>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</si>
  <si>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</si>
  <si>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</si>
  <si>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</si>
  <si>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</si>
  <si>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</si>
  <si>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</si>
  <si>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</si>
  <si>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</si>
  <si>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</si>
  <si>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</si>
  <si>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</si>
  <si>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</si>
  <si>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</si>
  <si>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</si>
  <si>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</si>
  <si>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</si>
  <si>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</si>
  <si>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</si>
  <si>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</si>
  <si>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</si>
  <si>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</si>
  <si>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</si>
  <si>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</si>
  <si>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</si>
  <si>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</si>
  <si>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</si>
  <si>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</si>
  <si>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</si>
  <si>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</si>
  <si>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</si>
  <si>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</si>
  <si>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</si>
  <si>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</si>
  <si>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</si>
  <si>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</si>
  <si>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</si>
  <si>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</si>
  <si>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</si>
  <si>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</si>
  <si>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</si>
  <si>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</si>
  <si>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</si>
  <si>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</si>
  <si>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</si>
  <si>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</si>
  <si>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</si>
  <si>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</si>
  <si>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</si>
  <si>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</si>
  <si>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</si>
  <si>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</si>
  <si>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</si>
  <si>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</si>
  <si>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</si>
  <si>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</si>
  <si>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</si>
  <si>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</si>
  <si>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</si>
  <si>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</si>
  <si>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</si>
  <si>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</si>
  <si>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</si>
  <si>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</si>
  <si>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</si>
  <si>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</si>
  <si>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</si>
  <si>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</si>
  <si>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</si>
  <si>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</si>
  <si>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</si>
  <si>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</si>
  <si>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</si>
  <si>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</si>
  <si>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</si>
  <si>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</si>
  <si>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</si>
  <si>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</si>
  <si>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</si>
  <si>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</si>
  <si>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</si>
  <si>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</si>
  <si>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</si>
  <si>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</si>
  <si>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</si>
  <si>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</si>
  <si>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</si>
  <si>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</si>
  <si>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</si>
  <si>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</si>
  <si>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</si>
  <si>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</si>
  <si>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</si>
  <si>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</si>
  <si>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</si>
  <si>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</si>
  <si>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</si>
  <si>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</si>
  <si>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</si>
  <si>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</si>
  <si>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</si>
  <si>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</si>
  <si>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</si>
  <si>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</si>
  <si>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</si>
  <si>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</si>
  <si>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</si>
  <si>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</si>
  <si>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</si>
  <si>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</si>
  <si>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</si>
  <si>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</si>
  <si>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</si>
  <si>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</si>
  <si>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</si>
  <si>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</si>
  <si>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</si>
  <si>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</si>
  <si>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</si>
  <si>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</si>
  <si>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</si>
  <si>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</si>
  <si>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</si>
  <si>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</si>
  <si>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</si>
  <si>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</si>
  <si>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</si>
  <si>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</si>
  <si>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</si>
  <si>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</si>
  <si>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</si>
  <si>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</si>
  <si>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</si>
  <si>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</si>
  <si>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</si>
  <si>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</si>
  <si>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</si>
  <si>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</si>
  <si>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</si>
  <si>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</si>
  <si>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</si>
  <si>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</si>
  <si>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</si>
  <si>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</si>
  <si>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</si>
  <si>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</si>
  <si>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</si>
  <si>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</si>
  <si>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</si>
  <si>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</si>
  <si>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</si>
  <si>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</si>
  <si>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</si>
  <si>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</si>
  <si>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</si>
  <si>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</si>
  <si>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</si>
  <si>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</si>
  <si>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</si>
  <si>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</si>
  <si>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</si>
  <si>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</si>
  <si>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</si>
  <si>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</si>
  <si>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</si>
  <si>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</si>
  <si>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</si>
  <si>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</si>
  <si>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</si>
  <si>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</si>
  <si>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</si>
  <si>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</si>
  <si>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</si>
  <si>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</si>
  <si>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</si>
  <si>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</si>
  <si>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</si>
  <si>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</si>
  <si>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</si>
  <si>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</si>
  <si>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</si>
  <si>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</si>
  <si>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</si>
  <si>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</si>
  <si>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</si>
  <si>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</si>
  <si>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</si>
  <si>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</si>
  <si>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</si>
  <si>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</si>
  <si>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</si>
  <si>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</si>
  <si>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</si>
  <si>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</si>
  <si>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</si>
  <si>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</si>
  <si>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</si>
  <si>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</si>
  <si>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</si>
  <si>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</si>
  <si>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</si>
  <si>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</si>
  <si>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</si>
  <si>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</si>
  <si>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</si>
  <si>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</si>
  <si>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</si>
  <si>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</si>
  <si>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</si>
  <si>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</si>
  <si>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</si>
  <si>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</si>
  <si>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</si>
  <si>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</si>
  <si>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</si>
  <si>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</si>
  <si>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</si>
  <si>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</si>
  <si>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</si>
  <si>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</si>
  <si>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</si>
  <si>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</si>
  <si>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</si>
  <si>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</si>
  <si>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</si>
  <si>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</si>
  <si>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</si>
  <si>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</si>
  <si>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</si>
  <si>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</si>
  <si>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</si>
  <si>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</si>
  <si>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</si>
  <si>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</si>
  <si>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</si>
  <si>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</si>
  <si>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</si>
  <si>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</si>
  <si>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</si>
  <si>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</si>
  <si>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</si>
  <si>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</si>
  <si>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</si>
  <si>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</si>
  <si>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</si>
  <si>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</si>
  <si>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</si>
  <si>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</si>
  <si>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</si>
  <si>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</si>
  <si>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</si>
  <si>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</si>
  <si>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</si>
  <si>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</si>
  <si>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</si>
  <si>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</si>
  <si>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</si>
  <si>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</si>
  <si>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</si>
  <si>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</si>
  <si>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</si>
  <si>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</si>
  <si>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</si>
  <si>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</si>
  <si>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</si>
  <si>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</si>
  <si>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</si>
  <si>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</si>
  <si>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</si>
  <si>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</si>
  <si>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</si>
  <si>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</si>
  <si>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</si>
  <si>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</si>
  <si>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</si>
  <si>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</si>
  <si>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</si>
  <si>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</si>
  <si>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</si>
  <si>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</si>
  <si>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</si>
  <si>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</si>
  <si>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</si>
  <si>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</si>
  <si>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</si>
  <si>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</si>
  <si>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</si>
  <si>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</si>
  <si>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</si>
  <si>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</si>
  <si>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</si>
  <si>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</si>
  <si>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</si>
  <si>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</si>
  <si>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</si>
  <si>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</si>
  <si>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</si>
  <si>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</si>
  <si>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</si>
  <si>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</si>
  <si>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</si>
  <si>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</si>
  <si>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</si>
  <si>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</si>
  <si>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</si>
  <si>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</si>
  <si>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</si>
  <si>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</si>
  <si>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</si>
  <si>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</si>
  <si>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</si>
  <si>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</si>
  <si>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</si>
  <si>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</si>
  <si>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</si>
  <si>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</si>
  <si>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</si>
  <si>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</si>
  <si>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</si>
  <si>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</si>
  <si>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</si>
  <si>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</si>
  <si>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</si>
  <si>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</si>
  <si>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</si>
  <si>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</si>
  <si>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</si>
  <si>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</si>
  <si>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</si>
  <si>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</si>
  <si>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</si>
  <si>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</si>
  <si>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</si>
  <si>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</si>
  <si>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</si>
  <si>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</si>
  <si>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</si>
  <si>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</si>
  <si>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</si>
  <si>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</si>
  <si>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</si>
  <si>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</si>
  <si>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</si>
  <si>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</si>
  <si>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</si>
  <si>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</si>
  <si>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</si>
  <si>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</si>
  <si>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</si>
  <si>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</si>
  <si>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</si>
  <si>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</si>
  <si>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</si>
  <si>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</si>
  <si>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</si>
  <si>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</si>
  <si>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</si>
  <si>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</si>
  <si>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</si>
  <si>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</si>
  <si>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</si>
  <si>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</si>
  <si>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</si>
  <si>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</si>
  <si>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</si>
  <si>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</si>
  <si>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</si>
  <si>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</si>
  <si>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</si>
  <si>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</si>
  <si>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</si>
  <si>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</si>
  <si>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</si>
  <si>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</si>
  <si>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</si>
  <si>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</si>
  <si>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</si>
  <si>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</si>
  <si>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</si>
  <si>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</si>
  <si>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</si>
  <si>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</si>
  <si>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</si>
  <si>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</si>
  <si>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</si>
  <si>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</si>
  <si>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</si>
  <si>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</si>
  <si>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</si>
  <si>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</si>
  <si>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</si>
  <si>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</si>
  <si>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</si>
  <si>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</si>
  <si>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</si>
  <si>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</si>
  <si>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</si>
  <si>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</si>
  <si>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</si>
  <si>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</si>
  <si>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</si>
  <si>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</si>
  <si>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</si>
  <si>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</si>
  <si>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</si>
  <si>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</si>
  <si>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</si>
  <si>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</si>
  <si>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</si>
  <si>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</si>
  <si>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</si>
  <si>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</si>
  <si>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</si>
  <si>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</si>
  <si>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</si>
  <si>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</si>
  <si>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</si>
  <si>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</si>
  <si>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</si>
  <si>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</si>
  <si>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</si>
  <si>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</si>
  <si>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</si>
  <si>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</si>
  <si>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</si>
  <si>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</si>
  <si>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</si>
  <si>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</si>
  <si>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</si>
  <si>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</si>
  <si>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</si>
  <si>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</si>
  <si>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</si>
  <si>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</si>
  <si>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</si>
  <si>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</si>
  <si>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</si>
  <si>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</si>
  <si>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</si>
  <si>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</si>
  <si>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</si>
  <si>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</si>
  <si>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</si>
  <si>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</si>
  <si>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</si>
  <si>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</si>
  <si>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</si>
  <si>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</si>
  <si>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</si>
  <si>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</si>
  <si>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</si>
  <si>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</si>
  <si>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</si>
  <si>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</si>
  <si>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</si>
  <si>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</si>
  <si>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</si>
  <si>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</si>
  <si>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</si>
  <si>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</si>
  <si>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</si>
  <si>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</si>
  <si>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</si>
  <si>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</si>
  <si>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</si>
  <si>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</si>
  <si>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</si>
  <si>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</si>
  <si>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</si>
  <si>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</si>
  <si>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</si>
  <si>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</si>
  <si>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</si>
  <si>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</si>
  <si>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</si>
  <si>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</si>
  <si>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</si>
  <si>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</si>
  <si>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</si>
  <si>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</si>
  <si>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</si>
  <si>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</si>
  <si>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</si>
  <si>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</si>
  <si>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</si>
  <si>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</si>
  <si>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</si>
  <si>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</si>
  <si>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</si>
  <si>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</si>
  <si>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</si>
  <si>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</si>
  <si>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</si>
  <si>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</si>
  <si>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</si>
  <si>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</si>
  <si>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</si>
  <si>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</si>
  <si>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</si>
  <si>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</si>
  <si>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</si>
  <si>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</si>
  <si>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</si>
  <si>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</si>
  <si>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</si>
  <si>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</si>
  <si>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</si>
  <si>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</si>
  <si>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</si>
  <si>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</si>
  <si>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</si>
  <si>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</si>
  <si>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</si>
  <si>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</si>
  <si>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</si>
  <si>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</si>
  <si>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</si>
  <si>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</si>
  <si>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</si>
  <si>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</si>
  <si>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</si>
  <si>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</si>
  <si>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</si>
  <si>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</si>
  <si>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</si>
  <si>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</si>
  <si>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</si>
  <si>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</si>
  <si>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</si>
  <si>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</si>
  <si>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</si>
  <si>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</si>
  <si>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</si>
  <si>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</si>
  <si>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</si>
  <si>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</si>
  <si>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</si>
  <si>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</si>
  <si>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</si>
  <si>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</si>
  <si>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</si>
  <si>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</si>
  <si>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</si>
  <si>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</si>
  <si>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</si>
  <si>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</si>
  <si>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</si>
  <si>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</si>
  <si>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</si>
  <si>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</si>
  <si>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</si>
  <si>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</si>
  <si>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</si>
  <si>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</si>
  <si>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</si>
  <si>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</si>
  <si>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</si>
  <si>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</si>
  <si>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</si>
  <si>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</si>
  <si>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</si>
  <si>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</si>
  <si>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</si>
  <si>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</si>
  <si>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</si>
  <si>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</si>
  <si>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</si>
  <si>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</si>
  <si>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</si>
  <si>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</si>
  <si>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</si>
  <si>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</si>
  <si>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</si>
  <si>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</si>
  <si>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</si>
  <si>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</si>
  <si>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</si>
  <si>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</si>
  <si>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</si>
  <si>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</si>
  <si>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</si>
  <si>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</si>
  <si>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</si>
  <si>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</si>
  <si>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</si>
  <si>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</si>
  <si>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</si>
  <si>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</si>
  <si>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</si>
  <si>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</si>
  <si>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</si>
  <si>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</si>
  <si>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</si>
  <si>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</si>
  <si>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</si>
  <si>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</si>
  <si>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</si>
  <si>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</si>
  <si>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</si>
  <si>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</si>
  <si>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</si>
  <si>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</si>
  <si>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</si>
  <si>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</si>
  <si>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</si>
  <si>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</si>
  <si>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</si>
  <si>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</si>
  <si>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</si>
  <si>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</si>
  <si>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</si>
  <si>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</si>
  <si>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</si>
  <si>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</si>
  <si>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</si>
  <si>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</si>
  <si>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</si>
  <si>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</si>
  <si>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</si>
  <si>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</si>
  <si>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</si>
  <si>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</si>
  <si>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</si>
  <si>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</si>
  <si>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</si>
  <si>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</si>
  <si>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</si>
  <si>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</si>
  <si>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</si>
  <si>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</si>
  <si>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</si>
  <si>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</si>
  <si>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</si>
  <si>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</si>
  <si>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</si>
  <si>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</si>
  <si>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</si>
  <si>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</si>
  <si>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</si>
  <si>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</si>
  <si>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</si>
  <si>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</si>
  <si>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</si>
  <si>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</si>
  <si>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</si>
  <si>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</si>
  <si>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</si>
  <si>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</si>
  <si>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</si>
  <si>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</si>
  <si>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</si>
  <si>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</si>
  <si>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</si>
  <si>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</si>
  <si>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</si>
  <si>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</si>
  <si>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</si>
  <si>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</si>
  <si>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</si>
  <si>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</si>
  <si>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</si>
  <si>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</si>
  <si>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</si>
  <si>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</si>
  <si>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</si>
  <si>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</si>
  <si>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</si>
  <si>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</si>
  <si>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</si>
  <si>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</si>
  <si>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</si>
  <si>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</si>
  <si>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</si>
  <si>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</si>
  <si>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</si>
  <si>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</si>
  <si>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</si>
  <si>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</si>
  <si>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</si>
  <si>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</si>
  <si>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</si>
  <si>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</si>
  <si>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</si>
  <si>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</si>
  <si>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</si>
  <si>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</si>
  <si>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</si>
  <si>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</si>
  <si>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</si>
  <si>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</si>
  <si>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</si>
  <si>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</si>
  <si>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</si>
  <si>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</si>
  <si>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</si>
  <si>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</si>
  <si>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</si>
  <si>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</si>
  <si>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</si>
  <si>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</si>
  <si>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</si>
  <si>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</si>
  <si>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</si>
  <si>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</si>
  <si>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</si>
  <si>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</si>
  <si>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</si>
  <si>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</si>
  <si>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</si>
  <si>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</si>
  <si>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</si>
  <si>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</si>
  <si>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</si>
  <si>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</si>
  <si>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</si>
  <si>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</si>
  <si>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</si>
  <si>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</si>
  <si>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</si>
  <si>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</si>
  <si>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</si>
  <si>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</si>
  <si>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</si>
  <si>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</si>
  <si>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</si>
  <si>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</si>
  <si>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</si>
  <si>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</si>
  <si>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</si>
  <si>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</si>
  <si>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</si>
  <si>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</si>
  <si>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</si>
  <si>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</si>
  <si>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</si>
  <si>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</si>
  <si>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</si>
  <si>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</si>
  <si>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</si>
  <si>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</si>
  <si>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</si>
  <si>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</si>
  <si>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</si>
  <si>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</si>
  <si>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</si>
  <si>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</si>
  <si>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</si>
  <si>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</si>
  <si>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</si>
  <si>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</si>
  <si>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</si>
  <si>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</si>
  <si>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</si>
  <si>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</si>
  <si>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</si>
  <si>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</si>
  <si>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</si>
  <si>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</si>
  <si>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</si>
  <si>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</si>
  <si>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</si>
  <si>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</si>
  <si>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</si>
  <si>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</si>
  <si>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</si>
  <si>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</si>
  <si>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</si>
  <si>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</si>
  <si>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</si>
  <si>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</si>
  <si>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</si>
  <si>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</si>
  <si>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</si>
  <si>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</si>
  <si>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</si>
  <si>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</si>
  <si>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</si>
  <si>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</si>
  <si>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</si>
  <si>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</si>
  <si>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</si>
  <si>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</si>
  <si>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</si>
  <si>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</si>
  <si>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</si>
  <si>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</si>
  <si>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</si>
  <si>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</si>
  <si>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</si>
  <si>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</si>
  <si>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</si>
  <si>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</si>
  <si>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</si>
  <si>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</si>
  <si>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</si>
  <si>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</si>
  <si>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</si>
  <si>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</si>
  <si>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</si>
  <si>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</si>
  <si>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</si>
  <si>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</si>
  <si>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</si>
  <si>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</si>
  <si>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</si>
  <si>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</si>
  <si>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</si>
  <si>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</si>
  <si>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</si>
  <si>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</si>
  <si>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</si>
  <si>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</si>
  <si>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</si>
  <si>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</si>
  <si>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</si>
  <si>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</si>
  <si>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</si>
  <si>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</si>
  <si>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</si>
  <si>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</si>
  <si>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</si>
  <si>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</si>
  <si>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</si>
  <si>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</si>
  <si>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</si>
  <si>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</si>
  <si>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</si>
  <si>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</si>
  <si>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</si>
  <si>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</si>
  <si>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</si>
  <si>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</si>
  <si>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</si>
  <si>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</si>
  <si>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</si>
  <si>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</si>
  <si>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</si>
  <si>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</si>
  <si>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</si>
  <si>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</si>
  <si>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</si>
  <si>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</si>
  <si>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</si>
  <si>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</si>
  <si>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</si>
  <si>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</si>
  <si>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</si>
  <si>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</si>
  <si>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</si>
  <si>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</si>
  <si>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</si>
  <si>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</si>
  <si>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</si>
  <si>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</si>
  <si>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</si>
  <si>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</si>
  <si>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</si>
  <si>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</si>
  <si>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</si>
  <si>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</si>
  <si>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</si>
  <si>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</si>
  <si>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</si>
  <si>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</si>
  <si>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</si>
  <si>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</si>
  <si>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</si>
  <si>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</si>
  <si>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</si>
  <si>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</si>
  <si>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</si>
  <si>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</si>
  <si>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</si>
  <si>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</si>
  <si>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</si>
  <si>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</si>
  <si>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</si>
  <si>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</si>
  <si>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</si>
  <si>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</si>
  <si>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</si>
  <si>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</si>
  <si>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</si>
  <si>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</si>
  <si>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</si>
  <si>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</si>
  <si>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</si>
  <si>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</si>
  <si>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</si>
  <si>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</si>
  <si>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</si>
  <si>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</si>
  <si>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</si>
  <si>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</si>
  <si>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</si>
  <si>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</si>
  <si>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</si>
  <si>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</si>
  <si>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</si>
  <si>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</si>
  <si>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</si>
  <si>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</si>
  <si>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</si>
  <si>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</si>
  <si>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</si>
  <si>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</si>
  <si>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</si>
  <si>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</si>
  <si>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</si>
  <si>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</si>
  <si>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</si>
  <si>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</si>
  <si>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</si>
  <si>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</si>
  <si>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</si>
  <si>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</si>
  <si>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</si>
  <si>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</si>
  <si>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</si>
  <si>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</si>
  <si>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</si>
  <si>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</si>
  <si>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</si>
  <si>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</si>
  <si>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</si>
  <si>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</si>
  <si>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</si>
  <si>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</si>
  <si>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</si>
  <si>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</si>
  <si>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</si>
  <si>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</si>
  <si>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</si>
  <si>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</si>
  <si>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</si>
  <si>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</si>
  <si>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</si>
  <si>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</si>
  <si>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</si>
  <si>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</si>
  <si>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</si>
  <si>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</si>
  <si>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</si>
  <si>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</si>
  <si>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</si>
  <si>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</si>
  <si>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</si>
  <si>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</si>
  <si>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</si>
  <si>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</si>
  <si>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</si>
  <si>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</si>
  <si>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</si>
  <si>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</si>
  <si>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</si>
  <si>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</si>
  <si>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</si>
  <si>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</si>
  <si>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</si>
  <si>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</si>
  <si>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</si>
  <si>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</si>
  <si>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</si>
  <si>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</si>
  <si>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</si>
  <si>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</si>
  <si>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</si>
  <si>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</si>
  <si>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</si>
  <si>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</si>
  <si>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</si>
  <si>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</si>
  <si>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</si>
  <si>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</si>
  <si>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</si>
  <si>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</si>
  <si>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</si>
  <si>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</si>
  <si>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</si>
  <si>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</si>
  <si>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</si>
  <si>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</si>
  <si>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</si>
  <si>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</si>
  <si>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</si>
  <si>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</si>
  <si>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</si>
  <si>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</si>
  <si>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</si>
  <si>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</si>
  <si>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</si>
  <si>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</si>
  <si>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</si>
  <si>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</si>
  <si>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</si>
  <si>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</si>
  <si>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</si>
  <si>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</si>
  <si>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</si>
  <si>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</si>
  <si>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</si>
  <si>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</si>
  <si>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</si>
  <si>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</si>
  <si>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</si>
  <si>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</si>
  <si>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</si>
  <si>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</si>
  <si>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</si>
  <si>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</si>
  <si>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</si>
  <si>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</si>
  <si>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</si>
  <si>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</si>
  <si>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</si>
  <si>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</si>
  <si>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</si>
  <si>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</si>
  <si>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</si>
  <si>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</si>
  <si>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</si>
  <si>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</si>
  <si>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</si>
  <si>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</si>
  <si>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</si>
  <si>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</si>
  <si>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</si>
  <si>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</si>
  <si>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</si>
  <si>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</si>
  <si>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</si>
  <si>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</si>
  <si>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</si>
  <si>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</si>
  <si>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</si>
  <si>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</si>
  <si>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</si>
  <si>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</si>
  <si>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</si>
  <si>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</si>
  <si>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</si>
  <si>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</si>
  <si>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</si>
  <si>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</si>
  <si>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</si>
  <si>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</si>
  <si>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</si>
  <si>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</si>
  <si>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</si>
  <si>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</si>
  <si>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</si>
  <si>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</si>
  <si>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</si>
  <si>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</si>
  <si>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</si>
  <si>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</si>
  <si>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</si>
  <si>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</si>
  <si>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</si>
  <si>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</si>
  <si>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</si>
  <si>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</si>
  <si>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</si>
  <si>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</si>
  <si>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</si>
  <si>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</si>
  <si>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</si>
  <si>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</si>
  <si>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</si>
  <si>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</si>
  <si>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</si>
  <si>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</si>
  <si>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</si>
  <si>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</si>
  <si>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</si>
  <si>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</si>
  <si>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</si>
  <si>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</si>
  <si>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</si>
  <si>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</si>
  <si>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</si>
  <si>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</si>
  <si>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</si>
  <si>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</si>
  <si>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</si>
  <si>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</si>
  <si>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</si>
  <si>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</si>
  <si>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</si>
  <si>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</si>
  <si>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</si>
  <si>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</si>
  <si>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</si>
  <si>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</si>
  <si>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</si>
  <si>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</si>
  <si>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</si>
  <si>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</si>
  <si>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</si>
  <si>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</si>
  <si>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</si>
  <si>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</si>
  <si>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</si>
  <si>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</si>
  <si>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</si>
  <si>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</si>
  <si>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</si>
  <si>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</si>
  <si>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</si>
  <si>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</si>
  <si>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</si>
  <si>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</si>
  <si>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</si>
  <si>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</si>
  <si>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</si>
  <si>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</si>
  <si>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</si>
  <si>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</si>
  <si>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</si>
  <si>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</si>
  <si>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</si>
  <si>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</si>
  <si>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</si>
  <si>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</si>
  <si>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</si>
  <si>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</si>
  <si>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</si>
  <si>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</si>
  <si>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</si>
  <si>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</si>
  <si>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</si>
  <si>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</si>
  <si>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</si>
  <si>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</si>
  <si>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</si>
  <si>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</si>
  <si>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</si>
  <si>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</si>
  <si>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</si>
  <si>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</si>
  <si>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</si>
  <si>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</si>
  <si>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</si>
  <si>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</si>
  <si>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</si>
  <si>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</si>
  <si>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</si>
  <si>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</si>
  <si>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</si>
  <si>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</si>
  <si>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</si>
  <si>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</si>
  <si>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</si>
  <si>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</si>
  <si>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</si>
  <si>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</si>
  <si>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</si>
  <si>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</si>
  <si>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</si>
  <si>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</si>
  <si>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</si>
  <si>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</si>
  <si>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</si>
  <si>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</si>
  <si>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</si>
  <si>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</si>
  <si>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</si>
  <si>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</si>
  <si>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</si>
  <si>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</si>
  <si>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</si>
  <si>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</si>
  <si>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</si>
  <si>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</si>
  <si>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</si>
  <si>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</si>
  <si>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</si>
  <si>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</si>
  <si>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</si>
  <si>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</si>
  <si>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</si>
  <si>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</si>
  <si>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</si>
  <si>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</si>
  <si>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</si>
  <si>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</si>
  <si>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</si>
  <si>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</si>
  <si>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</si>
  <si>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</si>
  <si>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</si>
  <si>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</si>
  <si>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</si>
  <si>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</si>
  <si>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</si>
  <si>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</si>
  <si>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</si>
  <si>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</si>
  <si>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</si>
  <si>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</si>
  <si>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</si>
  <si>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</si>
  <si>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</si>
  <si>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</si>
  <si>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</si>
  <si>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</si>
  <si>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</si>
  <si>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</si>
  <si>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</si>
  <si>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</si>
  <si>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</si>
  <si>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</si>
  <si>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</si>
  <si>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</si>
  <si>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</si>
  <si>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</si>
  <si>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</si>
  <si>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</si>
  <si>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</si>
  <si>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</si>
  <si>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</si>
  <si>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</si>
  <si>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</si>
  <si>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</si>
  <si>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</si>
  <si>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</si>
  <si>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</si>
  <si>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</si>
  <si>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</si>
  <si>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</si>
  <si>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</si>
  <si>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</si>
  <si>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</si>
  <si>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</si>
  <si>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</si>
  <si>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</si>
  <si>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</si>
  <si>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</si>
  <si>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</si>
  <si>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</si>
  <si>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</si>
  <si>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</si>
  <si>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</si>
  <si>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</si>
  <si>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</si>
  <si>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</si>
  <si>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</si>
  <si>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</si>
  <si>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</si>
  <si>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</si>
  <si>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</si>
  <si>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</si>
  <si>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</si>
  <si>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</si>
  <si>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</si>
  <si>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</si>
  <si>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</si>
  <si>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</si>
  <si>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</si>
  <si>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</si>
  <si>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</si>
  <si>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</si>
  <si>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</si>
  <si>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</si>
  <si>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</si>
  <si>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</si>
  <si>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</si>
  <si>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</si>
  <si>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</si>
  <si>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</si>
  <si>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</si>
  <si>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</si>
  <si>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</si>
  <si>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</si>
  <si>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</si>
  <si>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</si>
  <si>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</si>
  <si>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</si>
  <si>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</si>
  <si>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</si>
  <si>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</si>
  <si>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</si>
  <si>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</si>
  <si>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</si>
  <si>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</si>
  <si>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</si>
  <si>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</si>
  <si>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</si>
  <si>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</si>
  <si>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</si>
  <si>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</si>
  <si>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</si>
  <si>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</si>
  <si>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</si>
  <si>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</si>
  <si>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</si>
  <si>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</si>
  <si>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</si>
  <si>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</si>
  <si>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</si>
  <si>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</si>
  <si>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</si>
  <si>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</si>
  <si>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</si>
  <si>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</si>
  <si>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</si>
  <si>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</si>
  <si>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</si>
  <si>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</si>
  <si>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</si>
  <si>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</si>
  <si>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</si>
  <si>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</si>
  <si>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</si>
  <si>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</si>
  <si>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</si>
  <si>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</si>
  <si>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</si>
  <si>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</si>
  <si>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</si>
  <si>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</si>
  <si>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</si>
  <si>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</si>
  <si>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</si>
  <si>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</si>
  <si>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</si>
  <si>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</si>
  <si>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</si>
  <si>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</si>
  <si>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</si>
  <si>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</si>
  <si>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</si>
  <si>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</si>
  <si>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</si>
  <si>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</si>
  <si>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</si>
  <si>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</si>
  <si>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</si>
  <si>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</si>
  <si>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</si>
  <si>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</si>
  <si>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</si>
  <si>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</si>
  <si>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</si>
  <si>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</si>
  <si>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</si>
  <si>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</si>
  <si>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</si>
  <si>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</si>
  <si>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</si>
  <si>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</si>
  <si>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</si>
  <si>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</si>
  <si>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</si>
  <si>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</si>
  <si>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</si>
  <si>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</si>
  <si>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</si>
  <si>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</si>
  <si>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</si>
  <si>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</si>
  <si>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</si>
  <si>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</si>
  <si>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</si>
  <si>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</si>
  <si>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</si>
  <si>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</si>
  <si>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</si>
  <si>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</si>
  <si>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</si>
  <si>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</si>
  <si>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</si>
  <si>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</si>
  <si>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</si>
  <si>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</si>
  <si>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</si>
  <si>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</si>
  <si>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</si>
  <si>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</si>
  <si>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</si>
  <si>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</si>
  <si>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</si>
  <si>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</si>
  <si>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</si>
  <si>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</si>
  <si>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</si>
  <si>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</si>
  <si>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</si>
  <si>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</si>
  <si>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</si>
  <si>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</si>
  <si>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</si>
  <si>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</si>
  <si>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</si>
  <si>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</si>
  <si>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</si>
  <si>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</si>
  <si>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</si>
  <si>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</si>
  <si>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</si>
  <si>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</si>
  <si>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</si>
  <si>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</si>
  <si>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</si>
  <si>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</si>
  <si>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</si>
  <si>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</si>
  <si>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</si>
  <si>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</si>
  <si>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</si>
  <si>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</si>
  <si>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</si>
  <si>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</si>
  <si>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</si>
  <si>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</si>
  <si>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</si>
  <si>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</si>
  <si>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</si>
  <si>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</si>
  <si>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</si>
  <si>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</si>
  <si>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</si>
  <si>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</si>
  <si>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</si>
  <si>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</si>
  <si>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</si>
  <si>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</si>
  <si>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</si>
  <si>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</si>
  <si>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</si>
  <si>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</si>
  <si>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</si>
  <si>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</si>
  <si>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</si>
  <si>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</si>
  <si>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</si>
  <si>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</si>
  <si>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</si>
  <si>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</si>
  <si>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</si>
  <si>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</si>
  <si>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</si>
  <si>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</si>
  <si>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</si>
  <si>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</si>
  <si>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</si>
  <si>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</si>
  <si>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</si>
  <si>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</si>
  <si>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</si>
  <si>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</si>
  <si>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</si>
  <si>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</si>
  <si>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</si>
  <si>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</si>
  <si>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</si>
  <si>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</si>
  <si>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</si>
  <si>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</si>
  <si>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</si>
  <si>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</si>
  <si>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</si>
  <si>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</si>
  <si>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</si>
  <si>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</si>
  <si>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</si>
  <si>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</si>
  <si>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</si>
  <si>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</si>
  <si>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</si>
  <si>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</si>
  <si>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</si>
  <si>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</si>
  <si>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</si>
  <si>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</si>
  <si>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</si>
  <si>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</si>
  <si>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</si>
  <si>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</si>
  <si>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</si>
  <si>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</si>
  <si>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</si>
  <si>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</si>
  <si>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</si>
  <si>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</si>
  <si>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</si>
  <si>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</si>
  <si>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</si>
  <si>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</si>
  <si>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</si>
  <si>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</si>
  <si>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</si>
  <si>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</si>
  <si>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</si>
  <si>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</si>
  <si>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</si>
  <si>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</si>
  <si>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</si>
  <si>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</si>
  <si>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</si>
  <si>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</si>
  <si>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</si>
  <si>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</si>
  <si>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</si>
  <si>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</si>
  <si>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</si>
  <si>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</si>
  <si>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</si>
  <si>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</si>
  <si>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</si>
  <si>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</si>
  <si>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</si>
  <si>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</si>
  <si>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</si>
  <si>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</si>
  <si>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</si>
  <si>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</si>
  <si>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</si>
  <si>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</si>
  <si>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</si>
  <si>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</si>
  <si>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</si>
  <si>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</si>
  <si>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</si>
  <si>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</si>
  <si>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</si>
  <si>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</si>
  <si>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</si>
  <si>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</si>
  <si>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</si>
  <si>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</si>
  <si>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</si>
  <si>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</si>
  <si>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</si>
  <si>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</si>
  <si>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</si>
  <si>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</si>
  <si>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</si>
  <si>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</si>
  <si>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</si>
  <si>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</si>
  <si>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</si>
  <si>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</si>
  <si>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</si>
  <si>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</si>
  <si>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</si>
  <si>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</si>
  <si>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</si>
  <si>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</si>
  <si>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</si>
  <si>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</si>
  <si>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</si>
  <si>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</si>
  <si>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</si>
  <si>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</si>
  <si>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</si>
  <si>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</si>
  <si>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</si>
  <si>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</si>
  <si>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</si>
  <si>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</si>
  <si>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</si>
  <si>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</si>
  <si>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</si>
  <si>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</si>
  <si>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</si>
  <si>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</si>
  <si>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</si>
  <si>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</si>
  <si>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</si>
  <si>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</si>
  <si>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</si>
  <si>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</si>
  <si>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</si>
  <si>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</si>
  <si>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</si>
  <si>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</si>
  <si>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</si>
  <si>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</si>
  <si>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</si>
  <si>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</si>
  <si>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</si>
  <si>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</si>
  <si>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</si>
  <si>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</si>
  <si>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</si>
  <si>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</si>
  <si>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</si>
  <si>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</si>
  <si>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</si>
  <si>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</si>
  <si>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</si>
  <si>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</si>
  <si>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</si>
  <si>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</si>
  <si>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</si>
  <si>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</si>
  <si>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</si>
  <si>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</si>
  <si>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</si>
  <si>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</si>
  <si>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</si>
  <si>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</si>
  <si>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</si>
  <si>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</si>
  <si>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</si>
  <si>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</si>
  <si>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</si>
  <si>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</si>
  <si>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</si>
  <si>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</si>
  <si>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</si>
  <si>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</si>
  <si>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</si>
  <si>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</si>
  <si>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</si>
  <si>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</si>
  <si>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</si>
  <si>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</si>
  <si>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</si>
  <si>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</si>
  <si>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</si>
  <si>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</si>
  <si>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</si>
  <si>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</si>
  <si>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</si>
  <si>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</si>
  <si>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</si>
  <si>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</si>
  <si>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</si>
  <si>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</si>
  <si>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</si>
  <si>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</si>
  <si>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</si>
  <si>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</si>
  <si>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</si>
  <si>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</si>
  <si>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</si>
  <si>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</si>
  <si>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</si>
  <si>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</si>
  <si>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</si>
  <si>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</si>
  <si>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</si>
  <si>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</si>
  <si>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</si>
  <si>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</si>
  <si>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</si>
  <si>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</si>
  <si>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</si>
  <si>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</si>
  <si>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</si>
  <si>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</si>
  <si>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</si>
  <si>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</si>
  <si>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</si>
  <si>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</si>
  <si>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</si>
  <si>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</si>
  <si>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</si>
  <si>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</si>
  <si>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</si>
  <si>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</si>
  <si>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</si>
  <si>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</si>
  <si>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</si>
  <si>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</si>
  <si>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</si>
  <si>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</si>
  <si>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</si>
  <si>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</si>
  <si>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</si>
  <si>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</si>
  <si>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</si>
  <si>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</si>
  <si>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</si>
  <si>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</si>
  <si>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</si>
  <si>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</si>
  <si>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</si>
  <si>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</si>
  <si>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</si>
  <si>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</si>
  <si>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</si>
  <si>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</si>
  <si>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</si>
  <si>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</si>
  <si>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</si>
  <si>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</si>
  <si>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</si>
  <si>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</si>
  <si>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</si>
  <si>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</si>
  <si>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</si>
  <si>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</si>
  <si>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</si>
  <si>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</si>
  <si>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</si>
  <si>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</si>
  <si>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</si>
  <si>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</si>
  <si>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</si>
  <si>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</si>
  <si>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</si>
  <si>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</si>
  <si>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</si>
  <si>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</si>
  <si>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</si>
  <si>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</si>
  <si>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</si>
  <si>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</si>
  <si>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</si>
  <si>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</si>
  <si>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</si>
  <si>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</si>
  <si>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</si>
  <si>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</si>
  <si>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</si>
  <si>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</si>
  <si>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</si>
  <si>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</si>
  <si>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</si>
  <si>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</si>
  <si>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</si>
  <si>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</si>
  <si>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</si>
  <si>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</si>
  <si>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</si>
  <si>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</si>
  <si>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</si>
  <si>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</si>
  <si>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</si>
  <si>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</si>
  <si>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</si>
  <si>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</si>
  <si>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</si>
  <si>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</si>
  <si>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</si>
  <si>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</si>
  <si>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</si>
  <si>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</si>
  <si>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</si>
  <si>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</si>
  <si>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</si>
  <si>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</si>
  <si>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</si>
  <si>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</si>
  <si>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</si>
  <si>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</si>
  <si>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</si>
  <si>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</si>
  <si>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</si>
  <si>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</si>
  <si>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</si>
  <si>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</si>
  <si>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</si>
  <si>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</si>
  <si>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</si>
  <si>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</si>
  <si>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</si>
  <si>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</si>
  <si>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</si>
  <si>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</si>
  <si>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</si>
  <si>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</si>
  <si>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</si>
  <si>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</si>
  <si>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</si>
  <si>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</si>
  <si>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</si>
  <si>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</si>
  <si>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</si>
  <si>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</si>
  <si>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</si>
  <si>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</si>
  <si>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</si>
  <si>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</si>
  <si>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</si>
  <si>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</si>
  <si>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</si>
  <si>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</si>
  <si>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</si>
  <si>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</si>
  <si>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</si>
  <si>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</si>
  <si>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</si>
  <si>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</si>
  <si>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</si>
  <si>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</si>
  <si>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</si>
  <si>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</si>
  <si>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</si>
  <si>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</si>
  <si>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</si>
  <si>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</si>
  <si>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</si>
  <si>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</si>
  <si>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</si>
  <si>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</si>
  <si>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</si>
  <si>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</si>
  <si>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</si>
  <si>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</si>
  <si>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</si>
  <si>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</si>
  <si>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</si>
  <si>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</si>
  <si>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</si>
  <si>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</si>
  <si>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</si>
  <si>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</si>
  <si>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</si>
  <si>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</si>
  <si>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</si>
  <si>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</si>
  <si>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</si>
  <si>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</si>
  <si>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</si>
  <si>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</si>
  <si>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</si>
  <si>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</si>
  <si>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</si>
  <si>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</si>
  <si>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</si>
  <si>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</si>
  <si>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</si>
  <si>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</si>
  <si>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</si>
  <si>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</si>
  <si>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</si>
  <si>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</si>
  <si>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</si>
  <si>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</si>
  <si>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</si>
  <si>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</si>
  <si>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</si>
  <si>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</si>
  <si>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</si>
  <si>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</si>
  <si>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</si>
  <si>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</si>
  <si>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</si>
  <si>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</si>
  <si>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</si>
  <si>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</si>
  <si>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</si>
  <si>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</si>
  <si>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</si>
  <si>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</si>
  <si>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</si>
  <si>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</si>
  <si>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</si>
  <si>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</si>
  <si>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</si>
  <si>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</si>
  <si>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</si>
  <si>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</si>
  <si>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</si>
  <si>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</si>
  <si>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</si>
  <si>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</si>
  <si>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</si>
  <si>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</si>
  <si>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</si>
  <si>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</si>
  <si>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</si>
  <si>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</si>
  <si>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</si>
  <si>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</si>
  <si>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</si>
  <si>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</si>
  <si>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</si>
  <si>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</si>
  <si>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</si>
  <si>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</si>
  <si>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</si>
  <si>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</si>
  <si>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</si>
  <si>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</si>
  <si>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</si>
  <si>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</si>
  <si>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</si>
  <si>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</si>
  <si>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</si>
  <si>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</si>
  <si>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</si>
  <si>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</si>
  <si>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</si>
  <si>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</si>
  <si>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</si>
  <si>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</si>
  <si>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</si>
  <si>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</si>
  <si>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</si>
  <si>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</si>
  <si>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</si>
  <si>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</si>
  <si>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</si>
  <si>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</si>
  <si>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</si>
  <si>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</si>
  <si>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</si>
  <si>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</si>
  <si>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</si>
  <si>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</si>
  <si>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</si>
  <si>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</si>
  <si>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</si>
  <si>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</si>
  <si>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</si>
  <si>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</si>
  <si>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</si>
  <si>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</si>
  <si>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</si>
  <si>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</si>
  <si>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</si>
  <si>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</si>
  <si>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</si>
  <si>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</si>
  <si>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</si>
  <si>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</si>
  <si>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</si>
  <si>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</si>
  <si>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</si>
  <si>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</si>
  <si>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</si>
  <si>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</si>
  <si>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</si>
  <si>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</si>
  <si>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</si>
  <si>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</si>
  <si>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</si>
  <si>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</si>
  <si>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</si>
  <si>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</si>
  <si>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</si>
  <si>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</si>
  <si>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</si>
  <si>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</si>
  <si>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</si>
  <si>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</si>
  <si>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</si>
  <si>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</si>
  <si>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</si>
  <si>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</si>
  <si>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</si>
  <si>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</si>
  <si>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</si>
  <si>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</si>
  <si>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</si>
  <si>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</si>
  <si>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</si>
  <si>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</si>
  <si>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</si>
  <si>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</si>
  <si>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</si>
  <si>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</si>
  <si>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</si>
  <si>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</si>
  <si>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</si>
  <si>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</si>
  <si>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</si>
  <si>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</si>
  <si>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</si>
  <si>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</si>
  <si>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</si>
  <si>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</si>
  <si>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</si>
  <si>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</si>
  <si>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</si>
  <si>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</si>
  <si>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</si>
  <si>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</si>
  <si>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</si>
  <si>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</si>
  <si>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</si>
  <si>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</si>
  <si>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</si>
  <si>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</si>
  <si>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</si>
  <si>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</si>
  <si>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</si>
  <si>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</si>
  <si>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</si>
  <si>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</si>
  <si>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</si>
  <si>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</si>
  <si>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</si>
  <si>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</si>
  <si>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</si>
  <si>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</si>
  <si>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</si>
  <si>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</si>
  <si>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</si>
  <si>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</si>
  <si>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</si>
  <si>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</si>
  <si>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</si>
  <si>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</si>
  <si>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</si>
  <si>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</si>
  <si>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</si>
  <si>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</si>
  <si>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</si>
  <si>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</si>
  <si>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</si>
  <si>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</si>
  <si>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</si>
  <si>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</si>
  <si>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</si>
  <si>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</si>
  <si>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</si>
  <si>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</si>
  <si>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</si>
  <si>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</si>
  <si>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</si>
  <si>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</si>
  <si>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</si>
  <si>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</si>
  <si>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</si>
  <si>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</si>
  <si>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</si>
  <si>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</si>
  <si>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</si>
  <si>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</si>
  <si>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</si>
  <si>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</si>
  <si>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</si>
  <si>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</si>
  <si>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</si>
  <si>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</si>
  <si>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</si>
  <si>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</si>
  <si>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</si>
  <si>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</si>
  <si>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</si>
  <si>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</si>
  <si>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</si>
  <si>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</si>
  <si>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</si>
  <si>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</si>
  <si>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</si>
  <si>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</si>
  <si>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</si>
  <si>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</si>
  <si>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</si>
  <si>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</si>
  <si>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</si>
  <si>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</si>
  <si>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</si>
  <si>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</si>
  <si>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</si>
  <si>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</si>
  <si>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</si>
  <si>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</si>
  <si>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</si>
  <si>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</si>
  <si>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</si>
  <si>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</si>
  <si>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</si>
  <si>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</si>
  <si>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</si>
  <si>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</si>
  <si>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</si>
  <si>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</si>
  <si>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</si>
  <si>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</si>
  <si>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</si>
  <si>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</si>
  <si>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</si>
  <si>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</si>
  <si>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</si>
  <si>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</si>
  <si>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</si>
  <si>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</si>
  <si>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</si>
  <si>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</si>
  <si>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</si>
  <si>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</si>
  <si>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</si>
  <si>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</si>
  <si>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</si>
  <si>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</si>
  <si>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</si>
  <si>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</si>
  <si>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</si>
  <si>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</si>
  <si>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</si>
  <si>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</si>
  <si>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</si>
  <si>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</si>
  <si>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</si>
  <si>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</si>
  <si>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</si>
  <si>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</si>
  <si>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</si>
  <si>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</si>
  <si>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</si>
  <si>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</si>
  <si>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</si>
  <si>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</si>
  <si>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</si>
  <si>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</si>
  <si>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</si>
  <si>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</si>
  <si>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</si>
  <si>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</si>
  <si>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</si>
  <si>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</si>
  <si>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</si>
  <si>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</si>
  <si>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</si>
  <si>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</si>
  <si>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</si>
  <si>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</si>
  <si>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</si>
  <si>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</si>
  <si>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</si>
  <si>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</si>
  <si>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</si>
  <si>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</si>
  <si>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</si>
  <si>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</si>
  <si>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</si>
  <si>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</si>
  <si>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</si>
  <si>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</si>
  <si>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</si>
  <si>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</si>
  <si>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</si>
  <si>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</si>
  <si>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</si>
  <si>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</si>
  <si>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</si>
  <si>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</si>
  <si>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</si>
  <si>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</si>
  <si>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</si>
  <si>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</si>
  <si>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</si>
  <si>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</si>
  <si>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</si>
  <si>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</si>
  <si>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</si>
  <si>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</si>
  <si>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</si>
  <si>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</si>
  <si>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</si>
  <si>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</si>
  <si>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</si>
  <si>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</si>
  <si>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</si>
  <si>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</si>
  <si>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</si>
  <si>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</si>
  <si>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</si>
  <si>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</si>
  <si>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</si>
  <si>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</si>
  <si>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</si>
  <si>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</si>
  <si>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</si>
  <si>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</si>
  <si>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</si>
  <si>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</si>
  <si>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</si>
  <si>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</si>
  <si>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</si>
  <si>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</si>
  <si>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</si>
  <si>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</si>
  <si>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</si>
  <si>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</si>
  <si>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</si>
  <si>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</si>
  <si>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</si>
  <si>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</si>
  <si>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</si>
  <si>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</si>
  <si>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</si>
  <si>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</si>
  <si>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</si>
  <si>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</si>
  <si>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</si>
  <si>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</si>
  <si>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</si>
  <si>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</si>
  <si>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</si>
  <si>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</si>
  <si>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</si>
  <si>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</si>
  <si>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</si>
  <si>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</si>
  <si>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</si>
  <si>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</si>
  <si>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</si>
  <si>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</si>
  <si>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</si>
  <si>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</si>
  <si>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</si>
  <si>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</si>
  <si>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</si>
  <si>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</si>
  <si>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</si>
  <si>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</si>
  <si>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</si>
  <si>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</si>
  <si>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</si>
  <si>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</si>
  <si>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</si>
  <si>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</si>
  <si>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</si>
  <si>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</si>
  <si>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</si>
  <si>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</si>
  <si>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</si>
  <si>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</si>
  <si>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</si>
  <si>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</si>
  <si>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</si>
  <si>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</si>
  <si>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</si>
  <si>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</si>
  <si>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</si>
  <si>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</si>
  <si>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</si>
  <si>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</si>
  <si>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</si>
  <si>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</si>
  <si>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</si>
  <si>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</si>
  <si>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</si>
  <si>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</si>
  <si>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</si>
  <si>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</si>
  <si>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</si>
  <si>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</si>
  <si>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</si>
  <si>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</si>
  <si>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</si>
  <si>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</si>
  <si>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</si>
  <si>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</si>
  <si>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</si>
  <si>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</si>
  <si>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</si>
  <si>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</si>
  <si>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</si>
  <si>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</si>
  <si>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</si>
  <si>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</si>
  <si>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</si>
  <si>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</si>
  <si>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</si>
  <si>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</si>
  <si>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</si>
  <si>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</si>
  <si>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</si>
  <si>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</si>
  <si>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</si>
  <si>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</si>
  <si>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</si>
  <si>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</si>
  <si>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</si>
  <si>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</si>
  <si>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</si>
  <si>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</si>
  <si>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</si>
  <si>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</si>
  <si>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</si>
  <si>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</si>
  <si>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</si>
  <si>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</si>
  <si>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</si>
  <si>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</si>
  <si>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</si>
  <si>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</si>
  <si>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</si>
  <si>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</si>
  <si>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</si>
  <si>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</si>
  <si>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</si>
  <si>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</si>
  <si>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</si>
  <si>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</si>
  <si>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</si>
  <si>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</si>
  <si>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</si>
  <si>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</si>
  <si>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</si>
  <si>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</si>
  <si>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</si>
  <si>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</si>
  <si>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</si>
  <si>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</si>
  <si>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</si>
  <si>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</si>
  <si>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</si>
  <si>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</si>
  <si>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</si>
  <si>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</si>
  <si>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</si>
  <si>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</si>
  <si>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</si>
  <si>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</si>
  <si>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</si>
  <si>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</si>
  <si>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</si>
  <si>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</si>
  <si>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</si>
  <si>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</si>
  <si>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</si>
  <si>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</si>
  <si>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</si>
  <si>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</si>
  <si>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</si>
  <si>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</si>
  <si>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</si>
  <si>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</si>
  <si>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</si>
  <si>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</si>
  <si>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</si>
  <si>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</si>
  <si>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</si>
  <si>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</si>
  <si>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</si>
  <si>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</si>
  <si>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</si>
  <si>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</si>
  <si>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</si>
  <si>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</si>
  <si>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</si>
  <si>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</si>
  <si>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</si>
  <si>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</si>
  <si>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</si>
  <si>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</si>
  <si>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</si>
  <si>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</si>
  <si>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</si>
  <si>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</si>
  <si>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</si>
  <si>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</si>
  <si>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</si>
  <si>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</si>
  <si>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</si>
  <si>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</si>
  <si>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</si>
  <si>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</si>
  <si>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</si>
  <si>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</si>
  <si>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</si>
  <si>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</si>
  <si>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</si>
  <si>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</si>
  <si>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</si>
  <si>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</si>
  <si>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</si>
  <si>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</si>
  <si>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</si>
  <si>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</si>
  <si>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</si>
  <si>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</si>
  <si>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</si>
  <si>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</si>
  <si>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</si>
  <si>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</si>
  <si>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</si>
  <si>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</si>
  <si>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</si>
  <si>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</si>
  <si>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</si>
  <si>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</si>
  <si>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</si>
  <si>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</si>
  <si>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</si>
  <si>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</si>
  <si>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</si>
  <si>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</si>
  <si>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</si>
  <si>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</si>
  <si>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</si>
  <si>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</si>
  <si>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</si>
  <si>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</si>
  <si>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</si>
  <si>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</si>
  <si>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</si>
  <si>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</si>
  <si>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</si>
  <si>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</si>
  <si>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</si>
  <si>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</si>
  <si>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</si>
  <si>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</si>
  <si>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</si>
  <si>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</si>
  <si>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</si>
  <si>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</si>
  <si>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</si>
  <si>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</si>
  <si>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</si>
  <si>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</si>
  <si>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</si>
  <si>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</si>
  <si>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</si>
  <si>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</si>
  <si>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</si>
  <si>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</si>
  <si>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</si>
  <si>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</si>
  <si>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</si>
  <si>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</si>
  <si>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</si>
  <si>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</si>
  <si>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</si>
  <si>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</si>
  <si>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</si>
  <si>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</si>
  <si>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</si>
  <si>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</si>
  <si>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</si>
  <si>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</si>
  <si>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</si>
  <si>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</si>
  <si>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</si>
  <si>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</si>
  <si>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</si>
  <si>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</si>
  <si>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</si>
  <si>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</si>
  <si>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</si>
  <si>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</si>
  <si>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</si>
  <si>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</si>
  <si>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</si>
  <si>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</si>
  <si>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</si>
  <si>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</si>
  <si>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</si>
  <si>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</si>
  <si>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</si>
  <si>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</si>
  <si>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</si>
  <si>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</si>
  <si>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</si>
  <si>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</si>
  <si>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</si>
  <si>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</si>
  <si>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</si>
  <si>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</si>
  <si>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</si>
  <si>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</si>
  <si>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</si>
  <si>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</si>
  <si>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</si>
  <si>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</si>
  <si>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</si>
  <si>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</si>
  <si>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</si>
  <si>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</si>
  <si>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</si>
  <si>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</si>
  <si>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</si>
  <si>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</si>
  <si>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</si>
  <si>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</si>
  <si>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</si>
  <si>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</si>
  <si>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</si>
  <si>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</si>
  <si>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</si>
  <si>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</si>
  <si>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</si>
  <si>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</si>
  <si>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</si>
  <si>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</si>
  <si>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</si>
  <si>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</si>
  <si>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</si>
  <si>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</si>
  <si>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</si>
  <si>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</si>
  <si>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</si>
  <si>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</si>
  <si>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</si>
  <si>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</si>
  <si>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</si>
  <si>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</si>
  <si>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</si>
  <si>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</si>
  <si>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</si>
  <si>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</si>
  <si>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</si>
  <si>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</si>
  <si>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</si>
  <si>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</si>
  <si>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</si>
  <si>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</si>
  <si>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</si>
  <si>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</si>
  <si>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</si>
  <si>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</si>
  <si>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</si>
  <si>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</si>
  <si>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</si>
  <si>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</si>
  <si>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</si>
  <si>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</si>
  <si>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</si>
  <si>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</si>
  <si>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</si>
  <si>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</si>
  <si>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</si>
  <si>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</si>
  <si>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</si>
  <si>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</si>
  <si>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</si>
  <si>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</si>
  <si>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</si>
  <si>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</si>
  <si>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</si>
  <si>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</si>
  <si>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</si>
  <si>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</si>
  <si>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</si>
  <si>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</si>
  <si>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</si>
  <si>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</si>
  <si>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</si>
  <si>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</si>
  <si>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</si>
  <si>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</si>
  <si>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</si>
  <si>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</si>
  <si>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</si>
  <si>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</si>
  <si>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</si>
  <si>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</si>
  <si>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</si>
  <si>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</si>
  <si>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</si>
  <si>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</si>
  <si>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</si>
  <si>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</si>
  <si>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</si>
  <si>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</si>
  <si>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</si>
  <si>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</si>
  <si>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</si>
  <si>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</si>
  <si>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</si>
  <si>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</si>
  <si>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</si>
  <si>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</si>
  <si>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</si>
  <si>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</si>
  <si>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</si>
  <si>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</si>
  <si>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</si>
  <si>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</si>
  <si>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</si>
  <si>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</si>
  <si>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</si>
  <si>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</si>
  <si>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</si>
  <si>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</si>
  <si>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</si>
  <si>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</si>
  <si>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</si>
  <si>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</si>
  <si>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</si>
  <si>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</si>
  <si>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</si>
  <si>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</si>
  <si>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</si>
  <si>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</si>
  <si>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</si>
  <si>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</si>
  <si>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</si>
  <si>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</si>
  <si>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</si>
  <si>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</si>
  <si>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</si>
  <si>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</si>
  <si>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</si>
  <si>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</si>
  <si>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</si>
  <si>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</si>
  <si>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</si>
  <si>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</si>
  <si>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</si>
  <si>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</si>
  <si>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</si>
  <si>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</si>
  <si>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</si>
  <si>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</si>
  <si>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</si>
  <si>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</si>
  <si>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</si>
  <si>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</si>
  <si>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</si>
  <si>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</si>
  <si>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</si>
  <si>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</si>
  <si>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</si>
  <si>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</si>
  <si>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</si>
  <si>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</si>
  <si>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</si>
  <si>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</si>
  <si>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</si>
  <si>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</si>
  <si>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</si>
  <si>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利息：取LPR加浮动点数</t>
  </si>
  <si>
    <t>幢号</t>
    <phoneticPr fontId="140" type="noConversion"/>
  </si>
  <si>
    <t>层数</t>
    <phoneticPr fontId="140" type="noConversion"/>
  </si>
  <si>
    <t>结构</t>
    <phoneticPr fontId="140" type="noConversion"/>
  </si>
  <si>
    <t>混合</t>
    <phoneticPr fontId="140" type="noConversion"/>
  </si>
  <si>
    <t>建成年份</t>
    <phoneticPr fontId="140" type="noConversion"/>
  </si>
  <si>
    <t>建筑面积</t>
    <phoneticPr fontId="140" type="noConversion"/>
  </si>
  <si>
    <t>部位及房号</t>
    <phoneticPr fontId="140" type="noConversion"/>
  </si>
  <si>
    <t>附1</t>
    <phoneticPr fontId="140" type="noConversion"/>
  </si>
  <si>
    <t>附2</t>
    <phoneticPr fontId="140" type="noConversion"/>
  </si>
  <si>
    <t>砖木</t>
    <phoneticPr fontId="140" type="noConversion"/>
  </si>
  <si>
    <t>酒店</t>
    <phoneticPr fontId="7" type="noConversion"/>
  </si>
  <si>
    <t>成新度</t>
  </si>
  <si>
    <t>观察</t>
    <phoneticPr fontId="3" type="noConversion"/>
  </si>
  <si>
    <t>直线</t>
    <phoneticPr fontId="3" type="noConversion"/>
  </si>
  <si>
    <t>未包含在土地购买价格中</t>
  </si>
  <si>
    <t>全部缴纳</t>
  </si>
  <si>
    <t>已包含在土地取得成本中</t>
  </si>
  <si>
    <t>成本法</t>
  </si>
  <si>
    <t>收益法-酒店模型</t>
  </si>
  <si>
    <t>酒店收益情况说明</t>
  </si>
  <si>
    <t>一、酒店情况说明：</t>
  </si>
  <si>
    <t>房间类型</t>
  </si>
  <si>
    <t>房价（元/日、套）</t>
  </si>
  <si>
    <t>套数（套）</t>
  </si>
  <si>
    <t>房屋空置率</t>
  </si>
  <si>
    <t>标准间</t>
  </si>
  <si>
    <t>单间</t>
  </si>
  <si>
    <t>商务单间</t>
  </si>
  <si>
    <t>商务标准间</t>
  </si>
  <si>
    <t>豪华套间</t>
  </si>
  <si>
    <t>商务套间</t>
  </si>
  <si>
    <t>古典套间</t>
  </si>
  <si>
    <t>二、酒店自营房产收益情况说明：</t>
  </si>
  <si>
    <t>自助餐厅</t>
  </si>
  <si>
    <r>
      <rPr>
        <sz val="9"/>
        <color theme="1"/>
        <rFont val="宋体"/>
        <family val="3"/>
        <charset val="134"/>
        <scheme val="minor"/>
      </rPr>
      <t>餐位数为</t>
    </r>
    <r>
      <rPr>
        <u/>
        <sz val="9"/>
        <color theme="1"/>
        <rFont val="宋体"/>
        <family val="3"/>
        <charset val="134"/>
        <scheme val="minor"/>
      </rPr>
      <t xml:space="preserve"> 200</t>
    </r>
    <r>
      <rPr>
        <sz val="9"/>
        <color theme="1"/>
        <rFont val="宋体"/>
        <family val="3"/>
        <charset val="134"/>
        <scheme val="minor"/>
      </rPr>
      <t>个，人均餐额为</t>
    </r>
    <r>
      <rPr>
        <u/>
        <sz val="9"/>
        <color theme="1"/>
        <rFont val="宋体"/>
        <family val="3"/>
        <charset val="134"/>
        <scheme val="minor"/>
      </rPr>
      <t xml:space="preserve">  70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 90% </t>
    </r>
    <r>
      <rPr>
        <sz val="9"/>
        <color theme="1"/>
        <rFont val="宋体"/>
        <family val="3"/>
        <charset val="134"/>
        <scheme val="minor"/>
      </rPr>
      <t>。</t>
    </r>
  </si>
  <si>
    <t>二楼餐厅</t>
  </si>
  <si>
    <r>
      <rPr>
        <sz val="9"/>
        <color theme="1"/>
        <rFont val="宋体"/>
        <family val="3"/>
        <charset val="134"/>
        <scheme val="minor"/>
      </rPr>
      <t>餐位数为</t>
    </r>
    <r>
      <rPr>
        <u/>
        <sz val="9"/>
        <color theme="1"/>
        <rFont val="宋体"/>
        <family val="3"/>
        <charset val="134"/>
        <scheme val="minor"/>
      </rPr>
      <t xml:space="preserve"> 440</t>
    </r>
    <r>
      <rPr>
        <sz val="9"/>
        <color theme="1"/>
        <rFont val="宋体"/>
        <family val="3"/>
        <charset val="134"/>
        <scheme val="minor"/>
      </rPr>
      <t>个，人均餐额为</t>
    </r>
    <r>
      <rPr>
        <u/>
        <sz val="9"/>
        <color theme="1"/>
        <rFont val="宋体"/>
        <family val="3"/>
        <charset val="134"/>
        <scheme val="minor"/>
      </rPr>
      <t xml:space="preserve"> 102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85% </t>
    </r>
    <r>
      <rPr>
        <sz val="9"/>
        <color theme="1"/>
        <rFont val="宋体"/>
        <family val="3"/>
        <charset val="134"/>
        <scheme val="minor"/>
      </rPr>
      <t>。</t>
    </r>
  </si>
  <si>
    <t>大会议室</t>
  </si>
  <si>
    <r>
      <rPr>
        <sz val="9"/>
        <color theme="1"/>
        <rFont val="宋体"/>
        <family val="3"/>
        <charset val="134"/>
        <scheme val="minor"/>
      </rPr>
      <t>大会议室共</t>
    </r>
    <r>
      <rPr>
        <u/>
        <sz val="9"/>
        <color theme="1"/>
        <rFont val="宋体"/>
        <family val="3"/>
        <charset val="134"/>
        <scheme val="minor"/>
      </rPr>
      <t xml:space="preserve"> 2 </t>
    </r>
    <r>
      <rPr>
        <sz val="9"/>
        <color theme="1"/>
        <rFont val="宋体"/>
        <family val="3"/>
        <charset val="134"/>
        <scheme val="minor"/>
      </rPr>
      <t>个，会议室租金按平均</t>
    </r>
    <r>
      <rPr>
        <u/>
        <sz val="9"/>
        <color theme="1"/>
        <rFont val="宋体"/>
        <family val="3"/>
        <charset val="134"/>
        <scheme val="minor"/>
      </rPr>
      <t xml:space="preserve"> 8000 </t>
    </r>
    <r>
      <rPr>
        <sz val="9"/>
        <color theme="1"/>
        <rFont val="宋体"/>
        <family val="3"/>
        <charset val="134"/>
        <scheme val="minor"/>
      </rPr>
      <t>元/日计，一年设有365日，使用率</t>
    </r>
    <r>
      <rPr>
        <u/>
        <sz val="9"/>
        <color theme="1"/>
        <rFont val="宋体"/>
        <family val="3"/>
        <charset val="134"/>
        <scheme val="minor"/>
      </rPr>
      <t xml:space="preserve">70 </t>
    </r>
    <r>
      <rPr>
        <sz val="9"/>
        <color theme="1"/>
        <rFont val="宋体"/>
        <family val="3"/>
        <charset val="134"/>
        <scheme val="minor"/>
      </rPr>
      <t>。</t>
    </r>
  </si>
  <si>
    <t>普通会议室</t>
  </si>
  <si>
    <r>
      <rPr>
        <sz val="9"/>
        <color theme="1"/>
        <rFont val="宋体"/>
        <family val="3"/>
        <charset val="134"/>
        <scheme val="minor"/>
      </rPr>
      <t>普通会议室共</t>
    </r>
    <r>
      <rPr>
        <u/>
        <sz val="9"/>
        <color theme="1"/>
        <rFont val="宋体"/>
        <family val="3"/>
        <charset val="134"/>
        <scheme val="minor"/>
      </rPr>
      <t xml:space="preserve"> 5 </t>
    </r>
    <r>
      <rPr>
        <sz val="9"/>
        <color theme="1"/>
        <rFont val="宋体"/>
        <family val="3"/>
        <charset val="134"/>
        <scheme val="minor"/>
      </rPr>
      <t>个，会议室租金按平均</t>
    </r>
    <r>
      <rPr>
        <u/>
        <sz val="9"/>
        <color theme="1"/>
        <rFont val="宋体"/>
        <family val="3"/>
        <charset val="134"/>
        <scheme val="minor"/>
      </rPr>
      <t xml:space="preserve"> 5000 </t>
    </r>
    <r>
      <rPr>
        <sz val="9"/>
        <color theme="1"/>
        <rFont val="宋体"/>
        <family val="3"/>
        <charset val="134"/>
        <scheme val="minor"/>
      </rPr>
      <t>元/日计，一年设有365日，使用率65</t>
    </r>
    <r>
      <rPr>
        <u/>
        <sz val="9"/>
        <color theme="1"/>
        <rFont val="宋体"/>
        <family val="3"/>
        <charset val="134"/>
        <scheme val="minor"/>
      </rPr>
      <t xml:space="preserve">  </t>
    </r>
    <r>
      <rPr>
        <sz val="9"/>
        <color theme="1"/>
        <rFont val="宋体"/>
        <family val="3"/>
        <charset val="134"/>
        <scheme val="minor"/>
      </rPr>
      <t>。</t>
    </r>
  </si>
  <si>
    <t>其他</t>
  </si>
  <si>
    <t>名称</t>
  </si>
  <si>
    <t>年收入（万元）</t>
  </si>
  <si>
    <t>停车场</t>
  </si>
  <si>
    <t>歌厅</t>
  </si>
  <si>
    <t>售卖商品</t>
  </si>
  <si>
    <t>商品部</t>
  </si>
  <si>
    <t>自助餐厅</t>
    <phoneticPr fontId="3" type="noConversion"/>
  </si>
  <si>
    <t>餐厅</t>
    <phoneticPr fontId="3" type="noConversion"/>
  </si>
  <si>
    <t>损    益    表</t>
  </si>
  <si>
    <t>单位名称：北京黄河京都大酒店</t>
  </si>
  <si>
    <t>2017 年</t>
  </si>
  <si>
    <t>12月</t>
  </si>
  <si>
    <t>会服02表</t>
  </si>
  <si>
    <t>单位：元</t>
  </si>
  <si>
    <t>项              目</t>
  </si>
  <si>
    <t>行  次</t>
  </si>
  <si>
    <t>本  月  数</t>
  </si>
  <si>
    <t>本 年 累 计</t>
  </si>
  <si>
    <t xml:space="preserve">  一、营业收入（亏损以“-”号表示）</t>
  </si>
  <si>
    <t>1</t>
  </si>
  <si>
    <t xml:space="preserve">           减：营业成本</t>
  </si>
  <si>
    <t>2</t>
  </si>
  <si>
    <t xml:space="preserve">               营业费用</t>
  </si>
  <si>
    <t>3</t>
  </si>
  <si>
    <t xml:space="preserve">               营业税金及附加</t>
  </si>
  <si>
    <t>4</t>
  </si>
  <si>
    <t xml:space="preserve">   二、经营利润（亏损以“-”号表示）</t>
  </si>
  <si>
    <t>5</t>
  </si>
  <si>
    <t xml:space="preserve">    加：其他业务利润</t>
  </si>
  <si>
    <t>6</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</si>
  <si>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</si>
  <si>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</si>
  <si>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</si>
  <si>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</si>
  <si>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</si>
  <si>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</si>
  <si>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</si>
  <si>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</si>
  <si>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</si>
  <si>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</si>
  <si>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</si>
  <si>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</si>
  <si>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</si>
  <si>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</si>
  <si>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</si>
  <si>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 xml:space="preserve"> </t>
  </si>
  <si>
    <t>五、净利润</t>
  </si>
  <si>
    <t>单位负责人：         财会负责人：</t>
  </si>
  <si>
    <t>复核：</t>
  </si>
  <si>
    <t xml:space="preserve"> 制表： </t>
  </si>
  <si>
    <t>2018 年</t>
  </si>
  <si>
    <t>2019 年</t>
  </si>
  <si>
    <t/>
  </si>
  <si>
    <t>2020 年</t>
  </si>
  <si>
    <t>2021 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</si>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</sst>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8"/>
      <color theme="1"/>
      <name val="宋体"/>
      <family val="3"/>
      <charset val="134"/>
      <scheme val="major"/>
    </font>
    <font>
      <sz val="9"/>
      <color theme="1"/>
      <name val="宋体"/>
      <family val="3"/>
      <charset val="134"/>
      <scheme val="minor"/>
    </font>
    <font>
      <u/>
      <sz val="9"/>
      <color theme="1"/>
      <name val="宋体"/>
      <family val="3"/>
      <charset val="134"/>
      <scheme val="minor"/>
    </font>
    <font>
      <sz val="9"/>
      <color theme="1"/>
      <name val="Arial"/>
      <family val="2"/>
    </font>
    <font>
      <sz val="22"/>
      <name val="宋体"/>
      <family val="3"/>
      <charset val="134"/>
    </font>
    <font>
      <sz val="20"/>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1"/>
      <color indexed="8"/>
      <name val="黑体"/>
      <family val="3"/>
      <charset val="134"/>
    </font>
    <font>
      <b/>
      <sz val="10"/>
      <color indexed="8"/>
      <name val="黑体"/>
      <family val="3"/>
      <charset val="134"/>
    </font>
    <font>
      <b/>
      <sz val="12"/>
      <color indexed="8"/>
      <name val="黑体"/>
      <family val="3"/>
      <charset val="134"/>
    </font>
    <font>
      <sz val="12"/>
      <color indexed="8"/>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0" applyFont="1" applyAlignment="1">
      <alignment horizontal="left" vertical="center"/>
    </xf>
    <xf numFmtId="0" fontId="255" fillId="5" borderId="0" xfId="0" applyFont="1" applyFill="1" applyAlignment="1">
      <alignment horizontal="left" vertical="center"/>
    </xf>
    <xf numFmtId="0" fontId="255" fillId="9" borderId="0" xfId="0" applyFont="1" applyFill="1" applyAlignment="1">
      <alignment horizontal="lef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0" applyFont="1" applyAlignment="1">
      <alignment horizontal="center" vertical="center"/>
    </xf>
    <xf numFmtId="0" fontId="256" fillId="0" borderId="0" xfId="10" applyFont="1" applyAlignment="1">
      <alignment vertical="center"/>
    </xf>
    <xf numFmtId="0" fontId="257" fillId="0" borderId="0" xfId="10" applyFont="1" applyAlignment="1">
      <alignment horizontal="left" vertical="center"/>
    </xf>
    <xf numFmtId="0" fontId="257" fillId="0" borderId="0" xfId="10" applyFont="1">
      <alignment vertical="center"/>
    </xf>
    <xf numFmtId="0" fontId="98" fillId="0" borderId="0" xfId="10">
      <alignment vertical="center"/>
    </xf>
    <xf numFmtId="0" fontId="257" fillId="0" borderId="46" xfId="10" applyFont="1" applyBorder="1" applyAlignment="1">
      <alignment horizontal="center" vertical="center"/>
    </xf>
    <xf numFmtId="0" fontId="257" fillId="0" borderId="22" xfId="10" applyFont="1" applyBorder="1" applyAlignment="1">
      <alignment horizontal="center" vertical="center"/>
    </xf>
    <xf numFmtId="0" fontId="257" fillId="0" borderId="4" xfId="10" applyFont="1" applyBorder="1" applyAlignment="1">
      <alignment horizontal="center" vertical="center"/>
    </xf>
    <xf numFmtId="0" fontId="257" fillId="0" borderId="7" xfId="10" applyFont="1" applyBorder="1" applyAlignment="1">
      <alignment horizontal="center" vertical="center"/>
    </xf>
    <xf numFmtId="0" fontId="257" fillId="0" borderId="58" xfId="10" applyFont="1" applyBorder="1" applyAlignment="1">
      <alignment horizontal="center" vertical="center"/>
    </xf>
    <xf numFmtId="0" fontId="257" fillId="0" borderId="35" xfId="10" applyFont="1" applyBorder="1" applyAlignment="1">
      <alignment horizontal="center" vertical="center"/>
    </xf>
    <xf numFmtId="0" fontId="257" fillId="0" borderId="1" xfId="10" applyFont="1" applyBorder="1" applyAlignment="1">
      <alignment horizontal="center" vertical="center"/>
    </xf>
    <xf numFmtId="0" fontId="257" fillId="0" borderId="3" xfId="10" applyFont="1" applyBorder="1">
      <alignment vertical="center"/>
    </xf>
    <xf numFmtId="0" fontId="257" fillId="0" borderId="5" xfId="10" applyFont="1" applyBorder="1" applyAlignment="1">
      <alignment horizontal="center" vertical="center"/>
    </xf>
    <xf numFmtId="0" fontId="257" fillId="0" borderId="3" xfId="10" applyFont="1" applyBorder="1" applyAlignment="1">
      <alignment horizontal="center" vertical="center"/>
    </xf>
    <xf numFmtId="9" fontId="257" fillId="0" borderId="5" xfId="10" applyNumberFormat="1" applyFont="1" applyBorder="1" applyAlignment="1">
      <alignment horizontal="center" vertical="center"/>
    </xf>
    <xf numFmtId="0" fontId="257" fillId="0" borderId="5" xfId="10" applyFont="1" applyBorder="1" applyAlignment="1">
      <alignment horizontal="center" vertical="center"/>
    </xf>
    <xf numFmtId="9" fontId="257" fillId="0" borderId="3" xfId="10" applyNumberFormat="1" applyFont="1" applyBorder="1" applyAlignment="1">
      <alignment horizontal="center" vertical="center"/>
    </xf>
    <xf numFmtId="0" fontId="257" fillId="0" borderId="7" xfId="10" applyFont="1" applyBorder="1">
      <alignment vertical="center"/>
    </xf>
    <xf numFmtId="0" fontId="257" fillId="0" borderId="46" xfId="10" applyFont="1" applyBorder="1">
      <alignment vertical="center"/>
    </xf>
    <xf numFmtId="0" fontId="257" fillId="0" borderId="36" xfId="10" applyFont="1" applyBorder="1">
      <alignment vertical="center"/>
    </xf>
    <xf numFmtId="0" fontId="257" fillId="0" borderId="22" xfId="10" applyFont="1" applyBorder="1">
      <alignment vertical="center"/>
    </xf>
    <xf numFmtId="0" fontId="257" fillId="0" borderId="58" xfId="10" applyFont="1" applyBorder="1">
      <alignment vertical="center"/>
    </xf>
    <xf numFmtId="0" fontId="257" fillId="0" borderId="0" xfId="10" applyFont="1" applyBorder="1">
      <alignment vertical="center"/>
    </xf>
    <xf numFmtId="0" fontId="257" fillId="0" borderId="5" xfId="10" applyFont="1" applyBorder="1">
      <alignment vertical="center"/>
    </xf>
    <xf numFmtId="0" fontId="257" fillId="0" borderId="5" xfId="10" applyFont="1" applyBorder="1" applyAlignment="1">
      <alignment horizontal="center" vertical="center" wrapText="1"/>
    </xf>
    <xf numFmtId="0" fontId="257" fillId="0" borderId="54" xfId="10" applyFont="1" applyBorder="1" applyAlignment="1">
      <alignment horizontal="center" vertical="center" wrapText="1"/>
    </xf>
    <xf numFmtId="0" fontId="257" fillId="0" borderId="3" xfId="10" applyFont="1" applyBorder="1" applyAlignment="1">
      <alignment horizontal="center" vertical="center" wrapText="1"/>
    </xf>
    <xf numFmtId="0" fontId="257" fillId="0" borderId="35" xfId="10" applyFont="1" applyBorder="1">
      <alignment vertical="center"/>
    </xf>
    <xf numFmtId="0" fontId="257" fillId="0" borderId="1" xfId="10" applyFont="1" applyBorder="1">
      <alignment vertical="center"/>
    </xf>
    <xf numFmtId="0" fontId="257" fillId="0" borderId="13" xfId="10" applyFont="1" applyBorder="1" applyAlignment="1">
      <alignment horizontal="center" vertical="center"/>
    </xf>
    <xf numFmtId="0" fontId="257" fillId="0" borderId="54" xfId="10" applyFont="1" applyBorder="1">
      <alignment vertical="center"/>
    </xf>
    <xf numFmtId="0" fontId="257" fillId="0" borderId="1" xfId="10" applyFont="1" applyBorder="1" applyAlignment="1">
      <alignment horizontal="center" vertical="center"/>
    </xf>
    <xf numFmtId="0" fontId="257" fillId="0" borderId="15" xfId="10" applyFont="1" applyBorder="1" applyAlignment="1">
      <alignment horizontal="center" vertical="center"/>
    </xf>
    <xf numFmtId="0" fontId="257" fillId="0" borderId="2" xfId="10" applyFont="1" applyBorder="1">
      <alignment vertical="center"/>
    </xf>
    <xf numFmtId="0" fontId="257" fillId="0" borderId="60" xfId="10" applyFont="1" applyBorder="1">
      <alignment vertical="center"/>
    </xf>
    <xf numFmtId="0" fontId="257" fillId="0" borderId="2" xfId="10" applyFont="1" applyBorder="1" applyAlignment="1">
      <alignment horizontal="center" vertical="center"/>
    </xf>
    <xf numFmtId="0" fontId="19" fillId="0" borderId="5" xfId="4" applyFont="1" applyFill="1" applyBorder="1" applyAlignment="1" applyProtection="1">
      <alignment vertical="center"/>
      <protection locked="0"/>
    </xf>
    <xf numFmtId="0" fontId="257" fillId="0" borderId="3" xfId="10" applyFont="1" applyBorder="1" applyProtection="1">
      <alignment vertical="center"/>
      <protection locked="0"/>
    </xf>
    <xf numFmtId="0" fontId="257" fillId="0" borderId="7" xfId="10" applyFont="1" applyBorder="1" applyProtection="1">
      <alignment vertical="center"/>
      <protection locked="0"/>
    </xf>
    <xf numFmtId="0" fontId="259" fillId="0" borderId="1" xfId="4" applyFont="1" applyFill="1" applyBorder="1" applyAlignment="1" applyProtection="1">
      <alignment horizontal="left" vertical="center"/>
      <protection locked="0"/>
    </xf>
    <xf numFmtId="0" fontId="260" fillId="0" borderId="0" xfId="17" applyFont="1" applyAlignment="1">
      <alignment horizontal="center" vertical="center"/>
    </xf>
    <xf numFmtId="0" fontId="37" fillId="0" borderId="0" xfId="17">
      <alignment vertical="center"/>
    </xf>
    <xf numFmtId="0" fontId="37" fillId="0" borderId="1" xfId="17" applyBorder="1" applyAlignment="1">
      <alignment horizontal="center" vertical="center"/>
    </xf>
    <xf numFmtId="0" fontId="37" fillId="0" borderId="1" xfId="17" applyBorder="1">
      <alignment vertical="center"/>
    </xf>
    <xf numFmtId="0" fontId="261" fillId="0" borderId="0" xfId="17" applyFont="1" applyAlignment="1">
      <alignment horizontal="center" vertical="center"/>
    </xf>
    <xf numFmtId="49" fontId="262" fillId="0" borderId="0" xfId="17" applyNumberFormat="1" applyFont="1" applyBorder="1" applyAlignment="1">
      <alignment horizontal="center" vertical="center"/>
    </xf>
    <xf numFmtId="0" fontId="263" fillId="0" borderId="0" xfId="17" applyFont="1" applyBorder="1" applyAlignment="1">
      <alignment horizontal="justify" vertical="center"/>
    </xf>
    <xf numFmtId="0" fontId="263" fillId="0" borderId="0" xfId="17" applyFont="1" applyBorder="1" applyAlignment="1">
      <alignment horizontal="center" vertical="center"/>
    </xf>
    <xf numFmtId="0" fontId="264" fillId="0" borderId="0" xfId="17" applyFont="1" applyBorder="1" applyAlignment="1">
      <alignment horizontal="justify" vertical="center"/>
    </xf>
    <xf numFmtId="49" fontId="265" fillId="0" borderId="0" xfId="17" applyNumberFormat="1" applyFont="1" applyBorder="1" applyAlignment="1">
      <alignment horizontal="right" vertical="center"/>
    </xf>
    <xf numFmtId="0" fontId="266" fillId="0" borderId="0" xfId="17" applyFont="1" applyBorder="1" applyAlignment="1">
      <alignment horizontal="right" vertical="center"/>
    </xf>
    <xf numFmtId="0" fontId="266" fillId="0" borderId="0" xfId="17" applyFont="1" applyBorder="1" applyAlignment="1">
      <alignment horizontal="center" vertical="center"/>
    </xf>
    <xf numFmtId="49" fontId="266" fillId="0" borderId="0" xfId="17" applyNumberFormat="1" applyFont="1" applyBorder="1" applyAlignment="1">
      <alignment horizontal="right" vertical="center"/>
    </xf>
    <xf numFmtId="0" fontId="266" fillId="0" borderId="60" xfId="17" applyFont="1" applyBorder="1" applyAlignment="1">
      <alignment horizontal="right" vertical="center"/>
    </xf>
    <xf numFmtId="0" fontId="266" fillId="0" borderId="60" xfId="17" applyFont="1" applyBorder="1" applyAlignment="1">
      <alignment horizontal="center" vertical="center"/>
    </xf>
    <xf numFmtId="49" fontId="265" fillId="0" borderId="60" xfId="17" applyNumberFormat="1" applyFont="1" applyBorder="1" applyAlignment="1">
      <alignment horizontal="right" vertical="center"/>
    </xf>
    <xf numFmtId="49" fontId="267" fillId="0" borderId="1" xfId="17" applyNumberFormat="1" applyFont="1" applyBorder="1" applyAlignment="1">
      <alignment horizontal="center" vertical="center"/>
    </xf>
    <xf numFmtId="49" fontId="267" fillId="0" borderId="1" xfId="17" applyNumberFormat="1" applyFont="1" applyBorder="1" applyAlignment="1">
      <alignment horizontal="right" vertical="justify"/>
    </xf>
    <xf numFmtId="49" fontId="267" fillId="0" borderId="1" xfId="17" applyNumberFormat="1" applyFont="1" applyBorder="1" applyAlignment="1">
      <alignment horizontal="center" vertical="justify"/>
    </xf>
    <xf numFmtId="4" fontId="184" fillId="0" borderId="1" xfId="17" applyNumberFormat="1" applyFont="1" applyBorder="1" applyAlignment="1">
      <alignment horizontal="right" vertical="center"/>
    </xf>
    <xf numFmtId="197" fontId="37" fillId="0" borderId="1" xfId="17" applyNumberFormat="1" applyBorder="1" applyAlignment="1">
      <alignment vertical="center"/>
    </xf>
    <xf numFmtId="49" fontId="267" fillId="0" borderId="1" xfId="17" applyNumberFormat="1" applyFont="1" applyBorder="1" applyAlignment="1">
      <alignment horizontal="justify" vertical="justify"/>
    </xf>
    <xf numFmtId="4" fontId="268" fillId="0" borderId="1" xfId="17" applyNumberFormat="1" applyFont="1" applyBorder="1" applyAlignment="1">
      <alignment horizontal="right" vertical="center"/>
    </xf>
    <xf numFmtId="0" fontId="184" fillId="0" borderId="1" xfId="17" applyFont="1" applyBorder="1" applyAlignment="1">
      <alignment horizontal="right" vertical="center"/>
    </xf>
    <xf numFmtId="0" fontId="268" fillId="0" borderId="1" xfId="17" applyFont="1" applyBorder="1" applyAlignment="1">
      <alignment horizontal="right" vertical="center"/>
    </xf>
    <xf numFmtId="0" fontId="79" fillId="0" borderId="36" xfId="17" applyFont="1" applyBorder="1" applyAlignment="1">
      <alignment horizontal="justify" vertical="justify"/>
    </xf>
    <xf numFmtId="49" fontId="184" fillId="0" borderId="0" xfId="17" applyNumberFormat="1" applyFont="1" applyBorder="1" applyAlignment="1">
      <alignment horizontal="justify" vertical="justify"/>
    </xf>
    <xf numFmtId="49" fontId="184" fillId="0" borderId="0" xfId="17" applyNumberFormat="1" applyFont="1" applyBorder="1" applyAlignment="1">
      <alignment horizontal="justify" vertical="justify"/>
    </xf>
    <xf numFmtId="0" fontId="79" fillId="0" borderId="0" xfId="17" applyFont="1" applyBorder="1" applyAlignment="1">
      <alignment horizontal="justify" vertical="justify"/>
    </xf>
    <xf numFmtId="0" fontId="184" fillId="0" borderId="0" xfId="17" applyFont="1" applyBorder="1" applyAlignment="1">
      <alignment horizontal="justify" vertical="justify"/>
    </xf>
    <xf numFmtId="197" fontId="184" fillId="0" borderId="1" xfId="17" applyNumberFormat="1" applyFont="1" applyBorder="1" applyAlignment="1">
      <alignment horizontal="right" vertical="center"/>
    </xf>
    <xf numFmtId="197" fontId="268" fillId="0" borderId="1" xfId="17" applyNumberFormat="1" applyFont="1" applyBorder="1" applyAlignment="1">
      <alignment horizontal="right" vertical="center"/>
    </xf>
    <xf numFmtId="197" fontId="37" fillId="0" borderId="0" xfId="17" applyNumberFormat="1">
      <alignment vertical="center"/>
    </xf>
    <xf numFmtId="176" fontId="55" fillId="0" borderId="3" xfId="4" applyNumberFormat="1" applyFont="1" applyFill="1" applyBorder="1" applyAlignment="1" applyProtection="1">
      <alignment horizontal="lef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64;&#26009;/&#35780;&#20272;&#20844;&#21496;&#36164;&#26009;/2021/&#21271;&#20140;&#40644;&#27827;2021&#24180;&#25253;&#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15872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D5">
            <v>38347433.469999999</v>
          </cell>
        </row>
        <row r="6">
          <cell r="D6">
            <v>9423975.9299999997</v>
          </cell>
        </row>
        <row r="7">
          <cell r="D7">
            <v>9200322.0099999998</v>
          </cell>
        </row>
        <row r="8">
          <cell r="D8">
            <v>295072.53999999998</v>
          </cell>
        </row>
        <row r="11">
          <cell r="D11">
            <v>2248484.35</v>
          </cell>
        </row>
        <row r="12">
          <cell r="D12">
            <v>7528877.5</v>
          </cell>
        </row>
        <row r="14">
          <cell r="D14">
            <v>240000</v>
          </cell>
        </row>
        <row r="15">
          <cell r="D15">
            <v>6403.55</v>
          </cell>
        </row>
      </sheetData>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估价对象为北京市房地产，为所有。根据《国有土地使用证》[]，估价对象（分摊）出让国有建设用地使用权面积为3500.6平方米，建筑面积为9852.5平方米。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估价对象为北京市房地产,属开发建设的，该项目尚在开发建设中。根据《国有土地使用证》[]，估价对象（分摊）出让国有建设用地使用权面积为3500.6平方米，规划建筑面积为9852.5平方米。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2022年6月13日</v>
      </c>
    </row>
    <row r="13" spans="1:2" s="1318" customFormat="1">
      <c r="A13" s="1316" t="s">
        <v>954</v>
      </c>
      <c r="B13" s="1317"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30153</v>
      </c>
    </row>
    <row r="21" spans="1:2" s="1318" customFormat="1">
      <c r="A21" s="1316" t="s">
        <v>962</v>
      </c>
      <c r="B21" s="1317">
        <f ca="1">'预评函-2'!D7</f>
        <v>30604</v>
      </c>
    </row>
    <row r="22" spans="1:2" s="1318" customFormat="1">
      <c r="A22" s="1316" t="s">
        <v>963</v>
      </c>
      <c r="B22" s="1317" t="str">
        <f ca="1">'预评函-2'!D6</f>
        <v>叁亿零壹佰伍拾叁万元整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30153</v>
      </c>
    </row>
    <row r="31" spans="1:2" s="1318" customFormat="1">
      <c r="A31" s="1316" t="s">
        <v>1001</v>
      </c>
      <c r="B31" s="1317">
        <f ca="1">'预评函-2'!D15</f>
        <v>30604</v>
      </c>
    </row>
    <row r="32" spans="1:2" s="1318" customFormat="1">
      <c r="A32" s="1316" t="s">
        <v>968</v>
      </c>
      <c r="B32" s="1317" t="str">
        <f ca="1">'预评函-2'!D14</f>
        <v>叁亿零壹佰伍拾叁万元整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12784</v>
      </c>
    </row>
    <row r="39" spans="1:2" s="1318" customFormat="1">
      <c r="A39" s="1316" t="s">
        <v>970</v>
      </c>
      <c r="B39" s="1317">
        <f ca="1">'预评函-2'!D21</f>
        <v>12975</v>
      </c>
    </row>
    <row r="40" spans="1:2" s="1318" customFormat="1">
      <c r="A40" s="1316" t="s">
        <v>971</v>
      </c>
      <c r="B40" s="1317" t="str">
        <f ca="1">'预评函-2'!D20</f>
        <v>壹亿贰仟柒佰捌拾肆万元整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9852.5</v>
      </c>
    </row>
    <row r="44" spans="1:2" s="1318" customFormat="1">
      <c r="A44" s="1316" t="s">
        <v>1000</v>
      </c>
      <c r="B44" s="1317" t="str">
        <f>'预评函-3'!C2</f>
        <v>(分摊)土地面积</v>
      </c>
    </row>
    <row r="45" spans="1:2" s="1318" customFormat="1">
      <c r="A45" s="1316" t="s">
        <v>972</v>
      </c>
      <c r="B45" s="1317">
        <f>'预评函-3'!C4</f>
        <v>3500.6</v>
      </c>
    </row>
    <row r="46" spans="1:2" s="1318" customFormat="1">
      <c r="A46" s="1316" t="s">
        <v>998</v>
      </c>
      <c r="B46" s="1317" t="str">
        <f>'预评函-3'!D2</f>
        <v>出让国有建设用地使用权价值</v>
      </c>
    </row>
    <row r="47" spans="1:2" s="1318" customFormat="1">
      <c r="A47" s="1316" t="s">
        <v>973</v>
      </c>
      <c r="B47" s="1317">
        <f ca="1">'预评函-3'!D4</f>
        <v>25509</v>
      </c>
    </row>
    <row r="48" spans="1:2" s="1318" customFormat="1">
      <c r="A48" s="1316" t="s">
        <v>974</v>
      </c>
      <c r="B48" s="1317">
        <f ca="1">'预评函-3'!E4</f>
        <v>25890</v>
      </c>
    </row>
    <row r="49" spans="1:2" s="1318" customFormat="1">
      <c r="A49" s="1316" t="s">
        <v>975</v>
      </c>
      <c r="B49" s="1317" t="str">
        <f ca="1">'预评函-3'!D5</f>
        <v>贰亿伍仟伍佰零玖万元整</v>
      </c>
    </row>
    <row r="50" spans="1:2" s="1318" customFormat="1">
      <c r="A50" s="1316" t="s">
        <v>999</v>
      </c>
      <c r="B50" s="1317" t="str">
        <f>'预评函-3'!F2</f>
        <v>在建建筑物价值</v>
      </c>
    </row>
    <row r="51" spans="1:2" s="1318" customFormat="1">
      <c r="A51" s="1316" t="s">
        <v>976</v>
      </c>
      <c r="B51" s="1317">
        <f ca="1">'预评函-3'!F4</f>
        <v>4644</v>
      </c>
    </row>
    <row r="52" spans="1:2" s="1318" customFormat="1">
      <c r="A52" s="1316" t="s">
        <v>977</v>
      </c>
      <c r="B52" s="1317">
        <f ca="1">'预评函-3'!G4</f>
        <v>4714</v>
      </c>
    </row>
    <row r="53" spans="1:2" s="1318" customFormat="1">
      <c r="A53" s="1316" t="s">
        <v>1005</v>
      </c>
      <c r="B53" s="1317" t="str">
        <f ca="1">'预评函-3'!F5</f>
        <v>肆仟陆佰肆拾肆万元整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690" t="s">
        <v>651</v>
      </c>
      <c r="C54" s="1687" t="s">
        <v>1008</v>
      </c>
    </row>
    <row r="55" spans="1:4">
      <c r="A55" s="3272"/>
      <c r="B55" s="1690" t="s">
        <v>652</v>
      </c>
      <c r="C55" s="1687" t="s">
        <v>1009</v>
      </c>
    </row>
    <row r="56" spans="1:4">
      <c r="A56" s="3272"/>
      <c r="B56" s="1690" t="s">
        <v>653</v>
      </c>
      <c r="C56" s="1687" t="s">
        <v>1013</v>
      </c>
    </row>
    <row r="57" spans="1:4">
      <c r="A57" s="327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0" sqref="F30"/>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3" t="str">
        <f>IF(B10="北京市","北京市",C10)&amp;F10&amp;IF(结果表!G1="在建","出让国有建设用地使用权及在建建筑物",IF(结果表!G1="土地","出让国有建设用地使用权",))&amp;B9&amp;"预评估"</f>
        <v>北京市房地产抵押价值预评估</v>
      </c>
      <c r="C1" s="3274"/>
      <c r="D1" s="3274"/>
      <c r="E1" s="3274"/>
      <c r="F1" s="3274"/>
      <c r="G1" s="3274"/>
      <c r="H1" s="3274"/>
      <c r="I1" s="3275"/>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44725</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3166</v>
      </c>
      <c r="C8" s="2564"/>
      <c r="D8" s="3276" t="s">
        <v>2678</v>
      </c>
      <c r="E8" s="2565" t="s">
        <v>3167</v>
      </c>
      <c r="F8" s="2566"/>
      <c r="G8" s="2840"/>
      <c r="H8" s="2840"/>
      <c r="I8" s="2840"/>
      <c r="J8" s="2615"/>
      <c r="K8" s="2790"/>
      <c r="L8" s="2789"/>
      <c r="M8" s="2789"/>
      <c r="N8" s="2615"/>
      <c r="O8" s="2626"/>
      <c r="P8" s="2615"/>
      <c r="Q8" s="2615"/>
      <c r="R8" s="2615"/>
    </row>
    <row r="9" spans="1:28" ht="13.5" thickBot="1">
      <c r="A9" s="2567" t="s">
        <v>2679</v>
      </c>
      <c r="B9" s="2568" t="s">
        <v>3167</v>
      </c>
      <c r="C9" s="2569"/>
      <c r="D9" s="3277"/>
      <c r="E9" s="2568" t="s">
        <v>1012</v>
      </c>
      <c r="F9" s="2570"/>
      <c r="G9" s="2842"/>
      <c r="H9" s="2842"/>
      <c r="I9" s="2842"/>
      <c r="J9" s="2615"/>
      <c r="K9" s="2792"/>
      <c r="L9" s="2789"/>
      <c r="M9" s="2789"/>
      <c r="N9" s="2615"/>
      <c r="O9" s="2626"/>
      <c r="P9" s="2615"/>
      <c r="Q9" s="2615"/>
      <c r="R9" s="2615"/>
    </row>
    <row r="10" spans="1:28" ht="13.5" thickTop="1">
      <c r="A10" s="2571" t="s">
        <v>2680</v>
      </c>
      <c r="B10" s="2572" t="s">
        <v>3168</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3169</v>
      </c>
      <c r="C11" s="2577"/>
      <c r="D11" s="2578"/>
      <c r="E11" s="2544"/>
      <c r="F11" s="2544"/>
      <c r="G11" s="2544"/>
      <c r="H11" s="2544"/>
      <c r="I11" s="2544"/>
      <c r="J11" s="2615"/>
      <c r="K11" s="2792"/>
      <c r="L11" s="2789"/>
      <c r="M11" s="2789"/>
      <c r="N11" s="2615"/>
      <c r="O11" s="2626"/>
      <c r="P11" s="2615"/>
      <c r="Q11" s="2615"/>
      <c r="R11" s="2615"/>
    </row>
    <row r="12" spans="1:28">
      <c r="A12" s="2579" t="s">
        <v>2683</v>
      </c>
      <c r="B12" s="2576" t="s">
        <v>3170</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50313</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15.3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83"/>
      <c r="C16" s="3284"/>
      <c r="D16" s="3285"/>
      <c r="E16" s="2589" t="s">
        <v>2695</v>
      </c>
      <c r="F16" s="3286"/>
      <c r="G16" s="3287"/>
      <c r="H16" s="3287"/>
      <c r="I16" s="3288"/>
      <c r="J16" s="2615"/>
      <c r="K16" s="2794"/>
      <c r="L16" s="2627"/>
      <c r="M16" s="2627"/>
      <c r="N16" s="2685"/>
      <c r="O16" s="2627"/>
      <c r="P16" s="2685"/>
      <c r="Q16" s="2615"/>
      <c r="R16" s="2615"/>
    </row>
    <row r="17" spans="1:28">
      <c r="A17" s="319" t="s">
        <v>2696</v>
      </c>
      <c r="B17" s="308" t="s">
        <v>2697</v>
      </c>
      <c r="C17" s="11">
        <f>'数据-汇总表'!E3</f>
        <v>9852.5</v>
      </c>
      <c r="D17" s="2496" t="s">
        <v>2698</v>
      </c>
      <c r="E17" s="3289" t="s">
        <v>2699</v>
      </c>
      <c r="F17" s="3290"/>
      <c r="G17" s="3290"/>
      <c r="H17" s="3290"/>
      <c r="I17" s="3291"/>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3500.6</v>
      </c>
      <c r="D18" s="1205" t="s">
        <v>2702</v>
      </c>
      <c r="E18" s="3292" t="s">
        <v>2703</v>
      </c>
      <c r="F18" s="3293"/>
      <c r="G18" s="3293"/>
      <c r="H18" s="3293"/>
      <c r="I18" s="3294"/>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79" t="s">
        <v>2707</v>
      </c>
      <c r="C20" s="3280"/>
      <c r="D20" s="3281" t="s">
        <v>2708</v>
      </c>
      <c r="E20" s="3282"/>
      <c r="F20" s="2824" t="s">
        <v>1501</v>
      </c>
      <c r="G20" s="2841"/>
      <c r="H20" s="2841"/>
      <c r="I20" s="2841"/>
      <c r="J20" s="2615"/>
      <c r="K20" s="327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7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7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6"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6"/>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6"/>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7"/>
      <c r="B30" s="308" t="s">
        <v>2719</v>
      </c>
      <c r="C30" s="3298"/>
      <c r="D30" s="3299"/>
      <c r="E30" s="2841"/>
      <c r="F30" s="2841"/>
      <c r="G30" s="2841"/>
      <c r="H30" s="2841"/>
      <c r="I30" s="2841"/>
      <c r="J30" s="2615"/>
      <c r="K30" s="2792"/>
      <c r="L30" s="2789"/>
      <c r="M30" s="2789"/>
      <c r="N30" s="2615"/>
      <c r="O30" s="2626"/>
      <c r="P30" s="2615"/>
      <c r="Q30" s="2615"/>
      <c r="R30" s="2615"/>
      <c r="S30" s="2615"/>
      <c r="T30" s="2615"/>
      <c r="U30" s="2615"/>
      <c r="V30" s="2615"/>
    </row>
    <row r="31" spans="1:28">
      <c r="A31" s="3300"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1"/>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1"/>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5" t="s">
        <v>2729</v>
      </c>
      <c r="T34" s="2604" t="str">
        <f>NUMBERSTRING(7-K34,1)&amp;"通"</f>
        <v>七通</v>
      </c>
      <c r="U34" s="2615"/>
      <c r="V34" s="2615"/>
    </row>
    <row r="35" spans="1:30">
      <c r="A35" s="2605"/>
      <c r="B35" s="3302" t="s">
        <v>2730</v>
      </c>
      <c r="C35" s="3302"/>
      <c r="D35" s="3302"/>
      <c r="E35" s="3302"/>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5"/>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268</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270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3500.6</v>
      </c>
      <c r="B3" s="14">
        <f>IF(C3="否",G5-AT5,G5)</f>
        <v>9852.5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9852.5</v>
      </c>
      <c r="H5" s="16">
        <f t="shared" ref="H5:AT5" si="0">SUM(H13:H656)</f>
        <v>9097.7000000000007</v>
      </c>
      <c r="I5" s="16">
        <f t="shared" si="0"/>
        <v>9097.7000000000007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754.8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220</v>
      </c>
      <c r="AM5" s="16">
        <f t="shared" si="0"/>
        <v>0</v>
      </c>
      <c r="AN5" s="16">
        <f t="shared" si="0"/>
        <v>534.79999999999995</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9852.5</v>
      </c>
      <c r="BA5" s="18">
        <f t="shared" si="1"/>
        <v>9097.7000000000007</v>
      </c>
      <c r="BB5" s="18">
        <f t="shared" si="1"/>
        <v>9097.7000000000007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754.8</v>
      </c>
      <c r="BM5" s="18">
        <f t="shared" si="1"/>
        <v>0</v>
      </c>
      <c r="BN5" s="18">
        <f t="shared" si="1"/>
        <v>0</v>
      </c>
      <c r="BO5" s="18">
        <f t="shared" si="1"/>
        <v>0</v>
      </c>
      <c r="BP5" s="18">
        <f t="shared" si="1"/>
        <v>0</v>
      </c>
      <c r="BQ5" s="18">
        <f t="shared" si="1"/>
        <v>220</v>
      </c>
      <c r="BR5" s="18">
        <f t="shared" si="1"/>
        <v>534.79999999999995</v>
      </c>
      <c r="BS5" s="18">
        <f t="shared" si="1"/>
        <v>0</v>
      </c>
      <c r="BT5" s="19">
        <f t="shared" si="1"/>
        <v>0</v>
      </c>
    </row>
    <row r="6" spans="1:72" s="1725" customFormat="1" ht="12.75">
      <c r="A6" s="15" t="s">
        <v>1517</v>
      </c>
      <c r="B6" s="1722"/>
      <c r="C6" s="1722"/>
      <c r="D6" s="1723"/>
      <c r="E6" s="16">
        <f>H6+AC6+AT6</f>
        <v>3500.6</v>
      </c>
      <c r="F6" s="16" t="s">
        <v>1</v>
      </c>
      <c r="G6" s="16" t="s">
        <v>2</v>
      </c>
      <c r="H6" s="20">
        <f>SUMIF(I$12:AB$12,"总值",I6:AB6)</f>
        <v>3232.42</v>
      </c>
      <c r="I6" s="16">
        <f t="shared" ref="I6:AB6" si="2">ROUND($A$3*I5/$B$3,2)</f>
        <v>3232.42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268.18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78.17</v>
      </c>
      <c r="AM6" s="16">
        <f t="shared" si="3"/>
        <v>0</v>
      </c>
      <c r="AN6" s="16">
        <f t="shared" si="3"/>
        <v>190.01</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3500.6</v>
      </c>
      <c r="AZ6" s="16" t="s">
        <v>3</v>
      </c>
      <c r="BA6" s="16">
        <f>ROUND($AY$6*BA5/$AZ$5,2)</f>
        <v>3232.42</v>
      </c>
      <c r="BB6" s="16">
        <f>ROUND($AY$6*BB5/$AZ$5,2)</f>
        <v>3232.42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268.18</v>
      </c>
      <c r="BM6" s="16">
        <f t="shared" si="5"/>
        <v>0</v>
      </c>
      <c r="BN6" s="16">
        <f t="shared" si="5"/>
        <v>0</v>
      </c>
      <c r="BO6" s="16">
        <f t="shared" si="5"/>
        <v>0</v>
      </c>
      <c r="BP6" s="16">
        <f t="shared" si="5"/>
        <v>0</v>
      </c>
      <c r="BQ6" s="16">
        <f t="shared" si="5"/>
        <v>78.17</v>
      </c>
      <c r="BR6" s="16">
        <f t="shared" si="5"/>
        <v>190.01</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3172</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3171</v>
      </c>
      <c r="E13" s="16">
        <f>IF($C$3="是",ROUND($A$3*G13/$B$3,2),ROUND($A$3*(G13-AT13)/$B$3,2))</f>
        <v>3500.6</v>
      </c>
      <c r="F13" s="32"/>
      <c r="G13" s="33">
        <f>H13+AC13+AT13</f>
        <v>9852.5</v>
      </c>
      <c r="H13" s="20">
        <f>SUMIF(I$12:AB$12,"总值",I13:AB13)</f>
        <v>9097.7000000000007</v>
      </c>
      <c r="I13" s="1762">
        <f>面积!G4+面积!G7</f>
        <v>9097.7000000000007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754.8</v>
      </c>
      <c r="AD13" s="1763"/>
      <c r="AE13" s="1763"/>
      <c r="AF13" s="1763"/>
      <c r="AG13" s="1763"/>
      <c r="AH13" s="1763"/>
      <c r="AI13" s="1763"/>
      <c r="AJ13" s="1763"/>
      <c r="AK13" s="1763"/>
      <c r="AL13" s="1763">
        <f>面积!G5+面积!G6+面积!G9+面积!G10+面积!G11+面积!G12+面积!G13+面积!G14+面积!G15</f>
        <v>220</v>
      </c>
      <c r="AM13" s="1763"/>
      <c r="AN13" s="1763">
        <f>面积!G8</f>
        <v>534.79999999999995</v>
      </c>
      <c r="AO13" s="1763"/>
      <c r="AP13" s="1763"/>
      <c r="AQ13" s="1763"/>
      <c r="AR13" s="1763"/>
      <c r="AS13" s="1763"/>
      <c r="AT13" s="1764"/>
      <c r="AU13" s="1765"/>
      <c r="AV13" s="11">
        <f t="shared" ref="AV13:AX17" si="6">A13</f>
        <v>0</v>
      </c>
      <c r="AW13" s="11">
        <f t="shared" si="6"/>
        <v>0</v>
      </c>
      <c r="AX13" s="11">
        <f t="shared" si="6"/>
        <v>0</v>
      </c>
      <c r="AY13" s="1484">
        <f>ROUND($AY$6*AZ13/$AZ$5,2)</f>
        <v>3500.6</v>
      </c>
      <c r="AZ13" s="16">
        <f>BA13+BL13</f>
        <v>9852.5</v>
      </c>
      <c r="BA13" s="16">
        <f>SUM(BB13:BK13)</f>
        <v>9097.7000000000007</v>
      </c>
      <c r="BB13" s="16">
        <f>IF($D13="是",I13-J13,0)</f>
        <v>9097.7000000000007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754.8</v>
      </c>
      <c r="BM13" s="16">
        <f>IF($D13="是",AD13-AE13,0)</f>
        <v>0</v>
      </c>
      <c r="BN13" s="16">
        <f>IF($D13="是",AF13-AG13,0)</f>
        <v>0</v>
      </c>
      <c r="BO13" s="16">
        <f>IF($D13="是",AH13-AI13,0)</f>
        <v>0</v>
      </c>
      <c r="BP13" s="16">
        <f>IF($D13="是",AJ13-AK13,0)</f>
        <v>0</v>
      </c>
      <c r="BQ13" s="16">
        <f>IF($D13="是",AL13-AM13,0)</f>
        <v>220</v>
      </c>
      <c r="BR13" s="16">
        <f>IF($D13="是",AN13-AO13,0)</f>
        <v>534.79999999999995</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workbookViewId="0">
      <selection activeCell="E20" sqref="E20"/>
    </sheetView>
  </sheetViews>
  <sheetFormatPr defaultRowHeight="14.25"/>
  <cols>
    <col min="1" max="16384" width="9" style="3577"/>
  </cols>
  <sheetData>
    <row r="3" spans="2:7">
      <c r="B3" s="3577" t="s">
        <v>3174</v>
      </c>
      <c r="C3" s="3577" t="s">
        <v>3175</v>
      </c>
      <c r="D3" s="3577" t="s">
        <v>3180</v>
      </c>
      <c r="E3" s="3577" t="s">
        <v>3176</v>
      </c>
      <c r="F3" s="3577" t="s">
        <v>3178</v>
      </c>
      <c r="G3" s="3577" t="s">
        <v>3179</v>
      </c>
    </row>
    <row r="4" spans="2:7">
      <c r="B4" s="3577">
        <v>1</v>
      </c>
      <c r="C4" s="3577">
        <v>6</v>
      </c>
      <c r="E4" s="3577" t="s">
        <v>3177</v>
      </c>
      <c r="F4" s="3577">
        <v>95</v>
      </c>
      <c r="G4" s="3577">
        <v>6235.7</v>
      </c>
    </row>
    <row r="5" spans="2:7">
      <c r="B5" s="3577">
        <v>1</v>
      </c>
      <c r="D5" s="3577" t="s">
        <v>3181</v>
      </c>
      <c r="E5" s="3577" t="s">
        <v>3177</v>
      </c>
      <c r="F5" s="3577">
        <v>95</v>
      </c>
      <c r="G5" s="3578">
        <v>12.4</v>
      </c>
    </row>
    <row r="6" spans="2:7">
      <c r="B6" s="3577">
        <v>1</v>
      </c>
      <c r="D6" s="3577" t="s">
        <v>3182</v>
      </c>
      <c r="E6" s="3577" t="s">
        <v>3177</v>
      </c>
      <c r="F6" s="3577">
        <v>95</v>
      </c>
      <c r="G6" s="3578">
        <v>11.9</v>
      </c>
    </row>
    <row r="7" spans="2:7">
      <c r="B7" s="3577">
        <v>2</v>
      </c>
      <c r="C7" s="3577">
        <v>7</v>
      </c>
      <c r="E7" s="3577" t="s">
        <v>3177</v>
      </c>
      <c r="F7" s="3577">
        <v>95</v>
      </c>
      <c r="G7" s="3577">
        <v>2862</v>
      </c>
    </row>
    <row r="8" spans="2:7">
      <c r="B8" s="3577">
        <v>2</v>
      </c>
      <c r="C8" s="3577">
        <v>-1</v>
      </c>
      <c r="E8" s="3577" t="s">
        <v>3177</v>
      </c>
      <c r="F8" s="3577">
        <v>95</v>
      </c>
      <c r="G8" s="3579">
        <v>534.79999999999995</v>
      </c>
    </row>
    <row r="9" spans="2:7">
      <c r="B9" s="3577">
        <v>3</v>
      </c>
      <c r="E9" s="3577" t="s">
        <v>3177</v>
      </c>
      <c r="F9" s="3577">
        <v>95</v>
      </c>
      <c r="G9" s="3578">
        <v>21.5</v>
      </c>
    </row>
    <row r="10" spans="2:7">
      <c r="B10" s="3577">
        <v>4</v>
      </c>
      <c r="E10" s="3577" t="s">
        <v>3177</v>
      </c>
      <c r="F10" s="3577">
        <v>95</v>
      </c>
      <c r="G10" s="3578">
        <v>51.7</v>
      </c>
    </row>
    <row r="11" spans="2:7">
      <c r="B11" s="3577">
        <v>5</v>
      </c>
      <c r="E11" s="3577" t="s">
        <v>3183</v>
      </c>
      <c r="F11" s="3577">
        <v>80</v>
      </c>
      <c r="G11" s="3578">
        <v>30</v>
      </c>
    </row>
    <row r="12" spans="2:7">
      <c r="B12" s="3577">
        <v>6</v>
      </c>
      <c r="E12" s="3577" t="s">
        <v>3183</v>
      </c>
      <c r="F12" s="3577">
        <v>80</v>
      </c>
      <c r="G12" s="3578">
        <v>29.9</v>
      </c>
    </row>
    <row r="13" spans="2:7">
      <c r="B13" s="3577">
        <v>7</v>
      </c>
      <c r="E13" s="3577" t="s">
        <v>3177</v>
      </c>
      <c r="F13" s="3577">
        <v>80</v>
      </c>
      <c r="G13" s="3578">
        <v>8.9</v>
      </c>
    </row>
    <row r="14" spans="2:7">
      <c r="B14" s="3577">
        <v>8</v>
      </c>
      <c r="E14" s="3577" t="s">
        <v>3177</v>
      </c>
      <c r="F14" s="3577">
        <v>80</v>
      </c>
      <c r="G14" s="3578">
        <v>45.2</v>
      </c>
    </row>
    <row r="15" spans="2:7">
      <c r="B15" s="3577">
        <v>9</v>
      </c>
      <c r="E15" s="3577" t="s">
        <v>3177</v>
      </c>
      <c r="F15" s="3577">
        <v>70</v>
      </c>
      <c r="G15" s="3578">
        <v>8.5</v>
      </c>
    </row>
    <row r="16" spans="2:7">
      <c r="G16" s="3577">
        <f>SUM(G4:G15)</f>
        <v>9852.5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7" sqref="G3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4" t="s">
        <v>1576</v>
      </c>
      <c r="B2" s="3314"/>
      <c r="C2" s="3314"/>
      <c r="D2" s="885" t="s">
        <v>1552</v>
      </c>
      <c r="E2" s="1775" t="s">
        <v>1553</v>
      </c>
      <c r="F2" s="2836"/>
      <c r="G2" s="2827"/>
      <c r="H2" s="2828"/>
      <c r="I2" s="2499" t="s">
        <v>1577</v>
      </c>
      <c r="J2" s="2836"/>
      <c r="K2" s="2836"/>
      <c r="L2" s="2836"/>
      <c r="M2" s="2836"/>
      <c r="N2" s="2838"/>
      <c r="O2" s="2836"/>
      <c r="P2" s="2836"/>
    </row>
    <row r="3" spans="1:16" ht="15.75" thickBot="1">
      <c r="A3" s="3315" t="s">
        <v>1550</v>
      </c>
      <c r="B3" s="3315"/>
      <c r="C3" s="3315"/>
      <c r="D3" s="46">
        <f>'数据-基础表'!AY6</f>
        <v>3500.6</v>
      </c>
      <c r="E3" s="46">
        <f>'数据-基础表'!AZ5</f>
        <v>9852.5</v>
      </c>
      <c r="F3" s="2836"/>
      <c r="G3" s="1260"/>
      <c r="H3" s="1138" t="s">
        <v>1551</v>
      </c>
      <c r="I3" s="945">
        <f>ROUND('数据-基础表'!B3/'数据-基础表'!A3,2)</f>
        <v>2.81</v>
      </c>
      <c r="J3" s="2836"/>
      <c r="K3" s="2836"/>
      <c r="L3" s="2836"/>
      <c r="M3" s="2836"/>
      <c r="N3" s="2838"/>
      <c r="O3" s="2836"/>
      <c r="P3" s="2836"/>
    </row>
    <row r="4" spans="1:16" ht="15">
      <c r="A4" s="3316"/>
      <c r="B4" s="3317"/>
      <c r="C4" s="3318"/>
      <c r="D4" s="1777" t="s">
        <v>1552</v>
      </c>
      <c r="E4" s="1778" t="s">
        <v>1553</v>
      </c>
      <c r="F4" s="2836"/>
      <c r="G4" s="2829" t="s">
        <v>1578</v>
      </c>
      <c r="H4" s="1138" t="s">
        <v>1558</v>
      </c>
      <c r="I4" s="945">
        <f>ROUND(SUMIF('数据-基础表'!I9:AS9,"地上",'数据-基础表'!I5:AS5)/'数据-基础表'!A3,2)</f>
        <v>2.66</v>
      </c>
      <c r="J4" s="2836"/>
      <c r="K4" s="2836"/>
      <c r="L4" s="2836"/>
      <c r="M4" s="2836"/>
      <c r="N4" s="2838"/>
      <c r="O4" s="2836"/>
      <c r="P4" s="2836"/>
    </row>
    <row r="5" spans="1:16">
      <c r="A5" s="47" t="s">
        <v>1554</v>
      </c>
      <c r="B5" s="3319" t="s">
        <v>1555</v>
      </c>
      <c r="C5" s="3319"/>
      <c r="D5" s="48">
        <f>ROUND($D$3*E5/$E$3,2)</f>
        <v>0</v>
      </c>
      <c r="E5" s="49">
        <f>SUMIF('数据-基础表'!$11:$11,"住宅",'数据-基础表'!$5:$5)</f>
        <v>0</v>
      </c>
      <c r="F5" s="2836"/>
      <c r="G5" s="1260"/>
      <c r="H5" s="1138" t="s">
        <v>1551</v>
      </c>
      <c r="I5" s="945">
        <f>ROUND(E31/D31,2)</f>
        <v>2.81</v>
      </c>
      <c r="J5" s="2836"/>
      <c r="K5" s="2836"/>
      <c r="L5" s="2836"/>
      <c r="M5" s="2836"/>
      <c r="N5" s="2836"/>
      <c r="O5" s="2836"/>
      <c r="P5" s="2836"/>
    </row>
    <row r="6" spans="1:16" ht="15" thickBot="1">
      <c r="A6" s="1780"/>
      <c r="B6" s="3319" t="s">
        <v>1556</v>
      </c>
      <c r="C6" s="3319"/>
      <c r="D6" s="48">
        <f>ROUND($D$3*E6/$E$3,2)</f>
        <v>3500.6</v>
      </c>
      <c r="E6" s="49">
        <f>E3-E5</f>
        <v>9852.5</v>
      </c>
      <c r="F6" s="2836"/>
      <c r="G6" s="2830" t="s">
        <v>1557</v>
      </c>
      <c r="H6" s="1261" t="s">
        <v>1558</v>
      </c>
      <c r="I6" s="2831">
        <f>ROUND(F31/D31,2)</f>
        <v>2.66</v>
      </c>
      <c r="J6" s="2836"/>
      <c r="K6" s="2836"/>
      <c r="L6" s="2836"/>
      <c r="M6" s="2836"/>
      <c r="N6" s="2836"/>
      <c r="O6" s="2836"/>
      <c r="P6" s="2836"/>
    </row>
    <row r="7" spans="1:16" ht="15.75" thickBot="1">
      <c r="A7" s="3311"/>
      <c r="B7" s="3312"/>
      <c r="C7" s="3313"/>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3232.42</v>
      </c>
      <c r="E8" s="51">
        <f>SUMIF('数据-基础表'!BB10:BK10,"地上",'数据-基础表'!BB5:BK5)</f>
        <v>9097.7000000000007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3232.42</v>
      </c>
      <c r="E16" s="53">
        <f>SUM(E8:E15)</f>
        <v>9097.7000000000007</v>
      </c>
      <c r="F16" s="2836"/>
      <c r="G16" s="2837"/>
      <c r="H16" s="1784" t="s">
        <v>1580</v>
      </c>
      <c r="I16" s="1785"/>
      <c r="J16" s="1254"/>
      <c r="K16" s="3308" t="s">
        <v>1580</v>
      </c>
      <c r="L16" s="3309"/>
      <c r="M16" s="3309"/>
      <c r="N16" s="3309"/>
      <c r="O16" s="3309"/>
      <c r="P16" s="3310"/>
    </row>
    <row r="17" spans="1:19" ht="15">
      <c r="A17" s="1786" t="s">
        <v>1581</v>
      </c>
      <c r="B17" s="1787" t="s">
        <v>1582</v>
      </c>
      <c r="C17" s="1788" t="s">
        <v>1583</v>
      </c>
      <c r="D17" s="1789" t="s">
        <v>1571</v>
      </c>
      <c r="E17" s="1790" t="s">
        <v>1572</v>
      </c>
      <c r="F17" s="1791"/>
      <c r="G17" s="1792"/>
      <c r="H17" s="1793" t="s">
        <v>1584</v>
      </c>
      <c r="I17" s="1794" t="s">
        <v>1569</v>
      </c>
      <c r="J17" s="1254"/>
      <c r="K17" s="3305" t="s">
        <v>1585</v>
      </c>
      <c r="L17" s="3306"/>
      <c r="M17" s="3307"/>
      <c r="N17" s="3305" t="s">
        <v>1586</v>
      </c>
      <c r="O17" s="3306"/>
      <c r="P17" s="330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80" t="s">
        <v>3184</v>
      </c>
      <c r="D19" s="48">
        <f>ROUND($D$3*E19/$E$3,2)</f>
        <v>3232.42</v>
      </c>
      <c r="E19" s="56">
        <f t="shared" ref="E19:E26" si="1">SUM(F19:G19)</f>
        <v>9097.7000000000007</v>
      </c>
      <c r="F19" s="2976">
        <f>'数据-基础表'!I13</f>
        <v>9097.7000000000007</v>
      </c>
      <c r="G19" s="2977"/>
      <c r="H19" s="679">
        <f>ROUND($D$3*I19/$E$3,2)</f>
        <v>268.18</v>
      </c>
      <c r="I19" s="51">
        <f t="shared" ref="I19:I26" si="2">IF($I$17="自定义",P19,M19)</f>
        <v>754.8</v>
      </c>
      <c r="J19" s="1254"/>
      <c r="K19" s="1253">
        <f t="shared" ref="K19:K26" si="3">ROUND(E$28*E19/E$27,2)</f>
        <v>754.8</v>
      </c>
      <c r="L19" s="1138">
        <f t="shared" ref="L19:L26" si="4">ROUND(IF(COUNTIF(C19,"*住宅*")&gt;0,E$29*E19/E$32,0),2)</f>
        <v>0</v>
      </c>
      <c r="M19" s="1265">
        <f>K19+L19</f>
        <v>754.8</v>
      </c>
      <c r="N19" s="1805"/>
      <c r="O19" s="1806"/>
      <c r="P19" s="1265">
        <f>N19+O19</f>
        <v>0</v>
      </c>
      <c r="R19" s="1138">
        <f t="shared" ref="R19:S26" si="5">D19+H19</f>
        <v>3500.6</v>
      </c>
      <c r="S19" s="1139">
        <f t="shared" si="5"/>
        <v>9852.5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3232.42</v>
      </c>
      <c r="E27" s="1256">
        <f>IF(SUM(E19:E26)='数据-基础表'!BA5,SUM(E19:E26),IF(F27="地上面积有误","面积有误","地下面积有误"))</f>
        <v>9097.7000000000007</v>
      </c>
      <c r="F27" s="1255">
        <f>IF(SUM(F19:F26)=E8,SUM(F19:F26),"地上面积有误")</f>
        <v>9097.7000000000007</v>
      </c>
      <c r="G27" s="1257">
        <f>SUM(G19:G26)</f>
        <v>0</v>
      </c>
      <c r="H27" s="1258">
        <f>SUM(H19:H26)</f>
        <v>268.18</v>
      </c>
      <c r="I27" s="1259">
        <f>SUM(I19:I26)</f>
        <v>754.8</v>
      </c>
      <c r="J27" s="1254"/>
      <c r="K27" s="1262">
        <f>SUM(K19:K26)</f>
        <v>754.8</v>
      </c>
      <c r="L27" s="1263">
        <f>SUM(L19:L26)</f>
        <v>0</v>
      </c>
      <c r="M27" s="1266">
        <f>SUM(M19:M26)</f>
        <v>754.8</v>
      </c>
      <c r="N27" s="1262">
        <f t="shared" ref="N27:O27" si="10">SUM(N19:N26)</f>
        <v>0</v>
      </c>
      <c r="O27" s="1263">
        <f t="shared" si="10"/>
        <v>0</v>
      </c>
      <c r="P27" s="1264">
        <f>SUM(P19:P26)</f>
        <v>0</v>
      </c>
      <c r="R27" s="1140">
        <f>IF(SUM(R19:R26)=$D$3,SUM(R19:R26),SUM(R19:R26)&amp;"误差"&amp;ROUND(SUM(R19:R26)-$D$3,2))</f>
        <v>3500.6</v>
      </c>
      <c r="S27" s="1138">
        <f>IF(SUM(S19:S26)=$E$3,SUM(S19:S26),SUM(S19:S26)&amp;"误差"&amp;ROUND(SUM(S19:S26)-E3,2))</f>
        <v>9852.5</v>
      </c>
    </row>
    <row r="28" spans="1:19">
      <c r="A28" s="1807"/>
      <c r="B28" s="50" t="s">
        <v>1600</v>
      </c>
      <c r="C28" s="1150" t="s">
        <v>1601</v>
      </c>
      <c r="D28" s="48">
        <f>ROUND($D$3*E28/$E$3,2)</f>
        <v>268.18</v>
      </c>
      <c r="E28" s="56">
        <f>SUM(F28:G28)</f>
        <v>754.8</v>
      </c>
      <c r="F28" s="60">
        <f>'数据-基础表'!BQ5+'数据-基础表'!BS5</f>
        <v>220</v>
      </c>
      <c r="G28" s="61">
        <f>'数据-基础表'!BR5+'数据-基础表'!BT5</f>
        <v>534.79999999999995</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268.18</v>
      </c>
      <c r="E30" s="1255">
        <f>SUM(E28:E29)</f>
        <v>754.8</v>
      </c>
      <c r="F30" s="1255">
        <f>SUM(F28:F29)</f>
        <v>220</v>
      </c>
      <c r="G30" s="1257">
        <f>SUM(G28:G29)</f>
        <v>534.79999999999995</v>
      </c>
      <c r="H30" s="2836"/>
      <c r="I30" s="2836"/>
      <c r="J30" s="2836"/>
      <c r="K30" s="2836"/>
      <c r="L30" s="2836"/>
      <c r="M30" s="2836"/>
      <c r="N30" s="2836"/>
      <c r="O30" s="2836"/>
      <c r="P30" s="2836"/>
    </row>
    <row r="31" spans="1:19" ht="15.75" thickBot="1">
      <c r="A31" s="1813"/>
      <c r="B31" s="1814"/>
      <c r="C31" s="925" t="s">
        <v>1603</v>
      </c>
      <c r="D31" s="685">
        <f>D27+D30</f>
        <v>3500.6</v>
      </c>
      <c r="E31" s="685">
        <f>E27+E30</f>
        <v>9852.5</v>
      </c>
      <c r="F31" s="686">
        <f>F27+F30</f>
        <v>9317.7000000000007</v>
      </c>
      <c r="G31" s="687">
        <f>G27+G30</f>
        <v>534.79999999999995</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4.62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44725</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1102</v>
      </c>
      <c r="D6" s="948">
        <f>SUMIF(项目基本情况!D$12:I$12,C6,项目基本情况!D$14:I$14)</f>
        <v>40</v>
      </c>
      <c r="E6" s="947">
        <f>IF(B6="","",SUMIF(项目基本情况!D$12:I$12,C6,项目基本情况!D$13:I$13))</f>
        <v>50313</v>
      </c>
      <c r="F6" s="68">
        <f>SUMIF(项目基本情况!D$12:I$12,C6,项目基本情况!D$15:I$15)</f>
        <v>15.3</v>
      </c>
      <c r="G6" s="69">
        <f>IF(ISERROR(ROUND(POWER(1+H6,D6-F6)*(POWER(1+H6,F6)-1)/(POWER(1+H6,D6)-1),3)),0,ROUND(POWER(1+H6,D6-F6)*(POWER(1+H6,F6)-1)/(POWER(1+H6,D6)-1),3))</f>
        <v>0.61299999999999999</v>
      </c>
      <c r="H6" s="741">
        <v>0.05</v>
      </c>
      <c r="I6" s="741">
        <v>5.5E-2</v>
      </c>
      <c r="J6" s="70">
        <v>7.4999999999999997E-2</v>
      </c>
      <c r="K6" s="1142">
        <f>SUMIF('数据-汇总表'!C$19:C$33,A6,'数据-汇总表'!E$19:E$33)</f>
        <v>9097.7000000000007</v>
      </c>
      <c r="L6" s="742">
        <v>5000</v>
      </c>
      <c r="M6" s="71">
        <f t="shared" ref="M6:M14" si="0">ROUND(K6*L6/10000,0)</f>
        <v>4549</v>
      </c>
      <c r="N6" s="740">
        <v>0.6</v>
      </c>
      <c r="O6" s="71" t="str">
        <f>IF($N$5="成新度","——",ROUND(M6*N6,0))</f>
        <v>——</v>
      </c>
      <c r="P6" s="72" t="str">
        <f>IF($N$5="成新度","——",M6-O6)</f>
        <v>——</v>
      </c>
      <c r="Q6" s="743">
        <v>0.2</v>
      </c>
      <c r="R6" s="73">
        <f ca="1">SUMIF('数据-汇总表'!C$19:C$33,A6,'数据-汇总表'!R$19:R$27)</f>
        <v>3500.6</v>
      </c>
      <c r="S6" s="54">
        <f>IF('数据-汇总表'!$I$17="按面积比例",SUMIF('数据-汇总表'!C$19:C$33,A6,'数据-汇总表'!K$19:K$33),SUMIF('数据-汇总表'!C$19:C$33,A6,'数据-汇总表'!N$19:N$33))</f>
        <v>754.8</v>
      </c>
      <c r="T6" s="1287">
        <f>ROUND($L$14*S6/10000,0)</f>
        <v>226</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v>1.4999999999999999E-2</v>
      </c>
      <c r="AL6" s="84">
        <v>1.5E-3</v>
      </c>
      <c r="AM6" s="85">
        <v>0.02</v>
      </c>
      <c r="AN6" s="1852"/>
      <c r="AO6" s="55" t="e">
        <f ca="1">SUMIF(INDIRECT("'"&amp;AN6&amp;"'"&amp;"!A:A"),"总价",INDIRECT("'"&amp;AN6&amp;"'"&amp;"!B:B"))</f>
        <v>#REF!</v>
      </c>
      <c r="AP6" s="1853">
        <f>IF(C6="住宅",K6*L6,0)</f>
        <v>0</v>
      </c>
      <c r="AQ6" s="55">
        <f>ROUND($L$14*$N$14*S6/10000,0)</f>
        <v>136</v>
      </c>
      <c r="AR6" s="55">
        <f>ROUND($L$14*(1-$N$14)*S6/10000,0)</f>
        <v>91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754.8</v>
      </c>
      <c r="L14" s="87">
        <v>3000</v>
      </c>
      <c r="M14" s="71">
        <f t="shared" si="0"/>
        <v>226</v>
      </c>
      <c r="N14" s="88">
        <f>N6</f>
        <v>0.6</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0.61299999999999999</v>
      </c>
      <c r="H16" s="95">
        <f>ROUND(SUMPRODUCT(H6:H13,K6:K13)/SUMPRODUCT((H6:H13&gt;0)*(K6:K13)),3)</f>
        <v>0.05</v>
      </c>
      <c r="I16" s="96"/>
      <c r="J16" s="96"/>
      <c r="K16" s="97">
        <f>SUM(K6:K15)</f>
        <v>9852.5</v>
      </c>
      <c r="L16" s="98">
        <f>ROUND(M16*10000/SUM(K6:K14),0)</f>
        <v>4846</v>
      </c>
      <c r="M16" s="98">
        <f>SUM(M6:M14)</f>
        <v>4775</v>
      </c>
      <c r="N16" s="99">
        <f>ROUND(SUMPRODUCT(M6:M14,N6:N14)/M16,3)</f>
        <v>0.6</v>
      </c>
      <c r="O16" s="98">
        <f>SUM(O6:O14)</f>
        <v>0</v>
      </c>
      <c r="P16" s="98">
        <f>SUM(P6:P14)</f>
        <v>0</v>
      </c>
      <c r="Q16" s="100">
        <f>ROUND(SUMPRODUCT(Q6:Q13,K6:K13)/SUMPRODUCT((Q6:Q13&gt;0)*(K6:K13)),2)</f>
        <v>0.2</v>
      </c>
      <c r="R16" s="1146">
        <f ca="1">SUM(R6:R13)</f>
        <v>3500.6</v>
      </c>
      <c r="S16" s="101">
        <f>SUM(S6:S13)</f>
        <v>754.8</v>
      </c>
      <c r="T16" s="102">
        <f>IF(SUMIF(T6:T13,"&lt;9E307")=M14,SUMIF(T6:T13,"&lt;9E307"),"有误，请检查")</f>
        <v>226</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3581" t="s">
        <v>3186</v>
      </c>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3581" t="s">
        <v>3187</v>
      </c>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197</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3173</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0" t="s">
        <v>2787</v>
      </c>
      <c r="B1" s="3321"/>
      <c r="C1" s="3321"/>
      <c r="D1" s="3321"/>
      <c r="E1" s="3321"/>
      <c r="F1" s="3321"/>
      <c r="G1" s="3321"/>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9852.5</v>
      </c>
      <c r="C1" s="2865"/>
      <c r="D1" s="2865"/>
      <c r="E1" s="2865"/>
      <c r="F1" s="2865"/>
      <c r="G1" s="2866"/>
      <c r="H1" s="2867"/>
      <c r="I1" s="2867"/>
      <c r="J1" s="2867"/>
      <c r="K1" s="2867"/>
    </row>
    <row r="2" spans="1:11">
      <c r="A2" s="2688" t="s">
        <v>1078</v>
      </c>
      <c r="B2" s="2688">
        <f>SUM(C14:C23)</f>
        <v>3500.6</v>
      </c>
      <c r="C2" s="2865"/>
      <c r="D2" s="2865"/>
      <c r="E2" s="2865"/>
      <c r="F2" s="2865"/>
      <c r="G2" s="2866"/>
      <c r="H2" s="2867"/>
      <c r="I2" s="2867"/>
      <c r="J2" s="2867"/>
      <c r="K2" s="2867"/>
    </row>
    <row r="3" spans="1:11">
      <c r="A3" s="2688" t="s">
        <v>1087</v>
      </c>
      <c r="B3" s="2690">
        <f>项目基本情况!D3</f>
        <v>44725</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30153</v>
      </c>
      <c r="C5" s="2688">
        <f ca="1">ROUND(B5*10000/$B$1,0)</f>
        <v>30604</v>
      </c>
      <c r="D5" s="2688">
        <f ca="1">ROUND(B5*10000/$B$2,0)</f>
        <v>86137</v>
      </c>
      <c r="E5" s="2865"/>
      <c r="F5" s="2866"/>
      <c r="G5" s="2866"/>
      <c r="H5" s="2867"/>
      <c r="I5" s="2867"/>
      <c r="J5" s="2867"/>
      <c r="K5" s="2867"/>
    </row>
    <row r="6" spans="1:11">
      <c r="A6" s="2688" t="s">
        <v>1081</v>
      </c>
      <c r="B6" s="2688">
        <f ca="1">SUM(G14:G23)</f>
        <v>30153</v>
      </c>
      <c r="C6" s="2688">
        <f ca="1">ROUND(B6*10000/$B$1,0)</f>
        <v>30604</v>
      </c>
      <c r="D6" s="2688">
        <f ca="1">ROUND(B6*10000/$B$2,0)</f>
        <v>86137</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 ca="1">SUM(I14:I23)</f>
        <v>12784</v>
      </c>
      <c r="C8" s="2688">
        <f ca="1">ROUND(B8*10000/$B$1,0)</f>
        <v>12975</v>
      </c>
      <c r="D8" s="2688">
        <f ca="1">ROUND(B8*10000/$B$2,0)</f>
        <v>36519</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9852.5</v>
      </c>
      <c r="C14" s="2694">
        <f>结果表!C118</f>
        <v>3500.6</v>
      </c>
      <c r="D14" s="2694">
        <f ca="1">结果表!H118</f>
        <v>30153</v>
      </c>
      <c r="E14" s="2694">
        <f ca="1">ROUND(D14*10000/B14,0)</f>
        <v>30604</v>
      </c>
      <c r="F14" s="2694">
        <f ca="1">ROUND(D14*10000/C14,0)</f>
        <v>86137</v>
      </c>
      <c r="G14" s="2694">
        <f ca="1">结果表!D122</f>
        <v>30153</v>
      </c>
      <c r="H14" s="2694" t="str">
        <f>结果表!D124</f>
        <v>——</v>
      </c>
      <c r="I14" s="2694">
        <f ca="1">结果表!D126</f>
        <v>12784</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8" sqref="H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2" t="str">
        <f>项目基本情况!S2</f>
        <v>北京市房地产</v>
      </c>
      <c r="B2" s="3393"/>
      <c r="C2" s="3393"/>
      <c r="D2" s="3393"/>
      <c r="E2" s="3393"/>
      <c r="F2" s="3393"/>
      <c r="G2" s="3393"/>
      <c r="H2" s="3393"/>
      <c r="I2" s="3394"/>
    </row>
    <row r="3" spans="1:12" ht="12.75">
      <c r="A3" s="3396" t="s">
        <v>1709</v>
      </c>
      <c r="B3" s="3397"/>
      <c r="C3" s="3397"/>
      <c r="D3" s="3397"/>
      <c r="E3" s="3397"/>
      <c r="F3" s="3397"/>
      <c r="G3" s="3397"/>
      <c r="H3" s="3397"/>
      <c r="I3" s="3397"/>
    </row>
    <row r="4" spans="1:12" ht="14.25">
      <c r="A4" s="1891" t="s">
        <v>1710</v>
      </c>
      <c r="B4" s="1892" t="s">
        <v>1711</v>
      </c>
      <c r="C4" s="1893" t="s">
        <v>3191</v>
      </c>
      <c r="D4" s="1893" t="s">
        <v>3192</v>
      </c>
      <c r="E4" s="3401" t="s">
        <v>1712</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95">
        <v>25</v>
      </c>
      <c r="C5" s="3398"/>
      <c r="D5" s="3386"/>
      <c r="E5" s="136" t="s">
        <v>1714</v>
      </c>
      <c r="F5" s="1894"/>
      <c r="G5" s="1894"/>
      <c r="H5" s="1894"/>
      <c r="I5" s="1508"/>
    </row>
    <row r="6" spans="1:12" ht="12.75">
      <c r="A6" s="3337"/>
      <c r="B6" s="3395"/>
      <c r="C6" s="3400"/>
      <c r="D6" s="3386"/>
      <c r="E6" s="136" t="s">
        <v>1715</v>
      </c>
      <c r="F6" s="1894"/>
      <c r="G6" s="1894"/>
      <c r="H6" s="1894"/>
      <c r="I6" s="1508"/>
    </row>
    <row r="7" spans="1:12" ht="12.75">
      <c r="A7" s="3337"/>
      <c r="B7" s="3395"/>
      <c r="C7" s="3399"/>
      <c r="D7" s="3386"/>
      <c r="E7" s="136" t="s">
        <v>1716</v>
      </c>
      <c r="F7" s="1894"/>
      <c r="G7" s="1894"/>
      <c r="H7" s="1894"/>
      <c r="I7" s="1508"/>
    </row>
    <row r="8" spans="1:12" ht="12.75">
      <c r="A8" s="3337" t="s">
        <v>1717</v>
      </c>
      <c r="B8" s="3395">
        <v>15</v>
      </c>
      <c r="C8" s="3398"/>
      <c r="D8" s="3386"/>
      <c r="E8" s="136" t="s">
        <v>1718</v>
      </c>
      <c r="F8" s="1894"/>
      <c r="G8" s="1894"/>
      <c r="H8" s="1894"/>
      <c r="I8" s="1508"/>
    </row>
    <row r="9" spans="1:12" ht="12.75">
      <c r="A9" s="3337"/>
      <c r="B9" s="3395"/>
      <c r="C9" s="3399"/>
      <c r="D9" s="3386"/>
      <c r="E9" s="136" t="s">
        <v>1719</v>
      </c>
      <c r="F9" s="1894"/>
      <c r="G9" s="1894"/>
      <c r="H9" s="1894"/>
      <c r="I9" s="1508"/>
    </row>
    <row r="10" spans="1:12" ht="12.75">
      <c r="A10" s="3337" t="s">
        <v>1720</v>
      </c>
      <c r="B10" s="3395">
        <v>15</v>
      </c>
      <c r="C10" s="3398"/>
      <c r="D10" s="3386"/>
      <c r="E10" s="136" t="s">
        <v>1721</v>
      </c>
      <c r="F10" s="1894"/>
      <c r="G10" s="1894"/>
      <c r="H10" s="1894"/>
      <c r="I10" s="1508"/>
    </row>
    <row r="11" spans="1:12" ht="12.75">
      <c r="A11" s="3337"/>
      <c r="B11" s="3395"/>
      <c r="C11" s="3399"/>
      <c r="D11" s="3386"/>
      <c r="E11" s="136" t="s">
        <v>1722</v>
      </c>
      <c r="F11" s="1894"/>
      <c r="G11" s="1894"/>
      <c r="H11" s="1894"/>
      <c r="I11" s="1508"/>
    </row>
    <row r="12" spans="1:12" ht="12.75">
      <c r="A12" s="3337" t="s">
        <v>1723</v>
      </c>
      <c r="B12" s="3395">
        <v>15</v>
      </c>
      <c r="C12" s="3398"/>
      <c r="D12" s="3386"/>
      <c r="E12" s="136" t="s">
        <v>1724</v>
      </c>
      <c r="F12" s="1894"/>
      <c r="G12" s="1894"/>
      <c r="H12" s="1894"/>
      <c r="I12" s="1508"/>
    </row>
    <row r="13" spans="1:12" ht="12.75">
      <c r="A13" s="3337"/>
      <c r="B13" s="3395"/>
      <c r="C13" s="3399"/>
      <c r="D13" s="3386"/>
      <c r="E13" s="136" t="s">
        <v>1725</v>
      </c>
      <c r="F13" s="1894"/>
      <c r="G13" s="1894"/>
      <c r="H13" s="1894"/>
      <c r="I13" s="1508"/>
    </row>
    <row r="14" spans="1:12" ht="12.75">
      <c r="A14" s="3337" t="s">
        <v>1726</v>
      </c>
      <c r="B14" s="3395">
        <v>30</v>
      </c>
      <c r="C14" s="3398">
        <v>5</v>
      </c>
      <c r="D14" s="3386">
        <v>5</v>
      </c>
      <c r="E14" s="136" t="s">
        <v>1727</v>
      </c>
      <c r="F14" s="1894"/>
      <c r="G14" s="1894"/>
      <c r="H14" s="1894"/>
      <c r="I14" s="1508"/>
    </row>
    <row r="15" spans="1:12" ht="12.75">
      <c r="A15" s="3337"/>
      <c r="B15" s="3395"/>
      <c r="C15" s="3400"/>
      <c r="D15" s="3386"/>
      <c r="E15" s="136" t="s">
        <v>1728</v>
      </c>
      <c r="F15" s="1894"/>
      <c r="G15" s="1894"/>
      <c r="H15" s="1894"/>
      <c r="I15" s="1508"/>
    </row>
    <row r="16" spans="1:12" ht="12.75">
      <c r="A16" s="3337"/>
      <c r="B16" s="3395"/>
      <c r="C16" s="3399"/>
      <c r="D16" s="3386"/>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17" t="s">
        <v>2632</v>
      </c>
      <c r="F18" s="3418"/>
      <c r="G18" s="3418"/>
      <c r="H18" s="3418"/>
      <c r="I18" s="3418"/>
      <c r="K18" s="308" t="s">
        <v>1734</v>
      </c>
      <c r="L18" s="308">
        <f>IF(C1="",'数据-汇总表'!E3,SUMIF(项目类型,C1,'数据-汇总表'!E17:E26)+SUMIF(项目类型,C1,'数据-汇总表'!I17:I26))</f>
        <v>9852.5</v>
      </c>
      <c r="M18" s="308">
        <f>IF(C1="",'数据-汇总表'!E3,SUMIF(项目类型,C1,'数据-汇总表'!E17:E26))</f>
        <v>9852.5</v>
      </c>
    </row>
    <row r="19" spans="1:36" ht="15">
      <c r="A19" s="1898" t="s">
        <v>1735</v>
      </c>
      <c r="B19" s="1899" t="s">
        <v>1736</v>
      </c>
      <c r="C19" s="139">
        <f ca="1">SUMIF(INDIRECT("'"&amp;C4&amp;"'"&amp;"!A:A"),结果表!B19,INDIRECT("'"&amp;C4&amp;"'"&amp;"!B:B"))</f>
        <v>27810</v>
      </c>
      <c r="D19" s="140">
        <f ca="1">SUMIF(INDIRECT("'"&amp;D4&amp;"'"&amp;"!A:A"),结果表!B19,INDIRECT("'"&amp;D4&amp;"'"&amp;"!B:B"))</f>
        <v>32495</v>
      </c>
      <c r="E19" s="1898" t="s">
        <v>1737</v>
      </c>
      <c r="F19" s="1899" t="s">
        <v>1736</v>
      </c>
      <c r="G19" s="141">
        <f ca="1">ROUND(C19*$C$18+D19*$D$18,0)</f>
        <v>30153</v>
      </c>
      <c r="H19" s="1900" t="s">
        <v>1738</v>
      </c>
      <c r="I19" s="134"/>
      <c r="K19" s="308" t="s">
        <v>1739</v>
      </c>
      <c r="L19" s="308">
        <f>IF(C1="",'数据-汇总表'!D3,SUMIF(项目类型,C1,'数据-汇总表'!D17:D26)+SUMIF(项目类型,C1,'数据-汇总表'!H17:H27))</f>
        <v>3500.6</v>
      </c>
      <c r="M19" s="308">
        <f>IF(C1="",'数据-汇总表'!D3,SUMIF(项目类型,C1,'数据-汇总表'!D17:D26))</f>
        <v>3500.6</v>
      </c>
    </row>
    <row r="20" spans="1:36" ht="15">
      <c r="A20" s="1901"/>
      <c r="B20" s="1138" t="s">
        <v>1740</v>
      </c>
      <c r="C20" s="142">
        <f ca="1">SUMIF(INDIRECT("'"&amp;C4&amp;"'"&amp;"!A:A"),结果表!B20,INDIRECT("'"&amp;C4&amp;"'"&amp;"!B:B"))</f>
        <v>28226</v>
      </c>
      <c r="D20" s="143">
        <f ca="1">SUMIF(INDIRECT("'"&amp;D4&amp;"'"&amp;"!A:A"),结果表!B20,INDIRECT("'"&amp;D4&amp;"'"&amp;"!B:B"))</f>
        <v>32981</v>
      </c>
      <c r="E20" s="1901"/>
      <c r="F20" s="1138" t="s">
        <v>1740</v>
      </c>
      <c r="G20" s="144">
        <f ca="1">ROUND(C20*$C$18+D20*$D$18,0)</f>
        <v>30604</v>
      </c>
      <c r="H20" s="898" t="s">
        <v>1741</v>
      </c>
      <c r="I20" s="134"/>
    </row>
    <row r="21" spans="1:36" ht="15" customHeight="1" thickBot="1">
      <c r="A21" s="918"/>
      <c r="B21" s="1902" t="s">
        <v>1742</v>
      </c>
      <c r="C21" s="728">
        <f ca="1">ROUND(C19*10000/L19,0)</f>
        <v>79444</v>
      </c>
      <c r="D21" s="729">
        <f ca="1">ROUND(D19*10000/L19,0)</f>
        <v>92827</v>
      </c>
      <c r="E21" s="918"/>
      <c r="F21" s="1902" t="s">
        <v>1742</v>
      </c>
      <c r="G21" s="145">
        <f ca="1">ROUND(G19*10000/L19,0)</f>
        <v>86137</v>
      </c>
      <c r="H21" s="1903" t="s">
        <v>1741</v>
      </c>
      <c r="I21" s="134"/>
    </row>
    <row r="22" spans="1:36" ht="15" thickBot="1">
      <c r="A22" s="1825" t="s">
        <v>1743</v>
      </c>
      <c r="B22" s="1904"/>
      <c r="C22" s="1905"/>
      <c r="D22" s="730">
        <f ca="1">IF(C19&lt;D19,D19/C19-1,C19/D19-1)</f>
        <v>0.1684645810859402</v>
      </c>
      <c r="E22" s="134"/>
      <c r="F22" s="134"/>
      <c r="G22" s="134"/>
      <c r="H22" s="134"/>
      <c r="I22" s="134"/>
    </row>
    <row r="23" spans="1:36" ht="13.5" thickBot="1">
      <c r="A23" s="1884"/>
      <c r="B23" s="1884"/>
      <c r="C23" s="1884"/>
      <c r="D23" s="1884"/>
      <c r="E23" s="134"/>
      <c r="F23" s="134"/>
      <c r="G23" s="134"/>
      <c r="H23" s="134"/>
      <c r="I23" s="134"/>
    </row>
    <row r="24" spans="1:36" ht="14.25">
      <c r="A24" s="3410" t="s">
        <v>1744</v>
      </c>
      <c r="B24" s="1899" t="s">
        <v>1736</v>
      </c>
      <c r="C24" s="141">
        <f>IF(B30=0,0,D30)</f>
        <v>0</v>
      </c>
      <c r="D24" s="1906"/>
      <c r="E24" s="134"/>
      <c r="F24" s="134"/>
      <c r="G24" s="134"/>
      <c r="H24" s="134"/>
      <c r="I24" s="134"/>
    </row>
    <row r="25" spans="1:36" ht="14.25">
      <c r="A25" s="341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30153</v>
      </c>
      <c r="D32" s="1912" t="s">
        <v>3271</v>
      </c>
      <c r="E32" s="134"/>
      <c r="F32" s="134"/>
      <c r="G32" s="134"/>
      <c r="H32" s="134"/>
      <c r="I32" s="134"/>
    </row>
    <row r="33" spans="1:15" ht="15">
      <c r="A33" s="875" t="s">
        <v>1751</v>
      </c>
      <c r="B33" s="1913"/>
      <c r="C33" s="1914" t="s">
        <v>3272</v>
      </c>
      <c r="D33" s="1915" t="s">
        <v>3191</v>
      </c>
      <c r="E33" s="1916" t="s">
        <v>1752</v>
      </c>
      <c r="F33" s="1917" t="str">
        <f>IF(D32="楼面单价","取值（单价）","取值（总价）")</f>
        <v>取值（总价）</v>
      </c>
      <c r="G33" s="134"/>
      <c r="H33" s="134"/>
      <c r="I33" s="134"/>
    </row>
    <row r="34" spans="1:15" ht="15">
      <c r="A34" s="1918"/>
      <c r="B34" s="1919" t="s">
        <v>1753</v>
      </c>
      <c r="C34" s="153">
        <f ca="1">IF(C33="自定义",F34,C32-C35)</f>
        <v>25509</v>
      </c>
      <c r="D34" s="951">
        <f ca="1">IF(C33="自定义",ROUND(C34/C32,3),IF(C33="收益比率",SUMIF(INDIRECT("'"&amp;D33&amp;"'"&amp;"!b:b"),"土地收益比率",INDIRECT("'"&amp;D33&amp;"'"&amp;"!c:c")),SUMIF(INDIRECT("'"&amp;D33&amp;"'"&amp;"!b:b"),"土地成本比率",INDIRECT("'"&amp;D33&amp;"'"&amp;"!c:c"))))</f>
        <v>0.84599999999999997</v>
      </c>
      <c r="E34" s="1920" t="s">
        <v>1754</v>
      </c>
      <c r="F34" s="1451"/>
      <c r="G34" s="134"/>
      <c r="H34" s="134"/>
      <c r="I34" s="134"/>
    </row>
    <row r="35" spans="1:15" ht="15.75" thickBot="1">
      <c r="A35" s="1921"/>
      <c r="B35" s="1922" t="s">
        <v>1755</v>
      </c>
      <c r="C35" s="1285">
        <f ca="1">IF(C33="自定义",F35,ROUND(C32*D35,0))</f>
        <v>4644</v>
      </c>
      <c r="D35" s="1286">
        <f ca="1">IF(C33="自定义",ROUND(C35/C32,3),IF(C33="收益比率",SUMIF(INDIRECT("'"&amp;D33&amp;"'"&amp;"!b:b"),"建筑物收益比率",INDIRECT("'"&amp;D33&amp;"'"&amp;"!c:c")),SUMIF(INDIRECT("'"&amp;D33&amp;"'"&amp;"!b:b"),"建筑物成本比率",INDIRECT("'"&amp;D33&amp;"'"&amp;"!c:c"))))</f>
        <v>0.154</v>
      </c>
      <c r="E35" s="1923" t="s">
        <v>1756</v>
      </c>
      <c r="F35" s="159"/>
      <c r="G35" s="134"/>
      <c r="H35" s="134"/>
      <c r="I35" s="134"/>
    </row>
    <row r="36" spans="1:15" ht="15.75" thickBot="1">
      <c r="A36" s="3387" t="s">
        <v>1757</v>
      </c>
      <c r="B36" s="1924" t="s">
        <v>1758</v>
      </c>
      <c r="C36" s="150"/>
      <c r="D36" s="1925"/>
      <c r="E36" s="1926"/>
      <c r="F36" s="1927"/>
      <c r="G36" s="134"/>
      <c r="H36" s="134"/>
      <c r="I36" s="134"/>
    </row>
    <row r="37" spans="1:15" ht="15.75" thickBot="1">
      <c r="A37" s="3388"/>
      <c r="B37" s="1811" t="s">
        <v>1759</v>
      </c>
      <c r="C37" s="152"/>
      <c r="D37" s="1254"/>
      <c r="E37" s="1254"/>
      <c r="F37" s="1927"/>
      <c r="G37" s="134"/>
      <c r="H37" s="134"/>
      <c r="I37" s="134"/>
    </row>
    <row r="38" spans="1:15" ht="15.75" thickBot="1">
      <c r="A38" s="338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7" t="s">
        <v>1771</v>
      </c>
      <c r="B45" s="3408"/>
      <c r="C45" s="3409"/>
      <c r="D45" s="160">
        <f ca="1">ROUND(H101*F45,0)</f>
        <v>30153</v>
      </c>
      <c r="E45" s="161" t="s">
        <v>1772</v>
      </c>
      <c r="F45" s="162">
        <v>1</v>
      </c>
      <c r="G45" s="163" t="s">
        <v>1773</v>
      </c>
      <c r="H45" s="134"/>
      <c r="I45" s="134"/>
      <c r="J45" s="3324" t="s">
        <v>1774</v>
      </c>
      <c r="K45" s="3324"/>
      <c r="L45" s="3324"/>
      <c r="M45" s="3324"/>
      <c r="N45" s="3324"/>
      <c r="O45" s="3324"/>
    </row>
    <row r="46" spans="1:15" ht="14.25" customHeight="1">
      <c r="A46" s="3404" t="s">
        <v>1775</v>
      </c>
      <c r="B46" s="3405"/>
      <c r="C46" s="3405"/>
      <c r="D46" s="3405"/>
      <c r="E46" s="3405"/>
      <c r="F46" s="3405"/>
      <c r="G46" s="3406"/>
      <c r="H46" s="1943"/>
      <c r="I46" s="164"/>
      <c r="J46" s="2699">
        <v>1</v>
      </c>
      <c r="K46" s="3325" t="s">
        <v>1776</v>
      </c>
      <c r="L46" s="3325"/>
      <c r="M46" s="3326"/>
      <c r="N46" s="3326"/>
      <c r="O46" s="3326"/>
    </row>
    <row r="47" spans="1:15" ht="12" customHeight="1">
      <c r="A47" s="165" t="s">
        <v>1777</v>
      </c>
      <c r="B47" s="166"/>
      <c r="C47" s="167"/>
      <c r="D47" s="1200" t="s">
        <v>1778</v>
      </c>
      <c r="E47" s="308" t="s">
        <v>1779</v>
      </c>
      <c r="F47" s="168" t="s">
        <v>1780</v>
      </c>
      <c r="G47" s="2722" t="s">
        <v>1781</v>
      </c>
      <c r="H47" s="2723"/>
      <c r="I47" s="164"/>
      <c r="J47" s="2699">
        <v>2</v>
      </c>
      <c r="K47" s="3325" t="s">
        <v>1782</v>
      </c>
      <c r="L47" s="3325"/>
      <c r="M47" s="3327">
        <f>'数据-取费表'!B2</f>
        <v>44725</v>
      </c>
      <c r="N47" s="3327"/>
      <c r="O47" s="3327"/>
    </row>
    <row r="48" spans="1:15" ht="25.5">
      <c r="A48" s="3390" t="s">
        <v>1783</v>
      </c>
      <c r="B48" s="3391"/>
      <c r="C48" s="3391"/>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25" t="s">
        <v>1785</v>
      </c>
      <c r="L48" s="3325"/>
      <c r="M48" s="3328">
        <f ca="1">H101</f>
        <v>30153</v>
      </c>
      <c r="N48" s="3328"/>
      <c r="O48" s="3328"/>
    </row>
    <row r="49" spans="1:35" ht="25.5" customHeight="1">
      <c r="A49" s="2507" t="s">
        <v>1786</v>
      </c>
      <c r="B49" s="3373" t="s">
        <v>1787</v>
      </c>
      <c r="C49" s="3373"/>
      <c r="D49" s="1726">
        <v>0</v>
      </c>
      <c r="E49" s="330" t="s">
        <v>1788</v>
      </c>
      <c r="F49" s="2600" t="s">
        <v>34</v>
      </c>
      <c r="G49" s="3356"/>
      <c r="H49" s="2479" t="s">
        <v>2635</v>
      </c>
      <c r="I49" s="2480"/>
      <c r="J49" s="2699">
        <v>4</v>
      </c>
      <c r="K49" s="3325" t="str">
        <f>IF(项目基本情况!E8="房地产抵押价值","房地产抵押价值","抵押担保权已注销时的房地产抵押价值")</f>
        <v>房地产抵押价值</v>
      </c>
      <c r="L49" s="3325"/>
      <c r="M49" s="3328">
        <f ca="1">IF(项目基本情况!E8="房地产抵押价值",H107,H109)</f>
        <v>30153</v>
      </c>
      <c r="N49" s="3328"/>
      <c r="O49" s="3328"/>
    </row>
    <row r="50" spans="1:35" ht="25.5" customHeight="1">
      <c r="A50" s="2727"/>
      <c r="B50" s="3373" t="s">
        <v>1789</v>
      </c>
      <c r="C50" s="3373"/>
      <c r="D50" s="2728"/>
      <c r="E50" s="338"/>
      <c r="F50" s="2600"/>
      <c r="G50" s="3357"/>
      <c r="H50" s="2481" t="s">
        <v>2636</v>
      </c>
      <c r="I50" s="2480"/>
      <c r="J50" s="3324" t="s">
        <v>1790</v>
      </c>
      <c r="K50" s="3324"/>
      <c r="L50" s="3324"/>
      <c r="M50" s="3324"/>
      <c r="N50" s="3324"/>
      <c r="O50" s="3324"/>
    </row>
    <row r="51" spans="1:35" ht="20.45" customHeight="1">
      <c r="A51" s="2729"/>
      <c r="B51" s="3373" t="s">
        <v>1791</v>
      </c>
      <c r="C51" s="3373"/>
      <c r="D51" s="1200"/>
      <c r="E51" s="333"/>
      <c r="F51" s="2600"/>
      <c r="G51" s="3358"/>
      <c r="H51" s="2481" t="s">
        <v>2637</v>
      </c>
      <c r="I51" s="2480"/>
      <c r="J51" s="2700" t="s">
        <v>1792</v>
      </c>
      <c r="K51" s="3325" t="s">
        <v>1793</v>
      </c>
      <c r="L51" s="3325"/>
      <c r="M51" s="2700" t="s">
        <v>1794</v>
      </c>
      <c r="N51" s="2700" t="s">
        <v>1795</v>
      </c>
      <c r="O51" s="2700" t="s">
        <v>1796</v>
      </c>
    </row>
    <row r="52" spans="1:35" ht="24" customHeight="1">
      <c r="A52" s="2509" t="s">
        <v>1797</v>
      </c>
      <c r="B52" s="3373" t="s">
        <v>1798</v>
      </c>
      <c r="C52" s="3373"/>
      <c r="D52" s="1200">
        <f ca="1">ROUND(D45*'数据-取费表'!B41/(1+'数据-取费表'!C42),0)</f>
        <v>1608</v>
      </c>
      <c r="E52" s="2508" t="s">
        <v>1799</v>
      </c>
      <c r="F52" s="2730">
        <f>'数据-取费表'!B41</f>
        <v>5.6000000000000001E-2</v>
      </c>
      <c r="G52" s="2731"/>
      <c r="H52" s="2720"/>
      <c r="I52" s="1944"/>
      <c r="J52" s="2699">
        <v>1</v>
      </c>
      <c r="K52" s="3350" t="s">
        <v>1800</v>
      </c>
      <c r="L52" s="3350"/>
      <c r="M52" s="2701" t="b">
        <f>D48</f>
        <v>0</v>
      </c>
      <c r="N52" s="2699" t="str">
        <f>E48</f>
        <v>销售额×税（费）率</v>
      </c>
      <c r="O52" s="2702">
        <f>F48</f>
        <v>5.6000000000000001E-2</v>
      </c>
    </row>
    <row r="53" spans="1:35" ht="12" customHeight="1">
      <c r="A53" s="2509" t="s">
        <v>1801</v>
      </c>
      <c r="B53" s="3374" t="s">
        <v>2792</v>
      </c>
      <c r="C53" s="3375"/>
      <c r="D53" s="1200">
        <f ca="1">ROUND(D45*'数据-取费表'!B41/(1+'数据-取费表'!C42),0)</f>
        <v>1608</v>
      </c>
      <c r="E53" s="2508" t="s">
        <v>1799</v>
      </c>
      <c r="F53" s="2730">
        <f>'数据-取费表'!B41</f>
        <v>5.6000000000000001E-2</v>
      </c>
      <c r="G53" s="2731"/>
      <c r="H53" s="2720"/>
      <c r="I53" s="1944"/>
      <c r="J53" s="2699">
        <v>2</v>
      </c>
      <c r="K53" s="3350" t="s">
        <v>1802</v>
      </c>
      <c r="L53" s="3350"/>
      <c r="M53" s="2701">
        <f t="shared" ref="M53:O54" ca="1" si="0">D55</f>
        <v>15</v>
      </c>
      <c r="N53" s="2699" t="str">
        <f t="shared" si="0"/>
        <v>销售额×税（费）率</v>
      </c>
      <c r="O53" s="2702" t="str">
        <f t="shared" si="0"/>
        <v>免征</v>
      </c>
    </row>
    <row r="54" spans="1:35" ht="12" customHeight="1">
      <c r="A54" s="2509" t="s">
        <v>1803</v>
      </c>
      <c r="B54" s="3374" t="s">
        <v>2793</v>
      </c>
      <c r="C54" s="3375"/>
      <c r="D54" s="1200">
        <f ca="1">C68</f>
        <v>1608</v>
      </c>
      <c r="E54" s="333" t="s">
        <v>1804</v>
      </c>
      <c r="F54" s="2730">
        <f>'数据-取费表'!B41</f>
        <v>5.6000000000000001E-2</v>
      </c>
      <c r="G54" s="2731"/>
      <c r="H54" s="2732"/>
      <c r="I54" s="1944"/>
      <c r="J54" s="2699">
        <v>3</v>
      </c>
      <c r="K54" s="3350" t="s">
        <v>1805</v>
      </c>
      <c r="L54" s="3350"/>
      <c r="M54" s="2701">
        <f t="shared" ca="1" si="0"/>
        <v>17067</v>
      </c>
      <c r="N54" s="2699" t="str">
        <f t="shared" si="0"/>
        <v>增值额×税（费）率</v>
      </c>
      <c r="O54" s="2703" t="str">
        <f t="shared" si="0"/>
        <v>免征</v>
      </c>
    </row>
    <row r="55" spans="1:35" ht="24" customHeight="1">
      <c r="A55" s="3413" t="s">
        <v>1806</v>
      </c>
      <c r="B55" s="3391"/>
      <c r="C55" s="3391"/>
      <c r="D55" s="2498">
        <f ca="1">IF(H55="个人住宅",0,ROUND(D45*I55,0))</f>
        <v>15</v>
      </c>
      <c r="E55" s="2508" t="s">
        <v>1807</v>
      </c>
      <c r="F55" s="2730" t="str">
        <f>IF(H55="正常",I55,"免征")</f>
        <v>免征</v>
      </c>
      <c r="G55" s="2731"/>
      <c r="H55" s="2726"/>
      <c r="I55" s="170">
        <f>'数据-取费表'!B49</f>
        <v>5.0000000000000001E-4</v>
      </c>
      <c r="J55" s="2699">
        <f>IF(H59="非个人房产","",4)</f>
        <v>4</v>
      </c>
      <c r="K55" s="3350" t="str">
        <f>IF(H59="非个人房产","——","个人所得税")</f>
        <v>个人所得税</v>
      </c>
      <c r="L55" s="3350"/>
      <c r="M55" s="2704">
        <f ca="1">D59</f>
        <v>287</v>
      </c>
      <c r="N55" s="2179" t="str">
        <f>E59</f>
        <v>差额计税</v>
      </c>
      <c r="O55" s="2705">
        <f>F59</f>
        <v>0.01</v>
      </c>
    </row>
    <row r="56" spans="1:35" ht="24.75">
      <c r="A56" s="3413" t="s">
        <v>1808</v>
      </c>
      <c r="B56" s="3391"/>
      <c r="C56" s="3391"/>
      <c r="D56" s="2498">
        <f ca="1">IF(H56="个人住宅",D57,D58)</f>
        <v>17067</v>
      </c>
      <c r="E56" s="2508" t="s">
        <v>1809</v>
      </c>
      <c r="F56" s="2730" t="str">
        <f>IF(H56="正常",F58,"免征")</f>
        <v>免征</v>
      </c>
      <c r="G56" s="2733" t="s">
        <v>1810</v>
      </c>
      <c r="H56" s="2734"/>
      <c r="I56" s="1945"/>
      <c r="J56" s="2699" t="str">
        <f>IF(项目基本情况!K6="上海银行",IF(J55="",4,J55+1),"")</f>
        <v/>
      </c>
      <c r="K56" s="3331" t="str">
        <f>IF(项目基本情况!K6="上海银行","其他处置费用","")</f>
        <v/>
      </c>
      <c r="L56" s="3332"/>
      <c r="M56" s="2701" t="str">
        <f>IF(项目基本情况!K6="上海银行",M69,"")</f>
        <v/>
      </c>
      <c r="N56" s="3331" t="str">
        <f>IF(项目基本情况!K6="上海银行","包含处置中涉及的律师、诉讼、拍卖、评估等费用","")</f>
        <v/>
      </c>
      <c r="O56" s="3334"/>
    </row>
    <row r="57" spans="1:35" ht="12.75">
      <c r="A57" s="2509" t="s">
        <v>1786</v>
      </c>
      <c r="B57" s="3374" t="s">
        <v>1811</v>
      </c>
      <c r="C57" s="3375"/>
      <c r="D57" s="1726">
        <v>0</v>
      </c>
      <c r="E57" s="330" t="s">
        <v>1788</v>
      </c>
      <c r="F57" s="308"/>
      <c r="G57" s="2731"/>
      <c r="H57" s="2735"/>
      <c r="I57" s="1945"/>
      <c r="J57" s="3350">
        <f>IF(AND(J55="",J56=""),4,IF(项目基本情况!K6="上海银行",结果表!J56+1,结果表!J55+1))</f>
        <v>5</v>
      </c>
      <c r="K57" s="3350" t="s">
        <v>1812</v>
      </c>
      <c r="L57" s="2706" t="s">
        <v>1813</v>
      </c>
      <c r="M57" s="2707"/>
      <c r="N57" s="2708">
        <f ca="1">SUMIF(M52:M56,"&lt;9e307")</f>
        <v>17369</v>
      </c>
      <c r="O57" s="2709"/>
      <c r="P57" s="2869">
        <f ca="1">N57/M49</f>
        <v>0.57602891917885446</v>
      </c>
    </row>
    <row r="58" spans="1:35" ht="24.75">
      <c r="A58" s="2509" t="s">
        <v>1797</v>
      </c>
      <c r="B58" s="3374" t="s">
        <v>1814</v>
      </c>
      <c r="C58" s="3373"/>
      <c r="D58" s="2498">
        <f ca="1">IF(H58="转让取得",C81,C97)</f>
        <v>17067</v>
      </c>
      <c r="E58" s="2508" t="s">
        <v>1809</v>
      </c>
      <c r="F58" s="308" t="s">
        <v>34</v>
      </c>
      <c r="G58" s="2731"/>
      <c r="H58" s="2734"/>
      <c r="I58" s="1945"/>
      <c r="J58" s="3350"/>
      <c r="K58" s="3350"/>
      <c r="L58" s="2706" t="s">
        <v>1815</v>
      </c>
      <c r="M58" s="2710"/>
      <c r="N58" s="2711" t="str">
        <f ca="1">NUMBERSTRING(INT(N57*10000),2)&amp;"元整"</f>
        <v>壹亿柒仟叁佰陆拾玖万元整</v>
      </c>
      <c r="O58" s="2712"/>
    </row>
    <row r="59" spans="1:35" ht="24.75" thickBot="1">
      <c r="A59" s="3354" t="s">
        <v>1816</v>
      </c>
      <c r="B59" s="3355"/>
      <c r="C59" s="3355"/>
      <c r="D59" s="2736">
        <f ca="1">IF(H59="非个人房产","——",IF(H59="个人住宅（满五唯一有凭证）",0,IF(H59="个人其他（无凭证）",ROUND(D45*F59,0),ROUND(C67*F59,0))))</f>
        <v>287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2">
        <f>J57+1</f>
        <v>6</v>
      </c>
      <c r="K59" s="3350" t="s">
        <v>1817</v>
      </c>
      <c r="L59" s="2699" t="s">
        <v>1813</v>
      </c>
      <c r="M59" s="2713"/>
      <c r="N59" s="2714">
        <f ca="1">M49-N57</f>
        <v>12784</v>
      </c>
      <c r="O59" s="2715"/>
    </row>
    <row r="60" spans="1:35" ht="12" customHeight="1">
      <c r="A60" s="1946"/>
      <c r="B60" s="1884"/>
      <c r="C60" s="1884"/>
      <c r="D60" s="1884"/>
      <c r="E60" s="1714"/>
      <c r="F60" s="1945"/>
      <c r="G60" s="1945"/>
      <c r="H60" s="1947"/>
      <c r="I60" s="134"/>
      <c r="J60" s="3353"/>
      <c r="K60" s="3350"/>
      <c r="L60" s="2706" t="s">
        <v>1815</v>
      </c>
      <c r="M60" s="2710"/>
      <c r="N60" s="2711" t="str">
        <f ca="1">NUMBERSTRING(INT(N59*10000),2)&amp;"元整"</f>
        <v>壹亿贰仟柒佰捌拾肆万元整</v>
      </c>
      <c r="O60" s="2712"/>
    </row>
    <row r="61" spans="1:35" ht="13.5" thickBot="1">
      <c r="A61" s="3412" t="s">
        <v>1818</v>
      </c>
      <c r="B61" s="3412"/>
      <c r="C61" s="3412"/>
      <c r="D61" s="3412"/>
      <c r="E61" s="3412"/>
      <c r="F61" s="1945"/>
      <c r="G61" s="1945"/>
      <c r="H61" s="1947"/>
      <c r="I61" s="134"/>
      <c r="J61" s="2699">
        <f>J59+1</f>
        <v>7</v>
      </c>
      <c r="K61" s="3350" t="s">
        <v>1819</v>
      </c>
      <c r="L61" s="3350"/>
      <c r="M61" s="2716"/>
      <c r="N61" s="2717">
        <f ca="1">ROUND(N59*10000/'数据-汇总表'!E3,0)</f>
        <v>12975</v>
      </c>
      <c r="O61" s="2718"/>
    </row>
    <row r="62" spans="1:35" ht="12.75">
      <c r="A62" s="3369" t="s">
        <v>1820</v>
      </c>
      <c r="B62" s="3370"/>
      <c r="C62" s="2160"/>
      <c r="D62" s="2160" t="s">
        <v>1821</v>
      </c>
      <c r="E62" s="171" t="s">
        <v>1822</v>
      </c>
      <c r="F62" s="1945"/>
      <c r="G62" s="1945"/>
      <c r="H62" s="1947"/>
      <c r="I62" s="134"/>
    </row>
    <row r="63" spans="1:35" ht="12.75">
      <c r="A63" s="178" t="s">
        <v>594</v>
      </c>
      <c r="B63" s="172" t="s">
        <v>1823</v>
      </c>
      <c r="C63" s="2740">
        <f ca="1">ROUND((C64+C65)/(1+'数据-取费表'!C42),0)</f>
        <v>28717</v>
      </c>
      <c r="D63" s="172"/>
      <c r="E63" s="173"/>
      <c r="F63" s="1945"/>
      <c r="G63" s="1945"/>
      <c r="H63" s="1947"/>
      <c r="I63" s="134"/>
      <c r="J63" s="3333" t="s">
        <v>1824</v>
      </c>
      <c r="K63" s="1453" t="s">
        <v>1825</v>
      </c>
      <c r="L63" s="1453">
        <f ca="1">IF(M49&gt;10000,M49*0.5%,IF(AND(M49&gt;1000,M49&lt;=10000),M49*1%,IF(AND(M49&gt;100,M49&lt;=1000),M49*3%,IF(AND(M49&gt;10,M49&lt;=100),M49*5%,M49*8%))))</f>
        <v>150.76500000000001</v>
      </c>
      <c r="M63" s="308">
        <f ca="1">ROUND(L63,1)</f>
        <v>150.80000000000001</v>
      </c>
      <c r="N63" s="2719"/>
      <c r="Z63" s="1889"/>
      <c r="AI63" s="1890"/>
    </row>
    <row r="64" spans="1:35" ht="14.25" customHeight="1">
      <c r="A64" s="174" t="s">
        <v>589</v>
      </c>
      <c r="B64" s="175" t="s">
        <v>1826</v>
      </c>
      <c r="C64" s="2741">
        <f ca="1">D45</f>
        <v>30153</v>
      </c>
      <c r="D64" s="175" t="s">
        <v>32</v>
      </c>
      <c r="E64" s="177"/>
      <c r="F64" s="1945"/>
      <c r="G64" s="1945"/>
      <c r="H64" s="1947"/>
      <c r="I64" s="134"/>
      <c r="J64" s="3333"/>
      <c r="K64" s="1453" t="s">
        <v>1827</v>
      </c>
      <c r="L64" s="1453">
        <f ca="1">IF(M49&gt;2000,M49*0.5%,IF(AND(M49&gt;1000,M49&lt;=2000),M49*0.6%,IF(AND(M49&gt;500,M49&lt;=1000),M49*0.7%,IF(AND(M49&gt;200,M49&lt;=500),M49*0.8%,IF(AND(M49&gt;100,M49&lt;=200),M49*0.9%,IF(AND(M49&gt;50,M49&lt;=100),M49*1%,IF(AND(M49&gt;20,M49&lt;=50),M49*1.5%,IF(AND(M49&gt;10,M49&lt;=20),M49*2%,IF(AND(M49&gt;1,M49&lt;=10),M49*2.5%)))))))))</f>
        <v>150.76500000000001</v>
      </c>
      <c r="M64" s="308">
        <f t="shared" ref="M64:M65" ca="1" si="1">ROUND(L64,1)</f>
        <v>150.80000000000001</v>
      </c>
      <c r="N64" s="2720" t="s">
        <v>1828</v>
      </c>
      <c r="Z64" s="1889"/>
      <c r="AI64" s="1890"/>
    </row>
    <row r="65" spans="1:35" ht="14.25" customHeight="1">
      <c r="A65" s="174" t="s">
        <v>590</v>
      </c>
      <c r="B65" s="175" t="s">
        <v>1829</v>
      </c>
      <c r="C65" s="2742"/>
      <c r="D65" s="175"/>
      <c r="E65" s="177"/>
      <c r="F65" s="1945"/>
      <c r="G65" s="1945"/>
      <c r="H65" s="1947"/>
      <c r="I65" s="134"/>
      <c r="J65" s="3333"/>
      <c r="K65" s="1453" t="s">
        <v>1830</v>
      </c>
      <c r="L65" s="1453">
        <f ca="1">IF(M49&gt;1000,M49*0.1%,IF(AND(M49&gt;500,M49&lt;=1000),M49*0.5%,IF(AND(M49&gt;50,M49&lt;=500),M49*1%,IF(AND(M49&gt;1,M49&lt;=50),M49*1.5%))))</f>
        <v>30.153000000000002</v>
      </c>
      <c r="M65" s="308">
        <f t="shared" ca="1" si="1"/>
        <v>30.2</v>
      </c>
      <c r="N65" s="2720" t="s">
        <v>1828</v>
      </c>
      <c r="Z65" s="1889"/>
      <c r="AI65" s="1890"/>
    </row>
    <row r="66" spans="1:35" ht="14.25" customHeight="1">
      <c r="A66" s="178" t="s">
        <v>591</v>
      </c>
      <c r="B66" s="179" t="s">
        <v>1831</v>
      </c>
      <c r="C66" s="2743"/>
      <c r="D66" s="179" t="s">
        <v>32</v>
      </c>
      <c r="E66" s="1460" t="s">
        <v>1096</v>
      </c>
      <c r="F66" s="1945"/>
      <c r="G66" s="1945"/>
      <c r="H66" s="1947"/>
      <c r="I66" s="134"/>
      <c r="J66" s="3333"/>
      <c r="K66" s="1453" t="s">
        <v>1832</v>
      </c>
      <c r="L66" s="1453">
        <f ca="1">M49*0.5%</f>
        <v>150.76500000000001</v>
      </c>
      <c r="M66" s="308">
        <f ca="1">IF(L66&gt;0.5,0.5,ROUND(L66,0))</f>
        <v>0.5</v>
      </c>
      <c r="N66" s="2720" t="s">
        <v>1833</v>
      </c>
      <c r="Z66" s="1889"/>
      <c r="AI66" s="1890"/>
    </row>
    <row r="67" spans="1:35" ht="14.25" customHeight="1">
      <c r="A67" s="178" t="s">
        <v>592</v>
      </c>
      <c r="B67" s="179" t="s">
        <v>1834</v>
      </c>
      <c r="C67" s="2744">
        <f ca="1">C63-C66</f>
        <v>28717</v>
      </c>
      <c r="D67" s="175" t="s">
        <v>32</v>
      </c>
      <c r="E67" s="177"/>
      <c r="F67" s="1945"/>
      <c r="G67" s="1945"/>
      <c r="H67" s="1947"/>
      <c r="I67" s="134"/>
      <c r="J67" s="3333"/>
      <c r="K67" s="1453" t="s">
        <v>1835</v>
      </c>
      <c r="L67" s="1453">
        <f ca="1">IF(M49&gt;=10000,(8.25+(M49-10000)*0.01%),IF(AND(M49&gt;=8000,M49&lt;10000),(7.85+(M49-8000)*0.02%),IF(AND(M49&gt;=5000,M49&lt;8000),(6.65+(M49-5000)*0.04%),IF(AND(M49&gt;=2000,M49&lt;5000),(4.25+(PM49-2000)*0.08%),IF(AND(M49&gt;=1000,M49&lt;2000),(2.75+(M49-1000)*0.15%),IF(AND(M49&gt;=100,M49&lt;1000),(0.5+(M49-100)*0.25%),IF(AND(M49&gt;0,M49&lt;100),M49*0.5%)))))))</f>
        <v>10.2653</v>
      </c>
      <c r="M67" s="308">
        <f ca="1">ROUND(L67*0.9,1)</f>
        <v>9.1999999999999993</v>
      </c>
      <c r="N67" s="2719"/>
      <c r="Z67" s="1889"/>
      <c r="AI67" s="1890"/>
    </row>
    <row r="68" spans="1:35" ht="14.25" customHeight="1" thickBot="1">
      <c r="A68" s="181" t="s">
        <v>593</v>
      </c>
      <c r="B68" s="182" t="s">
        <v>1836</v>
      </c>
      <c r="C68" s="2745">
        <f ca="1">IF(C67&lt;=0,0,ROUND(C67*D68,0))</f>
        <v>1608</v>
      </c>
      <c r="D68" s="2746">
        <f>'数据-取费表'!B41</f>
        <v>5.6000000000000001E-2</v>
      </c>
      <c r="E68" s="184"/>
      <c r="F68" s="1945"/>
      <c r="G68" s="1945"/>
      <c r="H68" s="1947"/>
      <c r="I68" s="134"/>
      <c r="J68" s="3333"/>
      <c r="K68" s="1453" t="s">
        <v>1837</v>
      </c>
      <c r="L68" s="1453">
        <f ca="1">IF(M49&gt;10000,M49*0.5%,IF(AND(M49&gt;5000,M49&lt;=10000),M49*1%,IF(AND(M49&gt;1000,M49&lt;=5000),M49*2%,IF(AND(M49&gt;200,M49&lt;=1000),M49*3%,M49*5%))))</f>
        <v>150.76500000000001</v>
      </c>
      <c r="M68" s="308">
        <f ca="1">ROUND(L68,1)</f>
        <v>150.80000000000001</v>
      </c>
      <c r="N68" s="2719"/>
      <c r="Z68" s="1889"/>
      <c r="AI68" s="1890"/>
    </row>
    <row r="69" spans="1:35" s="1909" customFormat="1" ht="16.5" customHeight="1">
      <c r="A69" s="1948"/>
      <c r="B69" s="1949"/>
      <c r="C69" s="1950"/>
      <c r="D69" s="1951"/>
      <c r="E69" s="1952"/>
      <c r="F69" s="1714"/>
      <c r="G69" s="1714"/>
      <c r="H69" s="1713"/>
      <c r="I69" s="1884"/>
      <c r="J69" s="3333"/>
      <c r="K69" s="1453" t="s">
        <v>1838</v>
      </c>
      <c r="L69" s="1453"/>
      <c r="M69" s="308">
        <f ca="1">ROUND(SUM(M63:M68),0)</f>
        <v>492</v>
      </c>
      <c r="N69" s="2721">
        <f ca="1">M69/M49</f>
        <v>1.6316784399562231E-2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7" t="s">
        <v>1839</v>
      </c>
      <c r="B70" s="3378"/>
      <c r="C70" s="3378"/>
      <c r="D70" s="3378"/>
      <c r="E70" s="3378"/>
      <c r="F70" s="3378"/>
      <c r="G70" s="3378"/>
      <c r="H70" s="3378"/>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9" t="s">
        <v>1820</v>
      </c>
      <c r="B71" s="3370"/>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28717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172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4" t="s">
        <v>1847</v>
      </c>
      <c r="F76" s="3373"/>
      <c r="G76" s="3373"/>
      <c r="H76" s="337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172</v>
      </c>
      <c r="D78" s="2753">
        <f>'数据-取费表'!B43</f>
        <v>6.000000000000001E-3</v>
      </c>
      <c r="E78" s="3366" t="s">
        <v>1851</v>
      </c>
      <c r="F78" s="3367"/>
      <c r="G78" s="3367"/>
      <c r="H78" s="336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28545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165.9593023255814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17067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7" t="s">
        <v>1855</v>
      </c>
      <c r="B83" s="3378"/>
      <c r="C83" s="3378"/>
      <c r="D83" s="3378"/>
      <c r="E83" s="3378"/>
      <c r="F83" s="3378"/>
      <c r="G83" s="3378"/>
      <c r="H83" s="337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9" t="s">
        <v>1820</v>
      </c>
      <c r="B84" s="337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28717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172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5" t="s">
        <v>2630</v>
      </c>
      <c r="H90" s="3336"/>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6" t="s">
        <v>1864</v>
      </c>
      <c r="F91" s="3367"/>
      <c r="G91" s="336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6" t="s">
        <v>1867</v>
      </c>
      <c r="F92" s="3367"/>
      <c r="G92" s="3367"/>
      <c r="H92" s="3368"/>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172</v>
      </c>
      <c r="D93" s="2753">
        <f>'数据-取费表'!B43</f>
        <v>6.000000000000001E-3</v>
      </c>
      <c r="E93" s="3366" t="s">
        <v>1851</v>
      </c>
      <c r="F93" s="3367"/>
      <c r="G93" s="3367"/>
      <c r="H93" s="336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4" t="s">
        <v>1871</v>
      </c>
      <c r="F94" s="3415"/>
      <c r="G94" s="3415"/>
      <c r="H94" s="341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28545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165.9593023255814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17067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6" t="s">
        <v>1873</v>
      </c>
      <c r="B100" s="3317"/>
      <c r="C100" s="3317"/>
      <c r="D100" s="3351"/>
      <c r="E100" s="3317" t="s">
        <v>1874</v>
      </c>
      <c r="F100" s="3317"/>
      <c r="G100" s="3317"/>
      <c r="H100" s="3351"/>
      <c r="I100" s="134"/>
    </row>
    <row r="101" spans="1:35" ht="18.75" customHeight="1">
      <c r="A101" s="3359" t="s">
        <v>1875</v>
      </c>
      <c r="B101" s="3360"/>
      <c r="C101" s="2761" t="str">
        <f>C4</f>
        <v>成本法</v>
      </c>
      <c r="D101" s="2762" t="str">
        <f>D4</f>
        <v>收益法-酒店模型</v>
      </c>
      <c r="E101" s="3329" t="s">
        <v>1876</v>
      </c>
      <c r="F101" s="3330"/>
      <c r="G101" s="1964" t="s">
        <v>1877</v>
      </c>
      <c r="H101" s="2771">
        <f ca="1">H118</f>
        <v>30153</v>
      </c>
      <c r="I101" s="134"/>
    </row>
    <row r="102" spans="1:35" ht="18.75" customHeight="1">
      <c r="A102" s="3361" t="s">
        <v>1878</v>
      </c>
      <c r="B102" s="2760" t="s">
        <v>1877</v>
      </c>
      <c r="C102" s="2761">
        <f ca="1">C19</f>
        <v>27810</v>
      </c>
      <c r="D102" s="2762">
        <f ca="1">D19</f>
        <v>32495</v>
      </c>
      <c r="E102" s="3329"/>
      <c r="F102" s="3330"/>
      <c r="G102" s="1964" t="s">
        <v>1879</v>
      </c>
      <c r="H102" s="2731">
        <f ca="1">I118</f>
        <v>30604</v>
      </c>
      <c r="I102" s="134"/>
    </row>
    <row r="103" spans="1:35" ht="42.75" customHeight="1">
      <c r="A103" s="3361"/>
      <c r="B103" s="2760" t="s">
        <v>1879</v>
      </c>
      <c r="C103" s="2763">
        <f ca="1">C20</f>
        <v>28226</v>
      </c>
      <c r="D103" s="2764">
        <f ca="1">D20</f>
        <v>32981</v>
      </c>
      <c r="E103" s="3322" t="s">
        <v>1880</v>
      </c>
      <c r="F103" s="3323"/>
      <c r="G103" s="1965" t="s">
        <v>1881</v>
      </c>
      <c r="H103" s="2771">
        <f>IF(D36="正常操作",H104+H105+H106,H105+H106)</f>
        <v>0</v>
      </c>
      <c r="I103" s="134"/>
    </row>
    <row r="104" spans="1:35" ht="18.75" customHeight="1">
      <c r="A104" s="3361" t="s">
        <v>1882</v>
      </c>
      <c r="B104" s="2765" t="s">
        <v>1877</v>
      </c>
      <c r="C104" s="2766">
        <f ca="1">H118</f>
        <v>30153</v>
      </c>
      <c r="D104" s="2767"/>
      <c r="E104" s="1811" t="s">
        <v>1883</v>
      </c>
      <c r="F104" s="1802"/>
      <c r="G104" s="1965" t="s">
        <v>1881</v>
      </c>
      <c r="H104" s="2772">
        <f>IF(D36="同一抵押权人同一抵押物续贷",C36&amp;"（续贷，未扣减，详见特别提示）",C36)</f>
        <v>0</v>
      </c>
      <c r="I104" s="134"/>
    </row>
    <row r="105" spans="1:35" ht="18.75" customHeight="1" thickBot="1">
      <c r="A105" s="3371"/>
      <c r="B105" s="2768" t="s">
        <v>1879</v>
      </c>
      <c r="C105" s="2769">
        <f ca="1">I118</f>
        <v>30604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2" t="str">
        <f>IF(项目基本情况!E8="已注销","——","3.房地产抵押价值")</f>
        <v>3.房地产抵押价值</v>
      </c>
      <c r="F107" s="3330"/>
      <c r="G107" s="1964" t="s">
        <v>1877</v>
      </c>
      <c r="H107" s="2771">
        <f ca="1">IF(E107="——","——",H101-H103)</f>
        <v>30153</v>
      </c>
      <c r="I107" s="134"/>
    </row>
    <row r="108" spans="1:35" ht="18.75" customHeight="1">
      <c r="A108" s="134"/>
      <c r="B108" s="134"/>
      <c r="C108" s="134"/>
      <c r="D108" s="134"/>
      <c r="E108" s="3362"/>
      <c r="F108" s="3330"/>
      <c r="G108" s="1964" t="s">
        <v>1879</v>
      </c>
      <c r="H108" s="2731">
        <f ca="1">ROUND(H107*10000/'数据-汇总表'!E3,0)</f>
        <v>30604</v>
      </c>
      <c r="I108" s="134"/>
    </row>
    <row r="109" spans="1:35" ht="18.75" customHeight="1">
      <c r="A109" s="134"/>
      <c r="B109" s="134"/>
      <c r="C109" s="134"/>
      <c r="D109" s="134"/>
      <c r="E109" s="3362" t="str">
        <f>IF(项目基本情况!E8="已注销及未注销","4.抵押担保权已注销时的房地产抵押价值",IF(项目基本情况!E8="已注销","3.抵押担保权已注销时的房地产抵押价值","——"))</f>
        <v>——</v>
      </c>
      <c r="F109" s="3330"/>
      <c r="G109" s="1964" t="s">
        <v>1877</v>
      </c>
      <c r="H109" s="2774" t="str">
        <f>IF(E109="——","——",H101-H105-H106)</f>
        <v>——</v>
      </c>
      <c r="I109" s="134"/>
    </row>
    <row r="110" spans="1:35" ht="18.75" customHeight="1">
      <c r="A110" s="134"/>
      <c r="B110" s="134"/>
      <c r="C110" s="134"/>
      <c r="D110" s="134"/>
      <c r="E110" s="3362"/>
      <c r="F110" s="3330"/>
      <c r="G110" s="1964" t="s">
        <v>1879</v>
      </c>
      <c r="H110" s="2731" t="str">
        <f>IF(H109="——","——",ROUND(H109*10000/'数据-汇总表'!E3,0))</f>
        <v>——</v>
      </c>
      <c r="I110" s="134"/>
    </row>
    <row r="111" spans="1:35" ht="18.75" customHeight="1">
      <c r="A111" s="134"/>
      <c r="B111" s="134"/>
      <c r="C111" s="134"/>
      <c r="D111" s="134"/>
      <c r="E111" s="3363" t="str">
        <f>IF(项目基本情况!E9="抵押净值",IF(OR(项目基本情况!E8="已注销",项目基本情况!E8="房地产抵押价值"),"4.抵押净值","5.抵押净值"),"——")</f>
        <v>4.抵押净值</v>
      </c>
      <c r="F111" s="3349"/>
      <c r="G111" s="1964" t="s">
        <v>1877</v>
      </c>
      <c r="H111" s="2771">
        <f ca="1">IF(E111="——","——",N59)</f>
        <v>12784</v>
      </c>
      <c r="I111" s="134"/>
    </row>
    <row r="112" spans="1:35" ht="18.75" customHeight="1" thickBot="1">
      <c r="A112" s="134"/>
      <c r="B112" s="134"/>
      <c r="C112" s="134"/>
      <c r="D112" s="134"/>
      <c r="E112" s="3364"/>
      <c r="F112" s="3365"/>
      <c r="G112" s="1967" t="s">
        <v>1879</v>
      </c>
      <c r="H112" s="2775">
        <f ca="1">IF(E111="——","——",N61)</f>
        <v>12975</v>
      </c>
      <c r="I112" s="134"/>
    </row>
    <row r="113" spans="1:27" ht="18.75" customHeight="1">
      <c r="A113" s="134"/>
      <c r="B113" s="134"/>
      <c r="C113" s="134"/>
      <c r="D113" s="134"/>
      <c r="E113" s="3372" t="s">
        <v>1885</v>
      </c>
      <c r="F113" s="3372"/>
      <c r="G113" s="3372"/>
      <c r="H113" s="3372"/>
      <c r="I113" s="134"/>
    </row>
    <row r="114" spans="1:27" ht="3.75" customHeight="1">
      <c r="A114" s="1884"/>
      <c r="B114" s="1884"/>
      <c r="C114" s="1884"/>
      <c r="D114" s="1884"/>
      <c r="E114" s="1946"/>
      <c r="F114" s="1946"/>
      <c r="G114" s="1946"/>
      <c r="H114" s="1946"/>
      <c r="I114" s="1884"/>
    </row>
    <row r="115" spans="1:27" ht="18.75" customHeight="1">
      <c r="A115" s="3383" t="s">
        <v>1887</v>
      </c>
      <c r="B115" s="3384"/>
      <c r="C115" s="3384"/>
      <c r="D115" s="3384"/>
      <c r="E115" s="3384"/>
      <c r="F115" s="3384"/>
      <c r="G115" s="3384"/>
      <c r="H115" s="3384"/>
      <c r="I115" s="3385"/>
    </row>
    <row r="116" spans="1:27" ht="27" customHeight="1">
      <c r="A116" s="3337" t="s">
        <v>1888</v>
      </c>
      <c r="B116" s="3341" t="s">
        <v>1889</v>
      </c>
      <c r="C116" s="3341" t="s">
        <v>1890</v>
      </c>
      <c r="D116" s="3347" t="s">
        <v>1891</v>
      </c>
      <c r="E116" s="3348"/>
      <c r="F116" s="3379" t="s">
        <v>1892</v>
      </c>
      <c r="G116" s="3379"/>
      <c r="H116" s="3337" t="s">
        <v>1893</v>
      </c>
      <c r="I116" s="3337"/>
    </row>
    <row r="117" spans="1:27" ht="18.75" customHeight="1">
      <c r="A117" s="3337"/>
      <c r="B117" s="3342"/>
      <c r="C117" s="3342"/>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9852.5</v>
      </c>
      <c r="C118" s="2503">
        <f>M19</f>
        <v>3500.6</v>
      </c>
      <c r="D118" s="2503">
        <f ca="1">ROUND(IF(D32="总价",C34,E118*B118/10000),0)</f>
        <v>25509</v>
      </c>
      <c r="E118" s="2503">
        <f ca="1">ROUND(IF(C33="自定义",IF(D32="楼面单价",C34,D118*10000/B118),I118-G118),0)</f>
        <v>25890</v>
      </c>
      <c r="F118" s="2503">
        <f ca="1">ROUND(IF(D32="总价",C35,G118*B118/10000),0)</f>
        <v>4644</v>
      </c>
      <c r="G118" s="2503">
        <f ca="1">ROUND(IF(D32="楼面单价",C35,F118*10000/B118),0)</f>
        <v>4714</v>
      </c>
      <c r="H118" s="2503">
        <f ca="1">ROUND(IF(D32="总价",C32,I118*B118/10000),0)</f>
        <v>30153</v>
      </c>
      <c r="I118" s="2503">
        <f ca="1">ROUND(IF(D32="楼面单价",C32,H118*10000/B118),0)</f>
        <v>30604</v>
      </c>
    </row>
    <row r="119" spans="1:27" ht="18.75" customHeight="1">
      <c r="A119" s="3337" t="s">
        <v>1897</v>
      </c>
      <c r="B119" s="3337"/>
      <c r="C119" s="3337"/>
      <c r="D119" s="3343" t="str">
        <f ca="1">NUMBERSTRING(INT(D118*10000),2)&amp;"元整"</f>
        <v>贰亿伍仟伍佰零玖万元整</v>
      </c>
      <c r="E119" s="3344"/>
      <c r="F119" s="3343" t="str">
        <f ca="1">NUMBERSTRING(INT(F118*10000),2)&amp;"元整"</f>
        <v>肆仟陆佰肆拾肆万元整</v>
      </c>
      <c r="G119" s="3344"/>
      <c r="H119" s="3343" t="str">
        <f ca="1">NUMBERSTRING(INT(H118*10000),2)&amp;"元整"</f>
        <v>叁亿零壹佰伍拾叁万元整</v>
      </c>
      <c r="I119" s="3344"/>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0" t="s">
        <v>1897</v>
      </c>
      <c r="B121" s="3381"/>
      <c r="C121" s="3382"/>
      <c r="D121" s="3343" t="str">
        <f>IF(D120=0,"零元整",NUMBERSTRING(INT(D120*10000),2)&amp;"元整")</f>
        <v>零元整</v>
      </c>
      <c r="E121" s="3345"/>
      <c r="F121" s="3345"/>
      <c r="G121" s="3345"/>
      <c r="H121" s="3345"/>
      <c r="I121" s="3344"/>
      <c r="AA121" s="734"/>
    </row>
    <row r="122" spans="1:27" ht="18.75" customHeight="1">
      <c r="A122" s="3349" t="str">
        <f>IF(项目基本情况!B9="房地产市场价值","",MID(E107,3,LEN(E107)-2))</f>
        <v>房地产抵押价值</v>
      </c>
      <c r="B122" s="3349"/>
      <c r="C122" s="3349"/>
      <c r="D122" s="3338">
        <f ca="1">H107</f>
        <v>30153</v>
      </c>
      <c r="E122" s="3339"/>
      <c r="F122" s="3339"/>
      <c r="G122" s="3339"/>
      <c r="H122" s="3339"/>
      <c r="I122" s="3340"/>
      <c r="AA122" s="734"/>
    </row>
    <row r="123" spans="1:27" ht="18.75" customHeight="1">
      <c r="A123" s="3337" t="s">
        <v>1897</v>
      </c>
      <c r="B123" s="3337"/>
      <c r="C123" s="3337"/>
      <c r="D123" s="3343" t="str">
        <f ca="1">NUMBERSTRING(INT(D122*10000),2)&amp;"元整"</f>
        <v>叁亿零壹佰伍拾叁万元整</v>
      </c>
      <c r="E123" s="3345"/>
      <c r="F123" s="3345"/>
      <c r="G123" s="3345"/>
      <c r="H123" s="3345"/>
      <c r="I123" s="3344"/>
      <c r="AA123" s="734"/>
    </row>
    <row r="124" spans="1:27" ht="18.75" customHeight="1">
      <c r="A124" s="3349" t="str">
        <f>IF(项目基本情况!B9="房地产市场价值","",MID(E109,3,LEN(E109)-2))</f>
        <v/>
      </c>
      <c r="B124" s="3349"/>
      <c r="C124" s="3349"/>
      <c r="D124" s="3338" t="str">
        <f>H109</f>
        <v>——</v>
      </c>
      <c r="E124" s="3339"/>
      <c r="F124" s="3339"/>
      <c r="G124" s="3339"/>
      <c r="H124" s="3339"/>
      <c r="I124" s="3340"/>
      <c r="AA124" s="734"/>
    </row>
    <row r="125" spans="1:27" ht="18.75" customHeight="1">
      <c r="A125" s="3337" t="s">
        <v>1897</v>
      </c>
      <c r="B125" s="3337"/>
      <c r="C125" s="3337"/>
      <c r="D125" s="3343" t="e">
        <f>NUMBERSTRING(INT(D124*10000),2)&amp;"元整"</f>
        <v>#VALUE!</v>
      </c>
      <c r="E125" s="3345"/>
      <c r="F125" s="3345"/>
      <c r="G125" s="3345"/>
      <c r="H125" s="3345"/>
      <c r="I125" s="3344"/>
      <c r="AA125" s="734"/>
    </row>
    <row r="126" spans="1:27" ht="18.75" customHeight="1">
      <c r="A126" s="3349" t="str">
        <f>IF(项目基本情况!B9="房地产市场价值","",MID(E111,3,LEN(E111)-2))</f>
        <v>抵押净值</v>
      </c>
      <c r="B126" s="3349"/>
      <c r="C126" s="3349"/>
      <c r="D126" s="3338">
        <f ca="1">H111</f>
        <v>12784</v>
      </c>
      <c r="E126" s="3339"/>
      <c r="F126" s="3339"/>
      <c r="G126" s="3339"/>
      <c r="H126" s="3339"/>
      <c r="I126" s="3340"/>
      <c r="AA126" s="734"/>
    </row>
    <row r="127" spans="1:27" ht="18.75" customHeight="1">
      <c r="A127" s="3337" t="s">
        <v>1897</v>
      </c>
      <c r="B127" s="3337"/>
      <c r="C127" s="3337"/>
      <c r="D127" s="3343" t="str">
        <f ca="1">NUMBERSTRING(INT(D126*10000),2)&amp;"元整"</f>
        <v>壹亿贰仟柒佰捌拾肆万元整</v>
      </c>
      <c r="E127" s="3345"/>
      <c r="F127" s="3345"/>
      <c r="G127" s="3345"/>
      <c r="H127" s="3345"/>
      <c r="I127" s="3344"/>
      <c r="AA127" s="734"/>
    </row>
    <row r="128" spans="1:27" ht="21.75" customHeight="1">
      <c r="A128" s="3346" t="s">
        <v>1898</v>
      </c>
      <c r="B128" s="3346"/>
      <c r="C128" s="3346"/>
      <c r="D128" s="3346"/>
      <c r="E128" s="3346"/>
      <c r="F128" s="3346"/>
      <c r="G128" s="3346"/>
      <c r="H128" s="3346"/>
      <c r="I128" s="334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0" t="str">
        <f>项目基本情况!B1</f>
        <v>北京市房地产抵押价值预评估</v>
      </c>
      <c r="C37" s="3230"/>
      <c r="D37" s="3230"/>
      <c r="E37" s="3230"/>
      <c r="F37" s="3230"/>
      <c r="G37" s="3230"/>
      <c r="H37" s="3230"/>
      <c r="I37" s="3230"/>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3" sqref="L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27810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28226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16553</v>
      </c>
      <c r="D5" s="217" t="s">
        <v>1914</v>
      </c>
      <c r="E5" s="218" t="s">
        <v>1915</v>
      </c>
      <c r="F5" s="218" t="s">
        <v>1916</v>
      </c>
      <c r="G5" s="219"/>
    </row>
    <row r="6" spans="1:9" s="220" customFormat="1" ht="13.5" customHeight="1">
      <c r="A6" s="867" t="s">
        <v>1917</v>
      </c>
      <c r="B6" s="221" t="s">
        <v>1918</v>
      </c>
      <c r="C6" s="222">
        <f>[2]基准地价修正!$B$2</f>
        <v>15872</v>
      </c>
      <c r="D6" s="223"/>
      <c r="E6" s="224"/>
      <c r="F6" s="224"/>
      <c r="G6" s="225"/>
    </row>
    <row r="7" spans="1:9" s="220" customFormat="1" ht="13.5" customHeight="1">
      <c r="A7" s="867" t="s">
        <v>1919</v>
      </c>
      <c r="B7" s="221" t="s">
        <v>1920</v>
      </c>
      <c r="C7" s="226">
        <f>ROUND(C6*F7,0)</f>
        <v>484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197</v>
      </c>
      <c r="D8" s="228"/>
      <c r="E8" s="226"/>
      <c r="F8" s="227"/>
      <c r="G8" s="1993" t="s">
        <v>3188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3189</v>
      </c>
      <c r="H9" s="1252"/>
      <c r="I9" s="1995" t="s">
        <v>1924</v>
      </c>
    </row>
    <row r="10" spans="1:9" s="220" customFormat="1" ht="13.5" customHeight="1">
      <c r="A10" s="868" t="s">
        <v>620</v>
      </c>
      <c r="B10" s="230" t="s">
        <v>1925</v>
      </c>
      <c r="C10" s="231">
        <f ca="1">ROUND(D10*E10/10000,0)</f>
        <v>197</v>
      </c>
      <c r="D10" s="935">
        <f ca="1">IF(B1="",'数据-汇总表'!E6,IF(INDIRECT("'数据-取费表'!c"&amp;$G$1)="住宅",INDIRECT("'数据-取费表'!s"&amp;$G$1),INDIRECT("'数据-取费表'!k"&amp;$G$1)+INDIRECT("'数据-取费表'!s"&amp;$G$1)))</f>
        <v>9852.5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9852.5</v>
      </c>
      <c r="E19" s="217">
        <f>'数据-取费表'!B31</f>
        <v>200</v>
      </c>
      <c r="F19" s="237"/>
      <c r="G19" s="1993" t="s">
        <v>3190</v>
      </c>
    </row>
    <row r="20" spans="1:7" s="220" customFormat="1" ht="13.5" customHeight="1">
      <c r="A20" s="261" t="s">
        <v>1938</v>
      </c>
      <c r="B20" s="216" t="s">
        <v>1939</v>
      </c>
      <c r="C20" s="238">
        <f ca="1">ROUND((C5+C19)*F20,0)</f>
        <v>331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1434</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1420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3377</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3377</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23533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5187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4775</v>
      </c>
      <c r="D34" s="223"/>
      <c r="E34" s="226"/>
      <c r="F34" s="263">
        <f ca="1">IF('数据-取费表'!B24=0,1,IF(B1="",'数据-取费表'!N16,INDIRECT("'数据-取费表'!n"&amp;$G$1)))</f>
        <v>1</v>
      </c>
      <c r="G34" s="225" t="s">
        <v>1971</v>
      </c>
    </row>
    <row r="35" spans="1:7" ht="13.5" customHeight="1">
      <c r="A35" s="869" t="s">
        <v>615</v>
      </c>
      <c r="B35" s="221" t="s">
        <v>1972</v>
      </c>
      <c r="C35" s="226">
        <f ca="1">ROUND(C34*F35,0)</f>
        <v>143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197</v>
      </c>
      <c r="D37" s="223">
        <f ca="1">D19</f>
        <v>9852.5</v>
      </c>
      <c r="E37" s="255">
        <f>'数据-取费表'!B35</f>
        <v>200</v>
      </c>
      <c r="F37" s="265"/>
      <c r="G37" s="267" t="s">
        <v>1977</v>
      </c>
    </row>
    <row r="38" spans="1:7" ht="13.5" customHeight="1">
      <c r="A38" s="869" t="s">
        <v>618</v>
      </c>
      <c r="B38" s="221" t="s">
        <v>1978</v>
      </c>
      <c r="C38" s="226">
        <f ca="1">ROUND(C34*F38,0)</f>
        <v>72</v>
      </c>
      <c r="D38" s="226"/>
      <c r="E38" s="226"/>
      <c r="F38" s="265">
        <f>'数据-取费表'!B36</f>
        <v>1.4999999999999999E-2</v>
      </c>
      <c r="G38" s="225" t="s">
        <v>1973</v>
      </c>
    </row>
    <row r="39" spans="1:7" s="220" customFormat="1" ht="13.5" customHeight="1">
      <c r="A39" s="261" t="s">
        <v>1979</v>
      </c>
      <c r="B39" s="216" t="s">
        <v>1980</v>
      </c>
      <c r="C39" s="238">
        <f ca="1">ROUND(C33*F20,0)</f>
        <v>104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222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218</v>
      </c>
      <c r="D42" s="244"/>
      <c r="E42" s="244"/>
      <c r="F42" s="245"/>
      <c r="G42" s="3419" t="s">
        <v>1989</v>
      </c>
    </row>
    <row r="43" spans="1:7" ht="13.5" customHeight="1">
      <c r="A43" s="869" t="s">
        <v>611</v>
      </c>
      <c r="B43" s="221" t="s">
        <v>1990</v>
      </c>
      <c r="C43" s="244">
        <f ca="1">ROUND(IF('数据-取费表'!B22&lt;=1,C39*F22*'数据-取费表'!B21/2,C39*(POWER((1+F22),'数据-取费表'!B21/2)-1)),0)</f>
        <v>4</v>
      </c>
      <c r="D43" s="244"/>
      <c r="E43" s="244"/>
      <c r="F43" s="245"/>
      <c r="G43" s="3420"/>
    </row>
    <row r="44" spans="1:7" ht="13.5" customHeight="1">
      <c r="A44" s="869" t="s">
        <v>612</v>
      </c>
      <c r="B44" s="221" t="s">
        <v>1991</v>
      </c>
      <c r="C44" s="244">
        <f ca="1">ROUND(IF('数据-取费表'!B22&lt;=1,C40*F22*'数据-取费表'!B21/2,C40*(POWER((1+F22),'数据-取费表'!B21/2)-1)),4)</f>
        <v>8.0000000000000004E-4</v>
      </c>
      <c r="D44" s="244"/>
      <c r="E44" s="244"/>
      <c r="F44" s="245"/>
      <c r="G44" s="3421"/>
    </row>
    <row r="45" spans="1:7" s="220" customFormat="1" ht="13.5" customHeight="1">
      <c r="A45" s="261" t="s">
        <v>1992</v>
      </c>
      <c r="B45" s="250" t="s">
        <v>1958</v>
      </c>
      <c r="C45" s="251">
        <f ca="1">C46</f>
        <v>1058</v>
      </c>
      <c r="D45" s="241">
        <f ca="1">C47</f>
        <v>4.0000000000000001E-3</v>
      </c>
      <c r="E45" s="242" t="s">
        <v>1984</v>
      </c>
      <c r="F45" s="2488">
        <f ca="1">F27</f>
        <v>0.2</v>
      </c>
      <c r="G45" s="253" t="s">
        <v>1993</v>
      </c>
    </row>
    <row r="46" spans="1:7" s="220" customFormat="1" ht="13.5" customHeight="1">
      <c r="A46" s="869" t="s">
        <v>610</v>
      </c>
      <c r="B46" s="254" t="s">
        <v>1994</v>
      </c>
      <c r="C46" s="255">
        <f ca="1">ROUND((C33+C39)*F27,0)</f>
        <v>1058</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7128</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4277</v>
      </c>
      <c r="D51" s="238"/>
      <c r="E51" s="238"/>
      <c r="F51" s="270"/>
      <c r="G51" s="240" t="s">
        <v>2005</v>
      </c>
    </row>
    <row r="52" spans="1:7" s="214" customFormat="1" ht="16.5" thickBot="1">
      <c r="A52" s="271" t="s">
        <v>2006</v>
      </c>
      <c r="B52" s="272"/>
      <c r="C52" s="273">
        <f ca="1">C31+C51</f>
        <v>27810</v>
      </c>
      <c r="D52" s="272"/>
      <c r="E52" s="272"/>
      <c r="F52" s="272"/>
      <c r="G52" s="274"/>
    </row>
    <row r="55" spans="1:7" ht="15">
      <c r="B55" s="276" t="s">
        <v>2007</v>
      </c>
      <c r="C55" s="277"/>
    </row>
    <row r="56" spans="1:7">
      <c r="B56" s="279" t="s">
        <v>1237</v>
      </c>
      <c r="C56" s="281">
        <f ca="1">1-C57</f>
        <v>0.84599999999999997</v>
      </c>
    </row>
    <row r="57" spans="1:7">
      <c r="B57" s="279" t="s">
        <v>1238</v>
      </c>
      <c r="C57" s="280">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4837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4909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1970500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1970500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1970500</v>
      </c>
      <c r="D10" s="935">
        <f ca="1">IF(B1="",'数据-汇总表'!E6,IF(INDIRECT("'数据-取费表'!c"&amp;$G$1)="住宅",INDIRECT("'数据-取费表'!s"&amp;$G$1),INDIRECT("'数据-取费表'!k"&amp;$G$1)+INDIRECT("'数据-取费表'!s"&amp;$G$1)))</f>
        <v>9852.5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1970500</v>
      </c>
      <c r="D19" s="939">
        <f ca="1">D9+D10</f>
        <v>9852.5</v>
      </c>
      <c r="E19" s="217">
        <f>'数据-取费表'!B31</f>
        <v>200</v>
      </c>
      <c r="F19" s="237"/>
      <c r="G19" s="1993"/>
    </row>
    <row r="20" spans="1:7" s="220" customFormat="1" ht="13.5" customHeight="1">
      <c r="A20" s="261" t="s">
        <v>2019</v>
      </c>
      <c r="B20" s="216" t="s">
        <v>2020</v>
      </c>
      <c r="C20" s="238">
        <f ca="1">ROUND((C5+C19)*F20,0)</f>
        <v>78820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341306</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168998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168998</v>
      </c>
      <c r="D24" s="244"/>
      <c r="E24" s="244"/>
      <c r="F24" s="245"/>
      <c r="G24" s="246" t="s">
        <v>2031</v>
      </c>
    </row>
    <row r="25" spans="1:7" s="220" customFormat="1" ht="24">
      <c r="A25" s="869" t="s">
        <v>1921</v>
      </c>
      <c r="B25" s="221" t="s">
        <v>2032</v>
      </c>
      <c r="C25" s="1243">
        <f ca="1">ROUND(IF('数据-取费表'!B22&lt;=1,C20*F22*'数据-取费表'!B22/2,C20*(POWER((1+F22),'数据-取费表'!B22/2)-1)),0)</f>
        <v>3310</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803964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803964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5602658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51872281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47752900</v>
      </c>
      <c r="D34" s="223"/>
      <c r="E34" s="226"/>
      <c r="F34" s="263"/>
      <c r="G34" s="225"/>
    </row>
    <row r="35" spans="1:7" ht="13.5" customHeight="1">
      <c r="A35" s="869" t="s">
        <v>615</v>
      </c>
      <c r="B35" s="221" t="s">
        <v>1972</v>
      </c>
      <c r="C35" s="226">
        <f ca="1">ROUND(C34*F35,0)</f>
        <v>1432587</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1970500</v>
      </c>
      <c r="D37" s="223">
        <f ca="1">D19</f>
        <v>9852.5</v>
      </c>
      <c r="E37" s="255">
        <f>'数据-取费表'!B35</f>
        <v>200</v>
      </c>
      <c r="F37" s="265"/>
      <c r="G37" s="267"/>
    </row>
    <row r="38" spans="1:7" ht="13.5" customHeight="1">
      <c r="A38" s="869" t="s">
        <v>618</v>
      </c>
      <c r="B38" s="221" t="s">
        <v>1978</v>
      </c>
      <c r="C38" s="226">
        <f ca="1">ROUND(C34*F38,0)</f>
        <v>716294</v>
      </c>
      <c r="D38" s="226"/>
      <c r="E38" s="226"/>
      <c r="F38" s="265">
        <f>'数据-取费表'!B36</f>
        <v>1.4999999999999999E-2</v>
      </c>
      <c r="G38" s="225" t="s">
        <v>1973</v>
      </c>
    </row>
    <row r="39" spans="1:7" s="220" customFormat="1" ht="13.5" customHeight="1">
      <c r="A39" s="261" t="s">
        <v>1979</v>
      </c>
      <c r="B39" s="216" t="s">
        <v>1980</v>
      </c>
      <c r="C39" s="238">
        <f ca="1">ROUND(C33*F20,0)</f>
        <v>1037446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2222209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2178636</v>
      </c>
      <c r="D42" s="244"/>
      <c r="E42" s="244"/>
      <c r="F42" s="245"/>
      <c r="G42" s="3419" t="s">
        <v>2036</v>
      </c>
    </row>
    <row r="43" spans="1:7" ht="13.5" customHeight="1">
      <c r="A43" s="869" t="s">
        <v>611</v>
      </c>
      <c r="B43" s="221" t="s">
        <v>1990</v>
      </c>
      <c r="C43" s="244">
        <f ca="1">ROUND(IF('数据-取费表'!B22&lt;=1,C39*F22*'数据-取费表'!B20/2,C39*(POWER((1+F22),'数据-取费表'!B20/2)-1)),0)</f>
        <v>43573</v>
      </c>
      <c r="D43" s="244"/>
      <c r="E43" s="244"/>
      <c r="F43" s="245"/>
      <c r="G43" s="3420"/>
    </row>
    <row r="44" spans="1:7" ht="13.5" customHeight="1">
      <c r="A44" s="869" t="s">
        <v>612</v>
      </c>
      <c r="B44" s="221" t="s">
        <v>1991</v>
      </c>
      <c r="C44" s="244">
        <f ca="1">ROUND(IF('数据-取费表'!B22&lt;=1,C40*F22*'数据-取费表'!B20/2,C40*(POWER((1+F22),'数据-取费表'!B20/2)-1)),4)</f>
        <v>8.0000000000000004E-4</v>
      </c>
      <c r="D44" s="244"/>
      <c r="E44" s="244"/>
      <c r="F44" s="245"/>
      <c r="G44" s="3421"/>
    </row>
    <row r="45" spans="1:7" s="220" customFormat="1" ht="13.5" customHeight="1">
      <c r="A45" s="261" t="s">
        <v>1992</v>
      </c>
      <c r="B45" s="250" t="s">
        <v>1958</v>
      </c>
      <c r="C45" s="251">
        <f ca="1">C46</f>
        <v>10581945</v>
      </c>
      <c r="D45" s="241">
        <f ca="1">C47</f>
        <v>4.0000000000000001E-3</v>
      </c>
      <c r="E45" s="242" t="s">
        <v>1984</v>
      </c>
      <c r="F45" s="2488">
        <f ca="1">F27</f>
        <v>0.2</v>
      </c>
      <c r="G45" s="253" t="s">
        <v>1993</v>
      </c>
    </row>
    <row r="46" spans="1:7" s="220" customFormat="1" ht="13.5" customHeight="1">
      <c r="A46" s="869" t="s">
        <v>610</v>
      </c>
      <c r="B46" s="254" t="s">
        <v>1994</v>
      </c>
      <c r="C46" s="255">
        <f ca="1">ROUND((C33+C39)*F27,0)</f>
        <v>10581945</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71280921</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42768553</v>
      </c>
      <c r="D51" s="238"/>
      <c r="E51" s="238"/>
      <c r="F51" s="270"/>
      <c r="G51" s="240" t="s">
        <v>2005</v>
      </c>
    </row>
    <row r="52" spans="1:7" s="214" customFormat="1" ht="16.5" thickBot="1">
      <c r="A52" s="271" t="s">
        <v>2006</v>
      </c>
      <c r="B52" s="272"/>
      <c r="C52" s="273">
        <f ca="1">C31+C51</f>
        <v>48371211</v>
      </c>
      <c r="D52" s="272"/>
      <c r="E52" s="272"/>
      <c r="F52" s="272"/>
      <c r="G52" s="274"/>
    </row>
    <row r="55" spans="1:7" ht="15">
      <c r="B55" s="276" t="s">
        <v>2007</v>
      </c>
      <c r="C55" s="277"/>
    </row>
    <row r="56" spans="1:7">
      <c r="B56" s="279" t="s">
        <v>1237</v>
      </c>
      <c r="C56" s="281">
        <f ca="1">1-C57</f>
        <v>0.11599999999999999</v>
      </c>
    </row>
    <row r="57" spans="1:7">
      <c r="B57" s="279" t="s">
        <v>1238</v>
      </c>
      <c r="C57" s="280">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9852.5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9852.5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197</v>
      </c>
      <c r="D20" s="936">
        <f ca="1">IF(C1="",'数据-汇总表'!E6,IF(INDIRECT("'数据-取费表'!c"&amp;$K$1)="住宅",INDIRECT("'数据-取费表'!s"&amp;$K$1),INDIRECT("'数据-取费表'!k"&amp;$K$1)+INDIRECT("'数据-取费表'!s"&amp;$K$1)))</f>
        <v>9852.5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#DIV/0!</v>
      </c>
      <c r="C2" s="1522" t="s">
        <v>1240</v>
      </c>
      <c r="D2" s="1522"/>
      <c r="E2" s="1523"/>
      <c r="F2" s="1524"/>
      <c r="G2" s="2885"/>
      <c r="H2" s="2874"/>
      <c r="I2" s="2874"/>
      <c r="J2" s="2874"/>
      <c r="K2" s="2875"/>
      <c r="L2" s="2874"/>
      <c r="M2" s="2874"/>
    </row>
    <row r="3" spans="1:37" ht="18" customHeight="1" thickBot="1">
      <c r="A3" s="1525" t="s">
        <v>1241</v>
      </c>
      <c r="B3" s="1526">
        <f ca="1">IF(ISERROR(B2*10000/F43),0,ROUND(B2*10000/F43,0))</f>
        <v>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424" t="s">
        <v>1127</v>
      </c>
      <c r="C6" s="1187">
        <f ca="1">ROUND(F6*F8*F7*(1-F9)/10000,0)</f>
        <v>0</v>
      </c>
      <c r="D6" s="160" t="s">
        <v>2609</v>
      </c>
      <c r="E6" s="308" t="s">
        <v>1129</v>
      </c>
      <c r="F6" s="309">
        <f ca="1">INDIRECT("'数据-取费表'!u"&amp;$G$1)</f>
        <v>0</v>
      </c>
      <c r="G6" s="1519"/>
      <c r="H6" s="1182" t="s">
        <v>822</v>
      </c>
      <c r="I6" s="3424" t="s">
        <v>1127</v>
      </c>
      <c r="J6" s="307">
        <f ca="1">ROUND(M6*M8*M7*(1-M9)/10000,0)</f>
        <v>0</v>
      </c>
      <c r="K6" s="160" t="s">
        <v>2608</v>
      </c>
      <c r="L6" s="308" t="s">
        <v>1129</v>
      </c>
      <c r="M6" s="309">
        <f ca="1">INDIRECT("'数据-取费表'!z"&amp;$G$1)</f>
        <v>0</v>
      </c>
    </row>
    <row r="7" spans="1:37" ht="18" customHeight="1">
      <c r="A7" s="1186"/>
      <c r="B7" s="3425"/>
      <c r="C7" s="1188"/>
      <c r="D7" s="313"/>
      <c r="E7" s="1189" t="s">
        <v>1130</v>
      </c>
      <c r="F7" s="309">
        <f ca="1">IF(INDIRECT("'数据-取费表'!ah"&amp;$G$1)="",INDIRECT("'数据-取费表'!k"&amp;$G$1),INDIRECT("'数据-取费表'!ah"&amp;$G$1))</f>
        <v>0</v>
      </c>
      <c r="G7" s="1519"/>
      <c r="H7" s="310"/>
      <c r="I7" s="3425"/>
      <c r="J7" s="312"/>
      <c r="K7" s="313"/>
      <c r="L7" s="308" t="s">
        <v>1130</v>
      </c>
      <c r="M7" s="309">
        <f ca="1">F7</f>
        <v>0</v>
      </c>
    </row>
    <row r="8" spans="1:37" ht="18" customHeight="1">
      <c r="A8" s="310"/>
      <c r="B8" s="3425"/>
      <c r="C8" s="312"/>
      <c r="D8" s="313"/>
      <c r="E8" s="308" t="s">
        <v>1131</v>
      </c>
      <c r="F8" s="309">
        <f ca="1">INDIRECT("'数据-取费表'!ai"&amp;$G$1)</f>
        <v>0</v>
      </c>
      <c r="G8" s="1519"/>
      <c r="H8" s="310"/>
      <c r="I8" s="3425"/>
      <c r="J8" s="312"/>
      <c r="K8" s="313"/>
      <c r="L8" s="308" t="s">
        <v>1131</v>
      </c>
      <c r="M8" s="309">
        <f ca="1">INDIRECT("'数据-取费表'!ai"&amp;$G$1)</f>
        <v>0</v>
      </c>
    </row>
    <row r="9" spans="1:37" ht="18" customHeight="1">
      <c r="A9" s="310"/>
      <c r="B9" s="3426"/>
      <c r="C9" s="312"/>
      <c r="D9" s="313"/>
      <c r="E9" s="308" t="s">
        <v>1132</v>
      </c>
      <c r="F9" s="318">
        <f ca="1">INDIRECT("'数据-取费表'!w"&amp;$G$1)</f>
        <v>0</v>
      </c>
      <c r="G9" s="1519"/>
      <c r="H9" s="310"/>
      <c r="I9" s="342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ROUND(F17*(F43+INDIRECT("'数据-取费表'!S"&amp;$G$1))/10000,0)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IF(K19="按租金收入计税",ROUND(J6*M19/(1+'数据-取费表'!C42),2),ROUND(C29*M19*0.7,2))</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ROUND(M20*M21/10000,2)</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ROUND(C13*F37,1)</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ROUND(C40*10000/F43,0)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t="e">
        <f ca="1">C68-C40</f>
        <v>#DIV/0!</v>
      </c>
      <c r="D46" s="1541" t="str">
        <f>C2</f>
        <v>万元</v>
      </c>
      <c r="E46" s="1535"/>
      <c r="F46" s="1535"/>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231"/>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0</v>
      </c>
      <c r="K53" s="3422" t="s">
        <v>1272</v>
      </c>
      <c r="L53" s="3423"/>
      <c r="O53" s="1553" t="s">
        <v>833</v>
      </c>
      <c r="P53" s="1554" t="s">
        <v>1273</v>
      </c>
      <c r="Q53" s="1555" t="e">
        <f ca="1">Q47+Q48</f>
        <v>#DIV/0!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c r="K56" s="1556" t="s">
        <v>1279</v>
      </c>
      <c r="L56" s="1559">
        <f ca="1">IF(L48&lt;J51,"——",L48-J53)</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1281</v>
      </c>
      <c r="L57" s="1559">
        <f ca="1">IF(L48&lt;J51,"——",IF(L55="比较法",L49,IF(L55="基准地价",L50,L51)))</f>
        <v>0</v>
      </c>
      <c r="O57" s="1553" t="s">
        <v>828</v>
      </c>
      <c r="P57" s="1554" t="s">
        <v>1282</v>
      </c>
      <c r="Q57" s="1555" t="e">
        <f ca="1">L60</f>
        <v>#DIV/0!</v>
      </c>
      <c r="R57" s="1555" t="s">
        <v>1283</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ROUND(C48*F66,1)</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t="e">
        <f ca="1">ROUND(C68*10000/F71,0)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4" t="s">
        <v>1127</v>
      </c>
      <c r="C6" s="1187">
        <f ca="1">ROUND(F6*F8*F7*(1-F9),0)</f>
        <v>0</v>
      </c>
      <c r="D6" s="160" t="s">
        <v>2606</v>
      </c>
      <c r="E6" s="308" t="s">
        <v>1129</v>
      </c>
      <c r="F6" s="309">
        <f ca="1">INDIRECT("'数据-取费表'!u"&amp;$G$1)</f>
        <v>0</v>
      </c>
      <c r="G6" s="1519"/>
      <c r="H6" s="1182" t="s">
        <v>822</v>
      </c>
      <c r="I6" s="3424" t="s">
        <v>1127</v>
      </c>
      <c r="J6" s="307">
        <f ca="1">ROUND(M6*M8*M7*(1-M9),0)</f>
        <v>0</v>
      </c>
      <c r="K6" s="1511" t="s">
        <v>2607</v>
      </c>
      <c r="L6" s="308" t="s">
        <v>1129</v>
      </c>
      <c r="M6" s="309">
        <f ca="1">INDIRECT("'数据-取费表'!z"&amp;$G$1)</f>
        <v>0</v>
      </c>
    </row>
    <row r="7" spans="1:37" ht="18" customHeight="1">
      <c r="A7" s="1186"/>
      <c r="B7" s="3425"/>
      <c r="C7" s="1188"/>
      <c r="D7" s="313"/>
      <c r="E7" s="1189" t="s">
        <v>1130</v>
      </c>
      <c r="F7" s="309">
        <f ca="1">IF(INDIRECT("'数据-取费表'!ah"&amp;$G$1)="",INDIRECT("'数据-取费表'!k"&amp;$G$1),INDIRECT("'数据-取费表'!ah"&amp;$G$1))</f>
        <v>0</v>
      </c>
      <c r="G7" s="1519"/>
      <c r="H7" s="310"/>
      <c r="I7" s="3425"/>
      <c r="J7" s="312"/>
      <c r="K7" s="313"/>
      <c r="L7" s="308" t="s">
        <v>1130</v>
      </c>
      <c r="M7" s="309">
        <f ca="1">F7</f>
        <v>0</v>
      </c>
    </row>
    <row r="8" spans="1:37" ht="18" customHeight="1">
      <c r="A8" s="310"/>
      <c r="B8" s="3425"/>
      <c r="C8" s="312"/>
      <c r="D8" s="313"/>
      <c r="E8" s="308" t="s">
        <v>1131</v>
      </c>
      <c r="F8" s="309">
        <f ca="1">INDIRECT("'数据-取费表'!ai"&amp;$G$1)</f>
        <v>0</v>
      </c>
      <c r="G8" s="1519"/>
      <c r="H8" s="310"/>
      <c r="I8" s="3425"/>
      <c r="J8" s="312"/>
      <c r="K8" s="313"/>
      <c r="L8" s="308" t="s">
        <v>1131</v>
      </c>
      <c r="M8" s="309">
        <f ca="1">INDIRECT("'数据-取费表'!ai"&amp;$G$1)</f>
        <v>0</v>
      </c>
    </row>
    <row r="9" spans="1:37" ht="18" customHeight="1">
      <c r="A9" s="310"/>
      <c r="B9" s="3426"/>
      <c r="C9" s="312"/>
      <c r="D9" s="313"/>
      <c r="E9" s="308" t="s">
        <v>1132</v>
      </c>
      <c r="F9" s="318">
        <f ca="1">INDIRECT("'数据-取费表'!w"&amp;$G$1)</f>
        <v>0</v>
      </c>
      <c r="G9" s="1519"/>
      <c r="H9" s="310"/>
      <c r="I9" s="342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2" t="s">
        <v>1272</v>
      </c>
      <c r="L53" s="342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F45" sqref="F45"/>
    </sheetView>
  </sheetViews>
  <sheetFormatPr defaultRowHeight="13.15" customHeight="1"/>
  <cols>
    <col min="1" max="1" width="9.5" style="3023" customWidth="1"/>
    <col min="2" max="2" width="8.875" style="3023"/>
    <col min="3" max="5" width="12.875" style="3023" customWidth="1"/>
    <col min="6" max="6" width="47.5" style="3023" customWidth="1"/>
    <col min="7" max="7" width="13" style="3181" customWidth="1"/>
    <col min="8" max="8" width="8.875" style="3017"/>
    <col min="9" max="9" width="8.875" style="3018"/>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2931</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f ca="1">C40</f>
        <v>32495</v>
      </c>
      <c r="C2" s="3025" t="s">
        <v>2821</v>
      </c>
      <c r="D2" s="3025"/>
      <c r="E2" s="3026"/>
      <c r="F2" s="3027"/>
      <c r="G2" s="3028"/>
      <c r="H2" s="3029"/>
      <c r="I2" s="3030"/>
      <c r="J2" s="3427" t="s">
        <v>2822</v>
      </c>
      <c r="K2" s="3428"/>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f ca="1">ROUND(B2*10000/B4,0)</f>
        <v>32981</v>
      </c>
      <c r="C3" s="3025" t="s">
        <v>2831</v>
      </c>
      <c r="D3" s="3025"/>
      <c r="E3" s="3026"/>
      <c r="F3" s="3027"/>
      <c r="G3" s="3028"/>
      <c r="H3" s="3029"/>
      <c r="I3" s="3030"/>
      <c r="J3" s="3429" t="s">
        <v>2832</v>
      </c>
      <c r="K3" s="3430"/>
      <c r="L3" s="3037"/>
      <c r="M3" s="3037"/>
      <c r="N3" s="3037"/>
      <c r="O3" s="3037"/>
      <c r="P3" s="3037"/>
      <c r="Q3" s="3038"/>
      <c r="R3" s="3039">
        <f>SUM(L3:Q3)</f>
        <v>0</v>
      </c>
      <c r="S3" s="3022"/>
      <c r="T3" s="3022"/>
      <c r="U3" s="3022"/>
      <c r="V3" s="3030"/>
    </row>
    <row r="4" spans="1:22" s="3034" customFormat="1" ht="13.15" customHeight="1">
      <c r="A4" s="3040" t="s">
        <v>2833</v>
      </c>
      <c r="B4" s="3041">
        <f>'数据-基础表'!B3</f>
        <v>9852.5</v>
      </c>
      <c r="C4" s="3025"/>
      <c r="D4" s="3025"/>
      <c r="E4" s="3026"/>
      <c r="F4" s="3027"/>
      <c r="G4" s="3028"/>
      <c r="H4" s="3029"/>
      <c r="I4" s="3030"/>
      <c r="J4" s="3429" t="s">
        <v>2834</v>
      </c>
      <c r="K4" s="3430"/>
      <c r="L4" s="3042"/>
      <c r="M4" s="3042"/>
      <c r="N4" s="3042"/>
      <c r="O4" s="3042"/>
      <c r="P4" s="3042"/>
      <c r="Q4" s="3043"/>
      <c r="R4" s="3044">
        <f>SUM(L4:Q4)</f>
        <v>0</v>
      </c>
      <c r="S4" s="3022"/>
      <c r="T4" s="3022"/>
      <c r="U4" s="3022"/>
      <c r="V4" s="3030"/>
    </row>
    <row r="5" spans="1:22" s="3034" customFormat="1" ht="13.15" customHeight="1" thickBot="1">
      <c r="A5" s="3045" t="s">
        <v>2835</v>
      </c>
      <c r="B5" s="3046">
        <f>'数据-基础表'!A3</f>
        <v>3500.6</v>
      </c>
      <c r="C5" s="3025"/>
      <c r="D5" s="3047"/>
      <c r="E5" s="3027"/>
      <c r="F5" s="3027"/>
      <c r="G5" s="3028"/>
      <c r="H5" s="3029"/>
      <c r="I5" s="3030"/>
      <c r="J5" s="3048" t="s">
        <v>2836</v>
      </c>
      <c r="K5" s="3049"/>
      <c r="L5" s="3049"/>
      <c r="M5" s="3050"/>
      <c r="N5" s="3050"/>
      <c r="O5" s="3050"/>
      <c r="P5" s="3050"/>
      <c r="Q5" s="3050"/>
      <c r="R5" s="3033">
        <f>SUM(R14,R19,R24,R25,R27,R28)</f>
        <v>6852</v>
      </c>
      <c r="S5" s="3022"/>
      <c r="T5" s="3022" t="s">
        <v>2837</v>
      </c>
      <c r="U5" s="3022" t="e">
        <f>ROUND(R5*10000/365/R3,1)</f>
        <v>#DIV/0!</v>
      </c>
      <c r="V5" s="3030"/>
    </row>
    <row r="6" spans="1:22" s="3034" customFormat="1" ht="13.15" customHeight="1" thickBot="1">
      <c r="A6" s="3431" t="s">
        <v>2838</v>
      </c>
      <c r="B6" s="3432"/>
      <c r="C6" s="3433"/>
      <c r="D6" s="3051">
        <f>R5</f>
        <v>6852</v>
      </c>
      <c r="E6" s="3052"/>
      <c r="F6" s="3053"/>
      <c r="G6" s="3054"/>
      <c r="H6" s="3029"/>
      <c r="I6" s="3030"/>
      <c r="J6" s="3434">
        <v>1</v>
      </c>
      <c r="K6" s="3435"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 ca="1">SUM(D9,D10,D11,D17,0)</f>
        <v>4207</v>
      </c>
      <c r="E7" s="3061">
        <f ca="1">E9+E10+E11+E17</f>
        <v>0.61406888499708112</v>
      </c>
      <c r="F7" s="3062"/>
      <c r="G7" s="3063"/>
      <c r="H7" s="3029"/>
      <c r="I7" s="3030"/>
      <c r="J7" s="3434"/>
      <c r="K7" s="3436"/>
      <c r="L7" s="3620" t="s">
        <v>3199</v>
      </c>
      <c r="M7" s="3622">
        <v>115</v>
      </c>
      <c r="N7" s="3622">
        <v>780</v>
      </c>
      <c r="O7" s="3066">
        <v>0.75</v>
      </c>
      <c r="P7" s="3066">
        <v>0.65</v>
      </c>
      <c r="Q7" s="3067">
        <v>365</v>
      </c>
      <c r="R7" s="3068">
        <f>ROUND(M7*N7*O7*P7*Q7/10000,0)</f>
        <v>1596</v>
      </c>
      <c r="S7" s="3022"/>
      <c r="T7" s="3022" t="s">
        <v>2849</v>
      </c>
      <c r="U7" s="3022"/>
      <c r="V7" s="3030"/>
    </row>
    <row r="8" spans="1:22" s="3034" customFormat="1" ht="13.15" customHeight="1">
      <c r="A8" s="3069" t="s">
        <v>2850</v>
      </c>
      <c r="B8" s="3438" t="s">
        <v>2851</v>
      </c>
      <c r="C8" s="3439"/>
      <c r="D8" s="3070" t="s">
        <v>2852</v>
      </c>
      <c r="E8" s="3071" t="s">
        <v>2853</v>
      </c>
      <c r="F8" s="3072" t="s">
        <v>2854</v>
      </c>
      <c r="G8" s="3073"/>
      <c r="H8" s="3029"/>
      <c r="I8" s="3030"/>
      <c r="J8" s="3434"/>
      <c r="K8" s="3436"/>
      <c r="L8" s="3620" t="s">
        <v>3200</v>
      </c>
      <c r="M8" s="3622">
        <v>48</v>
      </c>
      <c r="N8" s="3622">
        <v>780</v>
      </c>
      <c r="O8" s="3066">
        <f>O7</f>
        <v>0.75</v>
      </c>
      <c r="P8" s="3066">
        <f>P7</f>
        <v>0.65</v>
      </c>
      <c r="Q8" s="3067">
        <v>365</v>
      </c>
      <c r="R8" s="3068">
        <f t="shared" ref="R8:R13" si="0">ROUND(M8*N8*O8*P8*Q8/10000,0)</f>
        <v>666</v>
      </c>
      <c r="S8" s="3022"/>
      <c r="T8" s="3022" t="s">
        <v>2855</v>
      </c>
      <c r="U8" s="3022"/>
      <c r="V8" s="3030"/>
    </row>
    <row r="9" spans="1:22" s="3034" customFormat="1" ht="13.15" customHeight="1">
      <c r="A9" s="3069">
        <v>1</v>
      </c>
      <c r="B9" s="3438" t="s">
        <v>2856</v>
      </c>
      <c r="C9" s="3439"/>
      <c r="D9" s="3070">
        <f>ROUND(D6*E9,0)</f>
        <v>1713</v>
      </c>
      <c r="E9" s="3074">
        <v>0.25</v>
      </c>
      <c r="F9" s="3075" t="s">
        <v>2857</v>
      </c>
      <c r="G9" s="3054"/>
      <c r="H9" s="3029"/>
      <c r="I9" s="3030"/>
      <c r="J9" s="3434"/>
      <c r="K9" s="3436"/>
      <c r="L9" s="3620" t="s">
        <v>3201</v>
      </c>
      <c r="M9" s="3622">
        <v>12</v>
      </c>
      <c r="N9" s="3622">
        <v>880</v>
      </c>
      <c r="O9" s="3066">
        <f>O7</f>
        <v>0.75</v>
      </c>
      <c r="P9" s="3066">
        <f>P7</f>
        <v>0.65</v>
      </c>
      <c r="Q9" s="3067">
        <v>365</v>
      </c>
      <c r="R9" s="3068">
        <f t="shared" si="0"/>
        <v>188</v>
      </c>
      <c r="S9" s="3022"/>
      <c r="T9" s="3022"/>
      <c r="U9" s="3022"/>
      <c r="V9" s="3030"/>
    </row>
    <row r="10" spans="1:22" s="3034" customFormat="1" ht="13.15" customHeight="1">
      <c r="A10" s="3069">
        <v>2</v>
      </c>
      <c r="B10" s="3438" t="s">
        <v>2858</v>
      </c>
      <c r="C10" s="3439"/>
      <c r="D10" s="3070">
        <f>ROUND(D6*E10,0)</f>
        <v>1370</v>
      </c>
      <c r="E10" s="3074">
        <v>0.2</v>
      </c>
      <c r="F10" s="3075" t="s">
        <v>2859</v>
      </c>
      <c r="G10" s="3054"/>
      <c r="H10" s="3029"/>
      <c r="I10" s="3030"/>
      <c r="J10" s="3434"/>
      <c r="K10" s="3436"/>
      <c r="L10" s="3620" t="s">
        <v>3202</v>
      </c>
      <c r="M10" s="3622">
        <v>12</v>
      </c>
      <c r="N10" s="3622">
        <v>880</v>
      </c>
      <c r="O10" s="3066">
        <f>O7</f>
        <v>0.75</v>
      </c>
      <c r="P10" s="3066">
        <f>P7</f>
        <v>0.65</v>
      </c>
      <c r="Q10" s="3067">
        <v>365</v>
      </c>
      <c r="R10" s="3068">
        <f t="shared" si="0"/>
        <v>188</v>
      </c>
      <c r="S10" s="3022"/>
      <c r="T10" s="3022"/>
      <c r="U10" s="3022"/>
      <c r="V10" s="3030"/>
    </row>
    <row r="11" spans="1:22" s="3034" customFormat="1" ht="13.15" customHeight="1">
      <c r="A11" s="3069">
        <v>3</v>
      </c>
      <c r="B11" s="3438" t="s">
        <v>2860</v>
      </c>
      <c r="C11" s="3439"/>
      <c r="D11" s="3070">
        <f ca="1">D12+D14+D15+D16</f>
        <v>439</v>
      </c>
      <c r="E11" s="3076">
        <f ca="1">D11/D6</f>
        <v>6.4068884997081146E-2</v>
      </c>
      <c r="F11" s="3072"/>
      <c r="G11" s="3073"/>
      <c r="H11" s="3029"/>
      <c r="I11" s="3030"/>
      <c r="J11" s="3434"/>
      <c r="K11" s="3436"/>
      <c r="L11" s="3620" t="s">
        <v>3203</v>
      </c>
      <c r="M11" s="3622">
        <v>1</v>
      </c>
      <c r="N11" s="3622">
        <v>2180</v>
      </c>
      <c r="O11" s="3066">
        <v>0.75</v>
      </c>
      <c r="P11" s="3066">
        <v>0.5</v>
      </c>
      <c r="Q11" s="3067">
        <v>365</v>
      </c>
      <c r="R11" s="3068">
        <f t="shared" si="0"/>
        <v>30</v>
      </c>
      <c r="S11" s="3022"/>
      <c r="T11" s="3022"/>
      <c r="U11" s="3022"/>
      <c r="V11" s="3030"/>
    </row>
    <row r="12" spans="1:22" s="3034" customFormat="1" ht="13.15" customHeight="1">
      <c r="A12" s="3077" t="s">
        <v>2861</v>
      </c>
      <c r="B12" s="3440" t="s">
        <v>2862</v>
      </c>
      <c r="C12" s="3441"/>
      <c r="D12" s="3078">
        <f ca="1">ROUND(D13*1.2%*(1-30%),0)</f>
        <v>60</v>
      </c>
      <c r="E12" s="3079">
        <v>1.2E-2</v>
      </c>
      <c r="F12" s="3072" t="s">
        <v>2863</v>
      </c>
      <c r="G12" s="3073"/>
      <c r="H12" s="3029"/>
      <c r="I12" s="3030"/>
      <c r="J12" s="3434"/>
      <c r="K12" s="3436"/>
      <c r="L12" s="3620" t="s">
        <v>3204</v>
      </c>
      <c r="M12" s="3622">
        <v>1</v>
      </c>
      <c r="N12" s="3622">
        <v>1580</v>
      </c>
      <c r="O12" s="3066">
        <f>O11</f>
        <v>0.75</v>
      </c>
      <c r="P12" s="3066">
        <f>P11</f>
        <v>0.5</v>
      </c>
      <c r="Q12" s="3067">
        <v>365</v>
      </c>
      <c r="R12" s="3068">
        <f t="shared" si="0"/>
        <v>22</v>
      </c>
      <c r="S12" s="3022"/>
      <c r="T12" s="3022"/>
      <c r="U12" s="3022"/>
      <c r="V12" s="3030"/>
    </row>
    <row r="13" spans="1:22" s="3034" customFormat="1" ht="13.15" customHeight="1">
      <c r="A13" s="3077"/>
      <c r="B13" s="3080"/>
      <c r="C13" s="3081" t="s">
        <v>2864</v>
      </c>
      <c r="D13" s="3082">
        <f ca="1">成本法!C49</f>
        <v>7128</v>
      </c>
      <c r="E13" s="3083"/>
      <c r="F13" s="3072"/>
      <c r="G13" s="3073"/>
      <c r="H13" s="3029"/>
      <c r="I13" s="3030"/>
      <c r="J13" s="3434"/>
      <c r="K13" s="3436"/>
      <c r="L13" s="3621" t="s">
        <v>3205</v>
      </c>
      <c r="M13" s="3622">
        <v>1</v>
      </c>
      <c r="N13" s="3622">
        <v>1380</v>
      </c>
      <c r="O13" s="3066">
        <f>O11</f>
        <v>0.75</v>
      </c>
      <c r="P13" s="3066">
        <v>0.55000000000000004</v>
      </c>
      <c r="Q13" s="3067">
        <v>365</v>
      </c>
      <c r="R13" s="3068">
        <f t="shared" si="0"/>
        <v>21</v>
      </c>
      <c r="S13" s="3022"/>
      <c r="T13" s="3022"/>
      <c r="U13" s="3022"/>
      <c r="V13" s="3030"/>
    </row>
    <row r="14" spans="1:22" s="3034" customFormat="1" ht="13.15" customHeight="1">
      <c r="A14" s="3077" t="s">
        <v>2865</v>
      </c>
      <c r="B14" s="3440" t="s">
        <v>2866</v>
      </c>
      <c r="C14" s="3441"/>
      <c r="D14" s="3078">
        <f>ROUND(E14*B5/10000,0)</f>
        <v>2</v>
      </c>
      <c r="E14" s="3067">
        <f>B5*'数据-取费表'!B56/10000</f>
        <v>6.3010799999999998</v>
      </c>
      <c r="F14" s="3072" t="s">
        <v>2867</v>
      </c>
      <c r="G14" s="3073"/>
      <c r="H14" s="3029"/>
      <c r="I14" s="3030"/>
      <c r="J14" s="3434"/>
      <c r="K14" s="3437"/>
      <c r="L14" s="3084" t="s">
        <v>2868</v>
      </c>
      <c r="M14" s="3085">
        <f>SUM(M7:M13)</f>
        <v>190</v>
      </c>
      <c r="N14" s="3085">
        <f>ROUND((N7*M7+N8*M8+N9*M9+N10*M10+N11*M11+N12*M12+N13*M13)/M14,0)</f>
        <v>807</v>
      </c>
      <c r="O14" s="3086"/>
      <c r="P14" s="3086"/>
      <c r="Q14" s="3087"/>
      <c r="R14" s="3033">
        <f>SUM(R7:R13)</f>
        <v>2711</v>
      </c>
      <c r="S14" s="3022"/>
      <c r="T14" s="3022"/>
      <c r="U14" s="3022"/>
      <c r="V14" s="3030"/>
    </row>
    <row r="15" spans="1:22" s="3034" customFormat="1" ht="13.15" customHeight="1">
      <c r="A15" s="3077" t="s">
        <v>2869</v>
      </c>
      <c r="B15" s="3440" t="s">
        <v>2870</v>
      </c>
      <c r="C15" s="3441"/>
      <c r="D15" s="3078">
        <f>ROUND(D6*E15,0)</f>
        <v>377</v>
      </c>
      <c r="E15" s="3079">
        <v>5.5E-2</v>
      </c>
      <c r="F15" s="3072" t="s">
        <v>2871</v>
      </c>
      <c r="G15" s="3054"/>
      <c r="H15" s="3029"/>
      <c r="I15" s="3030"/>
      <c r="J15" s="3434">
        <v>2</v>
      </c>
      <c r="K15" s="3435" t="s">
        <v>2872</v>
      </c>
      <c r="L15" s="3064" t="s">
        <v>2873</v>
      </c>
      <c r="M15" s="3065" t="s">
        <v>2874</v>
      </c>
      <c r="N15" s="3065" t="s">
        <v>2875</v>
      </c>
      <c r="O15" s="3066" t="s">
        <v>2876</v>
      </c>
      <c r="P15" s="3066" t="s">
        <v>2845</v>
      </c>
      <c r="Q15" s="3041" t="s">
        <v>2877</v>
      </c>
      <c r="R15" s="3088" t="s">
        <v>2846</v>
      </c>
      <c r="S15" s="3022"/>
      <c r="T15" s="3022"/>
      <c r="U15" s="3022"/>
      <c r="V15" s="3030"/>
    </row>
    <row r="16" spans="1:22" s="3034" customFormat="1" ht="13.15" customHeight="1">
      <c r="A16" s="3077" t="s">
        <v>2878</v>
      </c>
      <c r="B16" s="3440" t="s">
        <v>2879</v>
      </c>
      <c r="C16" s="3441"/>
      <c r="D16" s="3089">
        <f>D6*E16</f>
        <v>0</v>
      </c>
      <c r="E16" s="3090"/>
      <c r="F16" s="3075" t="s">
        <v>2880</v>
      </c>
      <c r="G16" s="3054"/>
      <c r="H16" s="3029"/>
      <c r="I16" s="3030"/>
      <c r="J16" s="3434"/>
      <c r="K16" s="3436"/>
      <c r="L16" s="3619" t="s">
        <v>3223</v>
      </c>
      <c r="M16" s="3065">
        <v>200</v>
      </c>
      <c r="N16" s="3065">
        <v>440</v>
      </c>
      <c r="O16" s="3066">
        <v>0.75</v>
      </c>
      <c r="P16" s="3067">
        <v>365</v>
      </c>
      <c r="Q16" s="3041"/>
      <c r="R16" s="3088">
        <f>ROUND(M16*N16*O16*P16/10000,0)</f>
        <v>2409</v>
      </c>
      <c r="S16" s="3022"/>
      <c r="T16" s="3022"/>
      <c r="U16" s="3022"/>
      <c r="V16" s="3030"/>
    </row>
    <row r="17" spans="1:22" s="3034" customFormat="1" ht="13.15" customHeight="1" thickBot="1">
      <c r="A17" s="3091">
        <v>4</v>
      </c>
      <c r="B17" s="3442" t="s">
        <v>2881</v>
      </c>
      <c r="C17" s="3443"/>
      <c r="D17" s="3092">
        <f>ROUND(D6*E17,0)</f>
        <v>685</v>
      </c>
      <c r="E17" s="3093">
        <v>0.1</v>
      </c>
      <c r="F17" s="3094" t="s">
        <v>2882</v>
      </c>
      <c r="G17" s="3054"/>
      <c r="H17" s="3029"/>
      <c r="I17" s="3030"/>
      <c r="J17" s="3434"/>
      <c r="K17" s="3436"/>
      <c r="L17" s="3619" t="s">
        <v>3222</v>
      </c>
      <c r="M17" s="3065">
        <v>140</v>
      </c>
      <c r="N17" s="3065">
        <v>200</v>
      </c>
      <c r="O17" s="3066">
        <v>0.75</v>
      </c>
      <c r="P17" s="3067">
        <v>365</v>
      </c>
      <c r="Q17" s="3041"/>
      <c r="R17" s="3088">
        <f>ROUND(M17*N17*O17*P17/10000,0)</f>
        <v>767</v>
      </c>
      <c r="S17" s="3022"/>
      <c r="T17" s="3022"/>
      <c r="U17" s="3022"/>
      <c r="V17" s="3030"/>
    </row>
    <row r="18" spans="1:22" s="3034" customFormat="1" ht="13.15" customHeight="1" thickBot="1">
      <c r="A18" s="3057" t="s">
        <v>2883</v>
      </c>
      <c r="B18" s="3058"/>
      <c r="C18" s="3058"/>
      <c r="D18" s="3095">
        <f>ROUND(D6*E18,0)</f>
        <v>0</v>
      </c>
      <c r="E18" s="3096">
        <v>0</v>
      </c>
      <c r="F18" s="3097" t="s">
        <v>2884</v>
      </c>
      <c r="G18" s="3054"/>
      <c r="H18" s="3029"/>
      <c r="I18" s="3030"/>
      <c r="J18" s="3434"/>
      <c r="K18" s="3436"/>
      <c r="L18" s="3064" t="s">
        <v>2885</v>
      </c>
      <c r="M18" s="3065"/>
      <c r="N18" s="3065"/>
      <c r="O18" s="3066"/>
      <c r="P18" s="3067">
        <v>365</v>
      </c>
      <c r="Q18" s="3041"/>
      <c r="R18" s="3088">
        <f>ROUND(M18*N18*O18*P18/10000,0)</f>
        <v>0</v>
      </c>
      <c r="S18" s="3022"/>
      <c r="T18" s="3022"/>
      <c r="U18" s="3022"/>
      <c r="V18" s="3030"/>
    </row>
    <row r="19" spans="1:22" s="3034" customFormat="1" ht="13.15" customHeight="1" thickBot="1">
      <c r="A19" s="3098" t="s">
        <v>2886</v>
      </c>
      <c r="B19" s="3052"/>
      <c r="C19" s="3052"/>
      <c r="D19" s="3052"/>
      <c r="E19" s="3052"/>
      <c r="F19" s="3053"/>
      <c r="G19" s="3073"/>
      <c r="H19" s="3029"/>
      <c r="I19" s="3030"/>
      <c r="J19" s="3434"/>
      <c r="K19" s="3437"/>
      <c r="L19" s="3084" t="s">
        <v>2868</v>
      </c>
      <c r="M19" s="3085"/>
      <c r="N19" s="3085">
        <f>SUM(N16:N18)</f>
        <v>640</v>
      </c>
      <c r="O19" s="3086"/>
      <c r="P19" s="3099" t="s">
        <v>2930</v>
      </c>
      <c r="Q19" s="3066">
        <v>0</v>
      </c>
      <c r="R19" s="3100">
        <f>ROUND(IF(P19="按比例",R14*Q19,SUM(R16:R18)),0)</f>
        <v>3176</v>
      </c>
      <c r="S19" s="3022"/>
      <c r="T19" s="3022"/>
      <c r="U19" s="3022"/>
      <c r="V19" s="3030"/>
    </row>
    <row r="20" spans="1:22" s="3034" customFormat="1" ht="13.15" customHeight="1">
      <c r="A20" s="3057"/>
      <c r="B20" s="3058"/>
      <c r="C20" s="3058"/>
      <c r="D20" s="3058"/>
      <c r="E20" s="3058"/>
      <c r="F20" s="3101"/>
      <c r="G20" s="3073"/>
      <c r="H20" s="3029"/>
      <c r="I20" s="3030"/>
      <c r="J20" s="3434">
        <v>3</v>
      </c>
      <c r="K20" s="3435" t="s">
        <v>2887</v>
      </c>
      <c r="L20" s="3064" t="s">
        <v>2888</v>
      </c>
      <c r="M20" s="3065" t="s">
        <v>2889</v>
      </c>
      <c r="N20" s="3102" t="s">
        <v>2890</v>
      </c>
      <c r="O20" s="3066" t="s">
        <v>2891</v>
      </c>
      <c r="P20" s="3067" t="s">
        <v>2892</v>
      </c>
      <c r="Q20" s="3041" t="s">
        <v>2893</v>
      </c>
      <c r="R20" s="3088" t="s">
        <v>2894</v>
      </c>
      <c r="S20" s="3103"/>
      <c r="T20" s="3103"/>
      <c r="U20" s="3103"/>
      <c r="V20" s="3030"/>
    </row>
    <row r="21" spans="1:22" s="3034" customFormat="1" ht="13.15" customHeight="1">
      <c r="A21" s="3057"/>
      <c r="B21" s="3058"/>
      <c r="C21" s="3104" t="s">
        <v>2895</v>
      </c>
      <c r="D21" s="3105" t="s">
        <v>2896</v>
      </c>
      <c r="E21" s="3106" t="s">
        <v>2897</v>
      </c>
      <c r="F21" s="3101"/>
      <c r="G21" s="3073"/>
      <c r="H21" s="3029"/>
      <c r="I21" s="3030"/>
      <c r="J21" s="3434"/>
      <c r="K21" s="3436"/>
      <c r="L21" s="3064" t="s">
        <v>2898</v>
      </c>
      <c r="M21" s="3065">
        <v>2</v>
      </c>
      <c r="N21" s="3065">
        <v>8000</v>
      </c>
      <c r="O21" s="3066">
        <v>0.5</v>
      </c>
      <c r="P21" s="3067">
        <v>365</v>
      </c>
      <c r="Q21" s="3041"/>
      <c r="R21" s="3107">
        <f>ROUND(M21*N21*O21*P21/10000,0)</f>
        <v>292</v>
      </c>
      <c r="S21" s="3103"/>
      <c r="T21" s="3103"/>
      <c r="U21" s="3103"/>
      <c r="V21" s="3030"/>
    </row>
    <row r="22" spans="1:22" s="3034" customFormat="1" ht="13.15" customHeight="1">
      <c r="A22" s="3057"/>
      <c r="B22" s="3058"/>
      <c r="C22" s="3108" t="s">
        <v>2899</v>
      </c>
      <c r="D22" s="3109" t="s">
        <v>2900</v>
      </c>
      <c r="E22" s="3110" t="s">
        <v>2901</v>
      </c>
      <c r="F22" s="3101"/>
      <c r="G22" s="3111"/>
      <c r="H22" s="3029"/>
      <c r="I22" s="3030"/>
      <c r="J22" s="3434"/>
      <c r="K22" s="3436"/>
      <c r="L22" s="3064" t="s">
        <v>2902</v>
      </c>
      <c r="M22" s="3065">
        <v>5</v>
      </c>
      <c r="N22" s="3065">
        <v>5000</v>
      </c>
      <c r="O22" s="3066">
        <v>0.5</v>
      </c>
      <c r="P22" s="3067">
        <v>365</v>
      </c>
      <c r="Q22" s="3041"/>
      <c r="R22" s="3107">
        <f>ROUND(M22*N22*O22*P22/10000,0)</f>
        <v>456</v>
      </c>
      <c r="S22" s="3103"/>
      <c r="T22" s="3103"/>
      <c r="U22" s="3103"/>
      <c r="V22" s="3030"/>
    </row>
    <row r="23" spans="1:22" s="3034" customFormat="1" ht="13.15" customHeight="1">
      <c r="A23" s="3112">
        <v>1</v>
      </c>
      <c r="B23" s="3113" t="s">
        <v>2903</v>
      </c>
      <c r="C23" s="3114">
        <f>D6</f>
        <v>6852</v>
      </c>
      <c r="D23" s="3115">
        <f>C23*(1+D24)</f>
        <v>6852</v>
      </c>
      <c r="E23" s="3116">
        <f>D23*(1+E24)</f>
        <v>6852</v>
      </c>
      <c r="F23" s="3117"/>
      <c r="G23" s="3118"/>
      <c r="H23" s="3029"/>
      <c r="I23" s="3030"/>
      <c r="J23" s="3434"/>
      <c r="K23" s="3436"/>
      <c r="L23" s="3064" t="s">
        <v>2904</v>
      </c>
      <c r="M23" s="3065"/>
      <c r="N23" s="3065"/>
      <c r="O23" s="3066"/>
      <c r="P23" s="3067">
        <v>365</v>
      </c>
      <c r="Q23" s="3041"/>
      <c r="R23" s="3107">
        <f>ROUND(M23*N23*O23*P23/10000,0)</f>
        <v>0</v>
      </c>
      <c r="S23" s="3022"/>
      <c r="T23" s="3022"/>
      <c r="U23" s="3022"/>
      <c r="V23" s="3030"/>
    </row>
    <row r="24" spans="1:22" s="3034" customFormat="1" ht="13.15" customHeight="1">
      <c r="A24" s="3119"/>
      <c r="B24" s="3120" t="s">
        <v>2905</v>
      </c>
      <c r="C24" s="3121"/>
      <c r="D24" s="3122"/>
      <c r="E24" s="3123"/>
      <c r="F24" s="3124"/>
      <c r="G24" s="3118"/>
      <c r="H24" s="3029"/>
      <c r="I24" s="3030"/>
      <c r="J24" s="3434"/>
      <c r="K24" s="3437"/>
      <c r="L24" s="3084" t="s">
        <v>2868</v>
      </c>
      <c r="M24" s="3085">
        <f>SUM(M21:M23)</f>
        <v>7</v>
      </c>
      <c r="N24" s="3085"/>
      <c r="O24" s="3086"/>
      <c r="P24" s="3099" t="s">
        <v>2930</v>
      </c>
      <c r="Q24" s="3066">
        <v>0</v>
      </c>
      <c r="R24" s="3100">
        <f>ROUND(IF(P24="按比例",R14*Q24,SUM(R21:R23)),0)</f>
        <v>748</v>
      </c>
      <c r="S24" s="3022"/>
      <c r="T24" s="3022"/>
      <c r="U24" s="3022"/>
      <c r="V24" s="3030"/>
    </row>
    <row r="25" spans="1:22" s="3131" customFormat="1" ht="13.15" customHeight="1">
      <c r="A25" s="3119"/>
      <c r="B25" s="3120"/>
      <c r="C25" s="3121"/>
      <c r="D25" s="3122"/>
      <c r="E25" s="3123"/>
      <c r="F25" s="3124"/>
      <c r="G25" s="3111"/>
      <c r="H25" s="3029"/>
      <c r="I25" s="3030"/>
      <c r="J25" s="3125">
        <v>4</v>
      </c>
      <c r="K25" s="3126" t="s">
        <v>2906</v>
      </c>
      <c r="L25" s="3127"/>
      <c r="M25" s="3127"/>
      <c r="N25" s="3127"/>
      <c r="O25" s="3127"/>
      <c r="P25" s="3128"/>
      <c r="Q25" s="3129">
        <v>0.08</v>
      </c>
      <c r="R25" s="3100">
        <f>ROUND(R14*Q25,0)</f>
        <v>217</v>
      </c>
      <c r="S25" s="3022"/>
      <c r="T25" s="3022"/>
      <c r="U25" s="3022"/>
      <c r="V25" s="3130"/>
    </row>
    <row r="26" spans="1:22" s="3131" customFormat="1" ht="13.15" customHeight="1">
      <c r="A26" s="3112">
        <v>2</v>
      </c>
      <c r="B26" s="3113" t="s">
        <v>2907</v>
      </c>
      <c r="C26" s="3114">
        <f ca="1">D7</f>
        <v>4207</v>
      </c>
      <c r="D26" s="3115">
        <f>D23*D27</f>
        <v>0</v>
      </c>
      <c r="E26" s="3116">
        <f>E23*E27</f>
        <v>0</v>
      </c>
      <c r="F26" s="3117"/>
      <c r="G26" s="3118"/>
      <c r="H26" s="3029"/>
      <c r="I26" s="3030"/>
      <c r="J26" s="3444">
        <v>5</v>
      </c>
      <c r="K26" s="3132" t="s">
        <v>2908</v>
      </c>
      <c r="L26" s="3133"/>
      <c r="M26" s="3134"/>
      <c r="N26" s="3135" t="s">
        <v>2909</v>
      </c>
      <c r="O26" s="3135" t="s">
        <v>2910</v>
      </c>
      <c r="P26" s="3136" t="s">
        <v>2911</v>
      </c>
      <c r="Q26" s="3136" t="s">
        <v>2912</v>
      </c>
      <c r="R26" s="3039" t="s">
        <v>2846</v>
      </c>
      <c r="S26" s="3137"/>
      <c r="T26" s="3137"/>
      <c r="U26" s="3137"/>
      <c r="V26" s="3130"/>
    </row>
    <row r="27" spans="1:22" s="3034" customFormat="1" ht="13.15" customHeight="1">
      <c r="A27" s="3119"/>
      <c r="B27" s="3120" t="s">
        <v>2913</v>
      </c>
      <c r="C27" s="3138">
        <f ca="1">E7</f>
        <v>0.61406888499708112</v>
      </c>
      <c r="D27" s="3122"/>
      <c r="E27" s="3123"/>
      <c r="F27" s="3124"/>
      <c r="G27" s="3118"/>
      <c r="H27" s="3139"/>
      <c r="I27" s="3130"/>
      <c r="J27" s="344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2914</v>
      </c>
      <c r="F28" s="3124"/>
      <c r="G28" s="3111"/>
      <c r="H28" s="3139"/>
      <c r="I28" s="3130"/>
      <c r="J28" s="3145">
        <v>6</v>
      </c>
      <c r="K28" s="3146" t="s">
        <v>2915</v>
      </c>
      <c r="L28" s="3147" t="s">
        <v>2916</v>
      </c>
      <c r="M28" s="3148"/>
      <c r="N28" s="3147" t="s">
        <v>2917</v>
      </c>
      <c r="O28" s="3149"/>
      <c r="P28" s="3147" t="s">
        <v>2918</v>
      </c>
      <c r="Q28" s="3150">
        <v>1.4999999999999999E-2</v>
      </c>
      <c r="R28" s="3151"/>
      <c r="S28" s="3103"/>
      <c r="T28" s="3103"/>
      <c r="U28" s="3103"/>
      <c r="V28" s="3130"/>
    </row>
    <row r="29" spans="1:22" s="3131" customFormat="1" ht="13.15" customHeight="1">
      <c r="A29" s="3112">
        <v>3</v>
      </c>
      <c r="B29" s="3113" t="s">
        <v>2919</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2913</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2920</v>
      </c>
      <c r="K31" s="3020"/>
      <c r="L31" s="3020"/>
      <c r="M31" s="3020"/>
      <c r="N31" s="3020"/>
      <c r="O31" s="3020"/>
      <c r="P31" s="3020"/>
      <c r="Q31" s="3020"/>
      <c r="R31" s="3021"/>
      <c r="S31" s="3103"/>
      <c r="T31" s="3022"/>
      <c r="U31" s="3022"/>
      <c r="V31" s="3130"/>
    </row>
    <row r="32" spans="1:22" s="3131" customFormat="1" ht="13.15" customHeight="1">
      <c r="A32" s="3112">
        <v>4</v>
      </c>
      <c r="B32" s="3113" t="s">
        <v>2921</v>
      </c>
      <c r="C32" s="3114">
        <f ca="1">C23-C26-C29</f>
        <v>2645</v>
      </c>
      <c r="D32" s="3115">
        <f>D23-D26-D29</f>
        <v>6852</v>
      </c>
      <c r="E32" s="3116">
        <f>E23-E26-E29</f>
        <v>6852</v>
      </c>
      <c r="F32" s="3117"/>
      <c r="G32" s="3111"/>
      <c r="H32" s="3029"/>
      <c r="I32" s="3030"/>
      <c r="J32" s="3427" t="s">
        <v>2822</v>
      </c>
      <c r="K32" s="3428"/>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29" t="s">
        <v>2832</v>
      </c>
      <c r="K33" s="3430"/>
      <c r="L33" s="3037"/>
      <c r="M33" s="3037"/>
      <c r="N33" s="3037"/>
      <c r="O33" s="3037"/>
      <c r="P33" s="3037"/>
      <c r="Q33" s="3038"/>
      <c r="R33" s="3157">
        <f>SUM(L33:Q33)</f>
        <v>0</v>
      </c>
      <c r="S33" s="3103"/>
      <c r="T33" s="3022"/>
      <c r="U33" s="3022"/>
      <c r="V33" s="3030"/>
    </row>
    <row r="34" spans="1:23" s="3034" customFormat="1" ht="13.15" customHeight="1">
      <c r="A34" s="3112">
        <v>5</v>
      </c>
      <c r="B34" s="3113" t="s">
        <v>2922</v>
      </c>
      <c r="C34" s="3158">
        <v>5.5E-2</v>
      </c>
      <c r="D34" s="3159">
        <v>0.01</v>
      </c>
      <c r="E34" s="3160">
        <v>0.01</v>
      </c>
      <c r="F34" s="3117"/>
      <c r="G34" s="3111"/>
      <c r="H34" s="3139"/>
      <c r="I34" s="3130"/>
      <c r="J34" s="3429" t="s">
        <v>2834</v>
      </c>
      <c r="K34" s="343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2923</v>
      </c>
      <c r="C35" s="3162">
        <v>0.03</v>
      </c>
      <c r="D35" s="3163"/>
      <c r="E35" s="3656">
        <f ca="1">C32/365/B4*10000</f>
        <v>7.3550625145554465</v>
      </c>
      <c r="F35" s="3117"/>
      <c r="G35" s="3164"/>
      <c r="H35" s="3029"/>
      <c r="I35" s="3130"/>
      <c r="J35" s="3048" t="s">
        <v>2836</v>
      </c>
      <c r="K35" s="3049"/>
      <c r="L35" s="3049"/>
      <c r="M35" s="3050"/>
      <c r="N35" s="3050"/>
      <c r="O35" s="3050"/>
      <c r="P35" s="3050"/>
      <c r="Q35" s="3050"/>
      <c r="R35" s="3165">
        <f>R40+R41+R43</f>
        <v>0</v>
      </c>
      <c r="S35" s="3103"/>
      <c r="T35" s="3022" t="s">
        <v>2837</v>
      </c>
      <c r="U35" s="3022"/>
      <c r="V35" s="3030"/>
    </row>
    <row r="36" spans="1:23" s="3034" customFormat="1" ht="13.15" customHeight="1" thickBot="1">
      <c r="A36" s="3112">
        <v>7</v>
      </c>
      <c r="B36" s="3166" t="s">
        <v>2924</v>
      </c>
      <c r="C36" s="3167">
        <f>项目基本情况!E15</f>
        <v>15.3</v>
      </c>
      <c r="D36" s="3168"/>
      <c r="E36" s="3169"/>
      <c r="F36" s="3170">
        <f>C36+D36+E36</f>
        <v>15.3</v>
      </c>
      <c r="G36" s="3111"/>
      <c r="H36" s="3029"/>
      <c r="I36" s="3030"/>
      <c r="J36" s="3434">
        <v>1</v>
      </c>
      <c r="K36" s="3435" t="s">
        <v>2925</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4"/>
      <c r="K37" s="3436"/>
      <c r="L37" s="3064"/>
      <c r="M37" s="3065"/>
      <c r="N37" s="3041"/>
      <c r="O37" s="3066"/>
      <c r="P37" s="3066"/>
      <c r="Q37" s="3067"/>
      <c r="R37" s="3068"/>
      <c r="S37" s="3103"/>
      <c r="T37" s="3022" t="s">
        <v>2849</v>
      </c>
      <c r="U37" s="3022"/>
      <c r="V37" s="3030"/>
    </row>
    <row r="38" spans="1:23" s="3034" customFormat="1" ht="13.15" customHeight="1">
      <c r="A38" s="3112">
        <v>8</v>
      </c>
      <c r="B38" s="3113"/>
      <c r="C38" s="3070">
        <f ca="1">ROUND(C32*(1-((1+C35)/(1+C34))^C36)/(C34-C35),0)</f>
        <v>32495</v>
      </c>
      <c r="D38" s="3070">
        <f>IF(D23=0,0,ROUND(D32*(1-((1+D35)/(1+D34))^D36)/(D34-D35),0))</f>
        <v>0</v>
      </c>
      <c r="E38" s="3070">
        <f ca="1">IF(E23=0,0,ROUND(E32*(1-((1+E35)/(1+E34))^E36)/(E34-E35),0))</f>
        <v>0</v>
      </c>
      <c r="F38" s="3117"/>
      <c r="G38" s="3111"/>
      <c r="H38" s="3029"/>
      <c r="I38" s="3030"/>
      <c r="J38" s="3434"/>
      <c r="K38" s="3436"/>
      <c r="L38" s="3064"/>
      <c r="M38" s="3065"/>
      <c r="N38" s="3041"/>
      <c r="O38" s="3066"/>
      <c r="P38" s="3066"/>
      <c r="Q38" s="3067"/>
      <c r="R38" s="3068"/>
      <c r="S38" s="3103"/>
      <c r="T38" s="3022" t="s">
        <v>2855</v>
      </c>
      <c r="U38" s="3022"/>
      <c r="V38" s="3030"/>
    </row>
    <row r="39" spans="1:23" s="3034" customFormat="1" ht="13.15" customHeight="1">
      <c r="A39" s="3112">
        <v>9</v>
      </c>
      <c r="B39" s="3113" t="s">
        <v>2926</v>
      </c>
      <c r="C39" s="3078">
        <f ca="1">C38</f>
        <v>32495</v>
      </c>
      <c r="D39" s="3113">
        <f>D38/(1+D34)^C36</f>
        <v>0</v>
      </c>
      <c r="E39" s="3113">
        <f ca="1">E38/(1+E34)^(C36+D36)</f>
        <v>0</v>
      </c>
      <c r="F39" s="3117"/>
      <c r="G39" s="3171"/>
      <c r="H39" s="3029"/>
      <c r="I39" s="3030"/>
      <c r="J39" s="3434"/>
      <c r="K39" s="3436"/>
      <c r="L39" s="3064"/>
      <c r="M39" s="3065"/>
      <c r="N39" s="3041"/>
      <c r="O39" s="3066"/>
      <c r="P39" s="3066"/>
      <c r="Q39" s="3067"/>
      <c r="R39" s="3068"/>
      <c r="S39" s="3103"/>
      <c r="T39" s="3022"/>
      <c r="U39" s="3022"/>
      <c r="V39" s="3030"/>
    </row>
    <row r="40" spans="1:23" s="3034" customFormat="1" ht="13.15" customHeight="1">
      <c r="A40" s="3172">
        <v>10</v>
      </c>
      <c r="B40" s="3113" t="s">
        <v>2927</v>
      </c>
      <c r="C40" s="3173">
        <f ca="1">C39+D39+E39</f>
        <v>32495</v>
      </c>
      <c r="D40" s="3174"/>
      <c r="E40" s="3174"/>
      <c r="F40" s="3175"/>
      <c r="G40" s="3111"/>
      <c r="H40" s="3029"/>
      <c r="I40" s="3030"/>
      <c r="J40" s="3434"/>
      <c r="K40" s="3437"/>
      <c r="L40" s="3084" t="s">
        <v>2868</v>
      </c>
      <c r="M40" s="3085"/>
      <c r="N40" s="3085"/>
      <c r="O40" s="3086"/>
      <c r="P40" s="3086"/>
      <c r="Q40" s="3087"/>
      <c r="R40" s="3033">
        <f>SUM(R37:R39)</f>
        <v>0</v>
      </c>
      <c r="S40" s="3103"/>
      <c r="T40" s="3022"/>
      <c r="U40" s="3022"/>
      <c r="V40" s="3030"/>
    </row>
    <row r="41" spans="1:23" s="3034" customFormat="1" ht="13.15" customHeight="1" thickBot="1">
      <c r="A41" s="3176">
        <v>11</v>
      </c>
      <c r="B41" s="3177" t="s">
        <v>2928</v>
      </c>
      <c r="C41" s="3177">
        <f ca="1">ROUND(C40*10000/B4,0)</f>
        <v>32981</v>
      </c>
      <c r="D41" s="3178"/>
      <c r="E41" s="3178"/>
      <c r="F41" s="3179"/>
      <c r="G41" s="3180"/>
      <c r="H41" s="3029"/>
      <c r="I41" s="3030"/>
      <c r="J41" s="3125">
        <v>2</v>
      </c>
      <c r="K41" s="3126" t="s">
        <v>2906</v>
      </c>
      <c r="L41" s="3127"/>
      <c r="M41" s="3127"/>
      <c r="N41" s="3127"/>
      <c r="O41" s="3127"/>
      <c r="P41" s="3128"/>
      <c r="Q41" s="3129"/>
      <c r="R41" s="3100">
        <f>ROUND(R40*Q41,0)</f>
        <v>0</v>
      </c>
      <c r="S41" s="3103"/>
      <c r="T41" s="3022"/>
      <c r="U41" s="3137"/>
      <c r="V41" s="3030"/>
    </row>
    <row r="42" spans="1:23" s="3034" customFormat="1" ht="13.15" customHeight="1">
      <c r="G42" s="3180"/>
      <c r="H42" s="3029"/>
      <c r="I42" s="3030"/>
      <c r="J42" s="3444">
        <v>3</v>
      </c>
      <c r="K42" s="3132" t="s">
        <v>2908</v>
      </c>
      <c r="L42" s="3133"/>
      <c r="M42" s="3134"/>
      <c r="N42" s="3135" t="s">
        <v>2909</v>
      </c>
      <c r="O42" s="3135" t="s">
        <v>2910</v>
      </c>
      <c r="P42" s="3136" t="s">
        <v>2911</v>
      </c>
      <c r="Q42" s="3136" t="s">
        <v>2912</v>
      </c>
      <c r="R42" s="3039" t="s">
        <v>2846</v>
      </c>
      <c r="S42" s="3137"/>
      <c r="T42" s="3137"/>
      <c r="U42" s="3022"/>
      <c r="V42" s="3030"/>
    </row>
    <row r="43" spans="1:23" ht="13.15" customHeight="1">
      <c r="A43" s="3034"/>
      <c r="B43" s="3034"/>
      <c r="C43" s="3034"/>
      <c r="D43" s="3034"/>
      <c r="E43" s="3034"/>
      <c r="F43" s="3034"/>
      <c r="I43" s="3017"/>
      <c r="J43" s="3445"/>
      <c r="K43" s="3140"/>
      <c r="L43" s="3141"/>
      <c r="M43" s="3142"/>
      <c r="N43" s="3065"/>
      <c r="O43" s="3065"/>
      <c r="P43" s="3065"/>
      <c r="Q43" s="3129"/>
      <c r="R43" s="3100">
        <f>ROUND(O43*N43*P43*(1-Q43)/10000,0)</f>
        <v>0</v>
      </c>
      <c r="S43" s="3103"/>
      <c r="T43" s="3022"/>
      <c r="V43" s="3182"/>
      <c r="W43" s="3183"/>
    </row>
    <row r="44" spans="1:23" ht="13.15" customHeight="1" thickBot="1">
      <c r="J44" s="3145">
        <v>6</v>
      </c>
      <c r="K44" s="3146" t="s">
        <v>2915</v>
      </c>
      <c r="L44" s="3184" t="s">
        <v>2916</v>
      </c>
      <c r="M44" s="3148"/>
      <c r="N44" s="3184" t="s">
        <v>2917</v>
      </c>
      <c r="O44" s="3148"/>
      <c r="P44" s="3184" t="s">
        <v>2918</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N27" sqref="N27"/>
    </sheetView>
  </sheetViews>
  <sheetFormatPr defaultColWidth="9" defaultRowHeight="13.5"/>
  <cols>
    <col min="1" max="1" width="8.375" style="3586" customWidth="1"/>
    <col min="2" max="2" width="20.5" style="3586" customWidth="1"/>
    <col min="3" max="3" width="9" style="3586"/>
    <col min="4" max="4" width="6.875" style="3586" customWidth="1"/>
    <col min="5" max="5" width="8.125" style="3586" customWidth="1"/>
    <col min="6" max="6" width="5.75" style="3586" customWidth="1"/>
    <col min="7" max="7" width="1.375" style="3586" hidden="1" customWidth="1"/>
    <col min="8" max="8" width="25.375" style="3586" customWidth="1"/>
    <col min="9" max="9" width="14" style="3586" hidden="1" customWidth="1"/>
    <col min="10" max="16384" width="9" style="3586"/>
  </cols>
  <sheetData>
    <row r="1" spans="1:9" s="3583" customFormat="1" ht="22.5">
      <c r="A1" s="3582" t="s">
        <v>3193</v>
      </c>
      <c r="B1" s="3582"/>
      <c r="C1" s="3582"/>
      <c r="D1" s="3582"/>
      <c r="E1" s="3582"/>
      <c r="F1" s="3582"/>
      <c r="G1" s="3582"/>
      <c r="H1" s="3582"/>
      <c r="I1" s="3582"/>
    </row>
    <row r="2" spans="1:9">
      <c r="A2" s="3584" t="s">
        <v>3194</v>
      </c>
      <c r="B2" s="3584"/>
      <c r="C2" s="3584"/>
      <c r="D2" s="3585"/>
      <c r="E2" s="3585"/>
      <c r="F2" s="3585"/>
      <c r="G2" s="3585"/>
      <c r="H2" s="3585"/>
      <c r="I2" s="3585"/>
    </row>
    <row r="3" spans="1:9">
      <c r="A3" s="3587" t="s">
        <v>3195</v>
      </c>
      <c r="B3" s="3588"/>
      <c r="C3" s="3587" t="s">
        <v>3196</v>
      </c>
      <c r="D3" s="3588"/>
      <c r="E3" s="3587" t="s">
        <v>3197</v>
      </c>
      <c r="F3" s="3588"/>
      <c r="G3" s="3587" t="s">
        <v>3198</v>
      </c>
      <c r="H3" s="3588"/>
      <c r="I3" s="3585"/>
    </row>
    <row r="4" spans="1:9">
      <c r="A4" s="3589"/>
      <c r="B4" s="3590"/>
      <c r="C4" s="3591"/>
      <c r="D4" s="3592"/>
      <c r="E4" s="3591"/>
      <c r="F4" s="3592"/>
      <c r="G4" s="3591"/>
      <c r="H4" s="3592"/>
      <c r="I4" s="3585"/>
    </row>
    <row r="5" spans="1:9" ht="27" customHeight="1">
      <c r="A5" s="3593">
        <v>1</v>
      </c>
      <c r="B5" s="3594" t="s">
        <v>3199</v>
      </c>
      <c r="C5" s="3595">
        <v>780</v>
      </c>
      <c r="D5" s="3596"/>
      <c r="E5" s="3595">
        <v>115</v>
      </c>
      <c r="F5" s="3596"/>
      <c r="G5" s="3597">
        <v>0.15</v>
      </c>
      <c r="H5" s="3596"/>
      <c r="I5" s="3585"/>
    </row>
    <row r="6" spans="1:9" ht="27" customHeight="1">
      <c r="A6" s="3593">
        <v>2</v>
      </c>
      <c r="B6" s="3594" t="s">
        <v>3200</v>
      </c>
      <c r="C6" s="3595">
        <v>780</v>
      </c>
      <c r="D6" s="3596"/>
      <c r="E6" s="3595">
        <v>48</v>
      </c>
      <c r="F6" s="3596"/>
      <c r="G6" s="3598"/>
      <c r="H6" s="3599">
        <v>0.15</v>
      </c>
      <c r="I6" s="3585"/>
    </row>
    <row r="7" spans="1:9" ht="27" customHeight="1">
      <c r="A7" s="3593">
        <v>3</v>
      </c>
      <c r="B7" s="3594" t="s">
        <v>3201</v>
      </c>
      <c r="C7" s="3595">
        <v>880</v>
      </c>
      <c r="D7" s="3596"/>
      <c r="E7" s="3595">
        <v>12</v>
      </c>
      <c r="F7" s="3596"/>
      <c r="G7" s="3597">
        <v>0.15</v>
      </c>
      <c r="H7" s="3596"/>
      <c r="I7" s="3585"/>
    </row>
    <row r="8" spans="1:9" ht="27" customHeight="1">
      <c r="A8" s="3593">
        <v>4</v>
      </c>
      <c r="B8" s="3594" t="s">
        <v>3202</v>
      </c>
      <c r="C8" s="3595">
        <v>880</v>
      </c>
      <c r="D8" s="3596"/>
      <c r="E8" s="3595">
        <v>12</v>
      </c>
      <c r="F8" s="3596"/>
      <c r="G8" s="3598"/>
      <c r="H8" s="3599">
        <v>0.15</v>
      </c>
      <c r="I8" s="3585"/>
    </row>
    <row r="9" spans="1:9" ht="27" customHeight="1">
      <c r="A9" s="3593">
        <v>5</v>
      </c>
      <c r="B9" s="3594" t="s">
        <v>3203</v>
      </c>
      <c r="C9" s="3595">
        <v>2180</v>
      </c>
      <c r="D9" s="3596"/>
      <c r="E9" s="3595">
        <v>1</v>
      </c>
      <c r="F9" s="3596"/>
      <c r="G9" s="3597">
        <v>0.15</v>
      </c>
      <c r="H9" s="3596"/>
      <c r="I9" s="3585"/>
    </row>
    <row r="10" spans="1:9" ht="27" customHeight="1">
      <c r="A10" s="3593">
        <v>6</v>
      </c>
      <c r="B10" s="3594" t="s">
        <v>3204</v>
      </c>
      <c r="C10" s="3595">
        <v>1580</v>
      </c>
      <c r="D10" s="3596"/>
      <c r="E10" s="3595">
        <v>1</v>
      </c>
      <c r="F10" s="3596"/>
      <c r="G10" s="3597">
        <v>0.15</v>
      </c>
      <c r="H10" s="3596"/>
      <c r="I10" s="3585"/>
    </row>
    <row r="11" spans="1:9" ht="27" customHeight="1">
      <c r="A11" s="3593">
        <v>7</v>
      </c>
      <c r="B11" s="3600" t="s">
        <v>3205</v>
      </c>
      <c r="C11" s="3595">
        <v>1380</v>
      </c>
      <c r="D11" s="3596"/>
      <c r="E11" s="3595">
        <v>1</v>
      </c>
      <c r="F11" s="3596"/>
      <c r="G11" s="3597">
        <v>0.15</v>
      </c>
      <c r="H11" s="3596"/>
      <c r="I11" s="3585"/>
    </row>
    <row r="12" spans="1:9">
      <c r="A12" s="3585"/>
      <c r="B12" s="3585"/>
      <c r="C12" s="3601"/>
      <c r="D12" s="3602"/>
      <c r="E12" s="3602"/>
      <c r="F12" s="3602"/>
      <c r="G12" s="3602"/>
      <c r="H12" s="3602"/>
      <c r="I12" s="3603"/>
    </row>
    <row r="13" spans="1:9">
      <c r="A13" s="3585" t="s">
        <v>3206</v>
      </c>
      <c r="B13" s="3585"/>
      <c r="C13" s="3604"/>
      <c r="D13" s="3605"/>
      <c r="E13" s="3605"/>
      <c r="F13" s="3605"/>
      <c r="G13" s="3605"/>
      <c r="H13" s="3605"/>
      <c r="I13" s="3600"/>
    </row>
    <row r="14" spans="1:9" ht="27" customHeight="1">
      <c r="A14" s="3593">
        <v>1</v>
      </c>
      <c r="B14" s="3606" t="s">
        <v>3207</v>
      </c>
      <c r="C14" s="3607" t="s">
        <v>3208</v>
      </c>
      <c r="D14" s="3608"/>
      <c r="E14" s="3608"/>
      <c r="F14" s="3608"/>
      <c r="G14" s="3608"/>
      <c r="H14" s="3609"/>
      <c r="I14" s="3610"/>
    </row>
    <row r="15" spans="1:9" ht="27" customHeight="1">
      <c r="A15" s="3593"/>
      <c r="B15" s="3611" t="s">
        <v>3209</v>
      </c>
      <c r="C15" s="3607" t="s">
        <v>3210</v>
      </c>
      <c r="D15" s="3608"/>
      <c r="E15" s="3608"/>
      <c r="F15" s="3608"/>
      <c r="G15" s="3608"/>
      <c r="H15" s="3609"/>
      <c r="I15" s="3605"/>
    </row>
    <row r="16" spans="1:9" ht="27" customHeight="1">
      <c r="A16" s="3593">
        <v>2</v>
      </c>
      <c r="B16" s="3604" t="s">
        <v>3211</v>
      </c>
      <c r="C16" s="3607" t="s">
        <v>3212</v>
      </c>
      <c r="D16" s="3608"/>
      <c r="E16" s="3608"/>
      <c r="F16" s="3608"/>
      <c r="G16" s="3608"/>
      <c r="H16" s="3609"/>
      <c r="I16" s="3598"/>
    </row>
    <row r="17" spans="1:9" ht="27" customHeight="1">
      <c r="A17" s="3593">
        <v>3</v>
      </c>
      <c r="B17" s="3606" t="s">
        <v>3213</v>
      </c>
      <c r="C17" s="3607" t="s">
        <v>3214</v>
      </c>
      <c r="D17" s="3608"/>
      <c r="E17" s="3608"/>
      <c r="F17" s="3608"/>
      <c r="G17" s="3608"/>
      <c r="H17" s="3609"/>
      <c r="I17" s="3598"/>
    </row>
    <row r="18" spans="1:9" ht="27" customHeight="1">
      <c r="A18" s="3612" t="s">
        <v>3215</v>
      </c>
      <c r="B18" s="3611" t="s">
        <v>3216</v>
      </c>
      <c r="C18" s="3595" t="s">
        <v>3217</v>
      </c>
      <c r="D18" s="3596"/>
      <c r="E18" s="3613" t="s">
        <v>3216</v>
      </c>
      <c r="F18" s="3614" t="s">
        <v>3217</v>
      </c>
      <c r="G18" s="3614"/>
      <c r="H18" s="3614"/>
      <c r="I18" s="3594"/>
    </row>
    <row r="19" spans="1:9" ht="27.75" customHeight="1">
      <c r="A19" s="3615"/>
      <c r="B19" s="3611" t="s">
        <v>3218</v>
      </c>
      <c r="C19" s="3595">
        <v>40</v>
      </c>
      <c r="D19" s="3596"/>
      <c r="E19" s="3613"/>
      <c r="F19" s="3614"/>
      <c r="G19" s="3614"/>
      <c r="H19" s="3614"/>
      <c r="I19" s="3594"/>
    </row>
    <row r="20" spans="1:9" ht="27" customHeight="1">
      <c r="A20" s="3615"/>
      <c r="B20" s="3611" t="s">
        <v>3219</v>
      </c>
      <c r="C20" s="3595">
        <v>110</v>
      </c>
      <c r="D20" s="3596"/>
      <c r="E20" s="3611"/>
      <c r="F20" s="3614"/>
      <c r="G20" s="3614"/>
      <c r="H20" s="3614"/>
      <c r="I20" s="3600"/>
    </row>
    <row r="21" spans="1:9" ht="27" customHeight="1">
      <c r="A21" s="3615"/>
      <c r="B21" s="3616" t="s">
        <v>3220</v>
      </c>
      <c r="C21" s="3595">
        <v>60</v>
      </c>
      <c r="D21" s="3596"/>
      <c r="E21" s="3617"/>
      <c r="F21" s="3614"/>
      <c r="G21" s="3614"/>
      <c r="H21" s="3614"/>
      <c r="I21" s="3600"/>
    </row>
    <row r="22" spans="1:9" ht="27" customHeight="1">
      <c r="A22" s="3618"/>
      <c r="B22" s="3616" t="s">
        <v>3221</v>
      </c>
      <c r="C22" s="3595">
        <v>20</v>
      </c>
      <c r="D22" s="3596"/>
      <c r="E22" s="3611"/>
      <c r="F22" s="3614"/>
      <c r="G22" s="3614"/>
      <c r="H22" s="3614"/>
      <c r="I22" s="3600"/>
    </row>
  </sheetData>
  <mergeCells count="40">
    <mergeCell ref="C22:D22"/>
    <mergeCell ref="F22:H22"/>
    <mergeCell ref="C17:H17"/>
    <mergeCell ref="A18:A22"/>
    <mergeCell ref="C18:D18"/>
    <mergeCell ref="F18:H18"/>
    <mergeCell ref="C19:D19"/>
    <mergeCell ref="F19:H19"/>
    <mergeCell ref="C20:D20"/>
    <mergeCell ref="F20:H20"/>
    <mergeCell ref="C21:D21"/>
    <mergeCell ref="F21:H21"/>
    <mergeCell ref="C11:D11"/>
    <mergeCell ref="E11:F11"/>
    <mergeCell ref="G11:H11"/>
    <mergeCell ref="C14:H14"/>
    <mergeCell ref="C15:H15"/>
    <mergeCell ref="C16:H16"/>
    <mergeCell ref="C8:D8"/>
    <mergeCell ref="E8:F8"/>
    <mergeCell ref="C9:D9"/>
    <mergeCell ref="E9:F9"/>
    <mergeCell ref="G9:H9"/>
    <mergeCell ref="C10:D10"/>
    <mergeCell ref="E10:F10"/>
    <mergeCell ref="G10:H10"/>
    <mergeCell ref="C5:D5"/>
    <mergeCell ref="E5:F5"/>
    <mergeCell ref="G5:H5"/>
    <mergeCell ref="C6:D6"/>
    <mergeCell ref="E6:F6"/>
    <mergeCell ref="C7:D7"/>
    <mergeCell ref="E7:F7"/>
    <mergeCell ref="G7:H7"/>
    <mergeCell ref="A1:I1"/>
    <mergeCell ref="A2:C2"/>
    <mergeCell ref="A3:B4"/>
    <mergeCell ref="C3:D4"/>
    <mergeCell ref="E3:F4"/>
    <mergeCell ref="G3:H4"/>
  </mergeCells>
  <phoneticPr fontId="14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90" zoomScaleNormal="90" zoomScaleSheetLayoutView="100" workbookViewId="0">
      <selection activeCell="F18" sqref="F18"/>
    </sheetView>
  </sheetViews>
  <sheetFormatPr defaultColWidth="9" defaultRowHeight="14.25"/>
  <cols>
    <col min="1" max="1" width="38.375" style="3624" customWidth="1"/>
    <col min="2" max="2" width="7.5" style="3624" customWidth="1"/>
    <col min="3" max="3" width="16.125" style="3624" customWidth="1"/>
    <col min="4" max="4" width="15.625" style="3624" customWidth="1"/>
    <col min="5" max="5" width="9" style="3624"/>
    <col min="6" max="6" width="9.5" style="3624" bestFit="1" customWidth="1"/>
    <col min="7" max="256" width="9" style="3624"/>
    <col min="257" max="257" width="38.375" style="3624" customWidth="1"/>
    <col min="258" max="258" width="7.5" style="3624" customWidth="1"/>
    <col min="259" max="259" width="16.125" style="3624" customWidth="1"/>
    <col min="260" max="260" width="15.625" style="3624" customWidth="1"/>
    <col min="261" max="512" width="9" style="3624"/>
    <col min="513" max="513" width="38.375" style="3624" customWidth="1"/>
    <col min="514" max="514" width="7.5" style="3624" customWidth="1"/>
    <col min="515" max="515" width="16.125" style="3624" customWidth="1"/>
    <col min="516" max="516" width="15.625" style="3624" customWidth="1"/>
    <col min="517" max="768" width="9" style="3624"/>
    <col min="769" max="769" width="38.375" style="3624" customWidth="1"/>
    <col min="770" max="770" width="7.5" style="3624" customWidth="1"/>
    <col min="771" max="771" width="16.125" style="3624" customWidth="1"/>
    <col min="772" max="772" width="15.625" style="3624" customWidth="1"/>
    <col min="773" max="1024" width="9" style="3624"/>
    <col min="1025" max="1025" width="38.375" style="3624" customWidth="1"/>
    <col min="1026" max="1026" width="7.5" style="3624" customWidth="1"/>
    <col min="1027" max="1027" width="16.125" style="3624" customWidth="1"/>
    <col min="1028" max="1028" width="15.625" style="3624" customWidth="1"/>
    <col min="1029" max="1280" width="9" style="3624"/>
    <col min="1281" max="1281" width="38.375" style="3624" customWidth="1"/>
    <col min="1282" max="1282" width="7.5" style="3624" customWidth="1"/>
    <col min="1283" max="1283" width="16.125" style="3624" customWidth="1"/>
    <col min="1284" max="1284" width="15.625" style="3624" customWidth="1"/>
    <col min="1285" max="1536" width="9" style="3624"/>
    <col min="1537" max="1537" width="38.375" style="3624" customWidth="1"/>
    <col min="1538" max="1538" width="7.5" style="3624" customWidth="1"/>
    <col min="1539" max="1539" width="16.125" style="3624" customWidth="1"/>
    <col min="1540" max="1540" width="15.625" style="3624" customWidth="1"/>
    <col min="1541" max="1792" width="9" style="3624"/>
    <col min="1793" max="1793" width="38.375" style="3624" customWidth="1"/>
    <col min="1794" max="1794" width="7.5" style="3624" customWidth="1"/>
    <col min="1795" max="1795" width="16.125" style="3624" customWidth="1"/>
    <col min="1796" max="1796" width="15.625" style="3624" customWidth="1"/>
    <col min="1797" max="2048" width="9" style="3624"/>
    <col min="2049" max="2049" width="38.375" style="3624" customWidth="1"/>
    <col min="2050" max="2050" width="7.5" style="3624" customWidth="1"/>
    <col min="2051" max="2051" width="16.125" style="3624" customWidth="1"/>
    <col min="2052" max="2052" width="15.625" style="3624" customWidth="1"/>
    <col min="2053" max="2304" width="9" style="3624"/>
    <col min="2305" max="2305" width="38.375" style="3624" customWidth="1"/>
    <col min="2306" max="2306" width="7.5" style="3624" customWidth="1"/>
    <col min="2307" max="2307" width="16.125" style="3624" customWidth="1"/>
    <col min="2308" max="2308" width="15.625" style="3624" customWidth="1"/>
    <col min="2309" max="2560" width="9" style="3624"/>
    <col min="2561" max="2561" width="38.375" style="3624" customWidth="1"/>
    <col min="2562" max="2562" width="7.5" style="3624" customWidth="1"/>
    <col min="2563" max="2563" width="16.125" style="3624" customWidth="1"/>
    <col min="2564" max="2564" width="15.625" style="3624" customWidth="1"/>
    <col min="2565" max="2816" width="9" style="3624"/>
    <col min="2817" max="2817" width="38.375" style="3624" customWidth="1"/>
    <col min="2818" max="2818" width="7.5" style="3624" customWidth="1"/>
    <col min="2819" max="2819" width="16.125" style="3624" customWidth="1"/>
    <col min="2820" max="2820" width="15.625" style="3624" customWidth="1"/>
    <col min="2821" max="3072" width="9" style="3624"/>
    <col min="3073" max="3073" width="38.375" style="3624" customWidth="1"/>
    <col min="3074" max="3074" width="7.5" style="3624" customWidth="1"/>
    <col min="3075" max="3075" width="16.125" style="3624" customWidth="1"/>
    <col min="3076" max="3076" width="15.625" style="3624" customWidth="1"/>
    <col min="3077" max="3328" width="9" style="3624"/>
    <col min="3329" max="3329" width="38.375" style="3624" customWidth="1"/>
    <col min="3330" max="3330" width="7.5" style="3624" customWidth="1"/>
    <col min="3331" max="3331" width="16.125" style="3624" customWidth="1"/>
    <col min="3332" max="3332" width="15.625" style="3624" customWidth="1"/>
    <col min="3333" max="3584" width="9" style="3624"/>
    <col min="3585" max="3585" width="38.375" style="3624" customWidth="1"/>
    <col min="3586" max="3586" width="7.5" style="3624" customWidth="1"/>
    <col min="3587" max="3587" width="16.125" style="3624" customWidth="1"/>
    <col min="3588" max="3588" width="15.625" style="3624" customWidth="1"/>
    <col min="3589" max="3840" width="9" style="3624"/>
    <col min="3841" max="3841" width="38.375" style="3624" customWidth="1"/>
    <col min="3842" max="3842" width="7.5" style="3624" customWidth="1"/>
    <col min="3843" max="3843" width="16.125" style="3624" customWidth="1"/>
    <col min="3844" max="3844" width="15.625" style="3624" customWidth="1"/>
    <col min="3845" max="4096" width="9" style="3624"/>
    <col min="4097" max="4097" width="38.375" style="3624" customWidth="1"/>
    <col min="4098" max="4098" width="7.5" style="3624" customWidth="1"/>
    <col min="4099" max="4099" width="16.125" style="3624" customWidth="1"/>
    <col min="4100" max="4100" width="15.625" style="3624" customWidth="1"/>
    <col min="4101" max="4352" width="9" style="3624"/>
    <col min="4353" max="4353" width="38.375" style="3624" customWidth="1"/>
    <col min="4354" max="4354" width="7.5" style="3624" customWidth="1"/>
    <col min="4355" max="4355" width="16.125" style="3624" customWidth="1"/>
    <col min="4356" max="4356" width="15.625" style="3624" customWidth="1"/>
    <col min="4357" max="4608" width="9" style="3624"/>
    <col min="4609" max="4609" width="38.375" style="3624" customWidth="1"/>
    <col min="4610" max="4610" width="7.5" style="3624" customWidth="1"/>
    <col min="4611" max="4611" width="16.125" style="3624" customWidth="1"/>
    <col min="4612" max="4612" width="15.625" style="3624" customWidth="1"/>
    <col min="4613" max="4864" width="9" style="3624"/>
    <col min="4865" max="4865" width="38.375" style="3624" customWidth="1"/>
    <col min="4866" max="4866" width="7.5" style="3624" customWidth="1"/>
    <col min="4867" max="4867" width="16.125" style="3624" customWidth="1"/>
    <col min="4868" max="4868" width="15.625" style="3624" customWidth="1"/>
    <col min="4869" max="5120" width="9" style="3624"/>
    <col min="5121" max="5121" width="38.375" style="3624" customWidth="1"/>
    <col min="5122" max="5122" width="7.5" style="3624" customWidth="1"/>
    <col min="5123" max="5123" width="16.125" style="3624" customWidth="1"/>
    <col min="5124" max="5124" width="15.625" style="3624" customWidth="1"/>
    <col min="5125" max="5376" width="9" style="3624"/>
    <col min="5377" max="5377" width="38.375" style="3624" customWidth="1"/>
    <col min="5378" max="5378" width="7.5" style="3624" customWidth="1"/>
    <col min="5379" max="5379" width="16.125" style="3624" customWidth="1"/>
    <col min="5380" max="5380" width="15.625" style="3624" customWidth="1"/>
    <col min="5381" max="5632" width="9" style="3624"/>
    <col min="5633" max="5633" width="38.375" style="3624" customWidth="1"/>
    <col min="5634" max="5634" width="7.5" style="3624" customWidth="1"/>
    <col min="5635" max="5635" width="16.125" style="3624" customWidth="1"/>
    <col min="5636" max="5636" width="15.625" style="3624" customWidth="1"/>
    <col min="5637" max="5888" width="9" style="3624"/>
    <col min="5889" max="5889" width="38.375" style="3624" customWidth="1"/>
    <col min="5890" max="5890" width="7.5" style="3624" customWidth="1"/>
    <col min="5891" max="5891" width="16.125" style="3624" customWidth="1"/>
    <col min="5892" max="5892" width="15.625" style="3624" customWidth="1"/>
    <col min="5893" max="6144" width="9" style="3624"/>
    <col min="6145" max="6145" width="38.375" style="3624" customWidth="1"/>
    <col min="6146" max="6146" width="7.5" style="3624" customWidth="1"/>
    <col min="6147" max="6147" width="16.125" style="3624" customWidth="1"/>
    <col min="6148" max="6148" width="15.625" style="3624" customWidth="1"/>
    <col min="6149" max="6400" width="9" style="3624"/>
    <col min="6401" max="6401" width="38.375" style="3624" customWidth="1"/>
    <col min="6402" max="6402" width="7.5" style="3624" customWidth="1"/>
    <col min="6403" max="6403" width="16.125" style="3624" customWidth="1"/>
    <col min="6404" max="6404" width="15.625" style="3624" customWidth="1"/>
    <col min="6405" max="6656" width="9" style="3624"/>
    <col min="6657" max="6657" width="38.375" style="3624" customWidth="1"/>
    <col min="6658" max="6658" width="7.5" style="3624" customWidth="1"/>
    <col min="6659" max="6659" width="16.125" style="3624" customWidth="1"/>
    <col min="6660" max="6660" width="15.625" style="3624" customWidth="1"/>
    <col min="6661" max="6912" width="9" style="3624"/>
    <col min="6913" max="6913" width="38.375" style="3624" customWidth="1"/>
    <col min="6914" max="6914" width="7.5" style="3624" customWidth="1"/>
    <col min="6915" max="6915" width="16.125" style="3624" customWidth="1"/>
    <col min="6916" max="6916" width="15.625" style="3624" customWidth="1"/>
    <col min="6917" max="7168" width="9" style="3624"/>
    <col min="7169" max="7169" width="38.375" style="3624" customWidth="1"/>
    <col min="7170" max="7170" width="7.5" style="3624" customWidth="1"/>
    <col min="7171" max="7171" width="16.125" style="3624" customWidth="1"/>
    <col min="7172" max="7172" width="15.625" style="3624" customWidth="1"/>
    <col min="7173" max="7424" width="9" style="3624"/>
    <col min="7425" max="7425" width="38.375" style="3624" customWidth="1"/>
    <col min="7426" max="7426" width="7.5" style="3624" customWidth="1"/>
    <col min="7427" max="7427" width="16.125" style="3624" customWidth="1"/>
    <col min="7428" max="7428" width="15.625" style="3624" customWidth="1"/>
    <col min="7429" max="7680" width="9" style="3624"/>
    <col min="7681" max="7681" width="38.375" style="3624" customWidth="1"/>
    <col min="7682" max="7682" width="7.5" style="3624" customWidth="1"/>
    <col min="7683" max="7683" width="16.125" style="3624" customWidth="1"/>
    <col min="7684" max="7684" width="15.625" style="3624" customWidth="1"/>
    <col min="7685" max="7936" width="9" style="3624"/>
    <col min="7937" max="7937" width="38.375" style="3624" customWidth="1"/>
    <col min="7938" max="7938" width="7.5" style="3624" customWidth="1"/>
    <col min="7939" max="7939" width="16.125" style="3624" customWidth="1"/>
    <col min="7940" max="7940" width="15.625" style="3624" customWidth="1"/>
    <col min="7941" max="8192" width="9" style="3624"/>
    <col min="8193" max="8193" width="38.375" style="3624" customWidth="1"/>
    <col min="8194" max="8194" width="7.5" style="3624" customWidth="1"/>
    <col min="8195" max="8195" width="16.125" style="3624" customWidth="1"/>
    <col min="8196" max="8196" width="15.625" style="3624" customWidth="1"/>
    <col min="8197" max="8448" width="9" style="3624"/>
    <col min="8449" max="8449" width="38.375" style="3624" customWidth="1"/>
    <col min="8450" max="8450" width="7.5" style="3624" customWidth="1"/>
    <col min="8451" max="8451" width="16.125" style="3624" customWidth="1"/>
    <col min="8452" max="8452" width="15.625" style="3624" customWidth="1"/>
    <col min="8453" max="8704" width="9" style="3624"/>
    <col min="8705" max="8705" width="38.375" style="3624" customWidth="1"/>
    <col min="8706" max="8706" width="7.5" style="3624" customWidth="1"/>
    <col min="8707" max="8707" width="16.125" style="3624" customWidth="1"/>
    <col min="8708" max="8708" width="15.625" style="3624" customWidth="1"/>
    <col min="8709" max="8960" width="9" style="3624"/>
    <col min="8961" max="8961" width="38.375" style="3624" customWidth="1"/>
    <col min="8962" max="8962" width="7.5" style="3624" customWidth="1"/>
    <col min="8963" max="8963" width="16.125" style="3624" customWidth="1"/>
    <col min="8964" max="8964" width="15.625" style="3624" customWidth="1"/>
    <col min="8965" max="9216" width="9" style="3624"/>
    <col min="9217" max="9217" width="38.375" style="3624" customWidth="1"/>
    <col min="9218" max="9218" width="7.5" style="3624" customWidth="1"/>
    <col min="9219" max="9219" width="16.125" style="3624" customWidth="1"/>
    <col min="9220" max="9220" width="15.625" style="3624" customWidth="1"/>
    <col min="9221" max="9472" width="9" style="3624"/>
    <col min="9473" max="9473" width="38.375" style="3624" customWidth="1"/>
    <col min="9474" max="9474" width="7.5" style="3624" customWidth="1"/>
    <col min="9475" max="9475" width="16.125" style="3624" customWidth="1"/>
    <col min="9476" max="9476" width="15.625" style="3624" customWidth="1"/>
    <col min="9477" max="9728" width="9" style="3624"/>
    <col min="9729" max="9729" width="38.375" style="3624" customWidth="1"/>
    <col min="9730" max="9730" width="7.5" style="3624" customWidth="1"/>
    <col min="9731" max="9731" width="16.125" style="3624" customWidth="1"/>
    <col min="9732" max="9732" width="15.625" style="3624" customWidth="1"/>
    <col min="9733" max="9984" width="9" style="3624"/>
    <col min="9985" max="9985" width="38.375" style="3624" customWidth="1"/>
    <col min="9986" max="9986" width="7.5" style="3624" customWidth="1"/>
    <col min="9987" max="9987" width="16.125" style="3624" customWidth="1"/>
    <col min="9988" max="9988" width="15.625" style="3624" customWidth="1"/>
    <col min="9989" max="10240" width="9" style="3624"/>
    <col min="10241" max="10241" width="38.375" style="3624" customWidth="1"/>
    <col min="10242" max="10242" width="7.5" style="3624" customWidth="1"/>
    <col min="10243" max="10243" width="16.125" style="3624" customWidth="1"/>
    <col min="10244" max="10244" width="15.625" style="3624" customWidth="1"/>
    <col min="10245" max="10496" width="9" style="3624"/>
    <col min="10497" max="10497" width="38.375" style="3624" customWidth="1"/>
    <col min="10498" max="10498" width="7.5" style="3624" customWidth="1"/>
    <col min="10499" max="10499" width="16.125" style="3624" customWidth="1"/>
    <col min="10500" max="10500" width="15.625" style="3624" customWidth="1"/>
    <col min="10501" max="10752" width="9" style="3624"/>
    <col min="10753" max="10753" width="38.375" style="3624" customWidth="1"/>
    <col min="10754" max="10754" width="7.5" style="3624" customWidth="1"/>
    <col min="10755" max="10755" width="16.125" style="3624" customWidth="1"/>
    <col min="10756" max="10756" width="15.625" style="3624" customWidth="1"/>
    <col min="10757" max="11008" width="9" style="3624"/>
    <col min="11009" max="11009" width="38.375" style="3624" customWidth="1"/>
    <col min="11010" max="11010" width="7.5" style="3624" customWidth="1"/>
    <col min="11011" max="11011" width="16.125" style="3624" customWidth="1"/>
    <col min="11012" max="11012" width="15.625" style="3624" customWidth="1"/>
    <col min="11013" max="11264" width="9" style="3624"/>
    <col min="11265" max="11265" width="38.375" style="3624" customWidth="1"/>
    <col min="11266" max="11266" width="7.5" style="3624" customWidth="1"/>
    <col min="11267" max="11267" width="16.125" style="3624" customWidth="1"/>
    <col min="11268" max="11268" width="15.625" style="3624" customWidth="1"/>
    <col min="11269" max="11520" width="9" style="3624"/>
    <col min="11521" max="11521" width="38.375" style="3624" customWidth="1"/>
    <col min="11522" max="11522" width="7.5" style="3624" customWidth="1"/>
    <col min="11523" max="11523" width="16.125" style="3624" customWidth="1"/>
    <col min="11524" max="11524" width="15.625" style="3624" customWidth="1"/>
    <col min="11525" max="11776" width="9" style="3624"/>
    <col min="11777" max="11777" width="38.375" style="3624" customWidth="1"/>
    <col min="11778" max="11778" width="7.5" style="3624" customWidth="1"/>
    <col min="11779" max="11779" width="16.125" style="3624" customWidth="1"/>
    <col min="11780" max="11780" width="15.625" style="3624" customWidth="1"/>
    <col min="11781" max="12032" width="9" style="3624"/>
    <col min="12033" max="12033" width="38.375" style="3624" customWidth="1"/>
    <col min="12034" max="12034" width="7.5" style="3624" customWidth="1"/>
    <col min="12035" max="12035" width="16.125" style="3624" customWidth="1"/>
    <col min="12036" max="12036" width="15.625" style="3624" customWidth="1"/>
    <col min="12037" max="12288" width="9" style="3624"/>
    <col min="12289" max="12289" width="38.375" style="3624" customWidth="1"/>
    <col min="12290" max="12290" width="7.5" style="3624" customWidth="1"/>
    <col min="12291" max="12291" width="16.125" style="3624" customWidth="1"/>
    <col min="12292" max="12292" width="15.625" style="3624" customWidth="1"/>
    <col min="12293" max="12544" width="9" style="3624"/>
    <col min="12545" max="12545" width="38.375" style="3624" customWidth="1"/>
    <col min="12546" max="12546" width="7.5" style="3624" customWidth="1"/>
    <col min="12547" max="12547" width="16.125" style="3624" customWidth="1"/>
    <col min="12548" max="12548" width="15.625" style="3624" customWidth="1"/>
    <col min="12549" max="12800" width="9" style="3624"/>
    <col min="12801" max="12801" width="38.375" style="3624" customWidth="1"/>
    <col min="12802" max="12802" width="7.5" style="3624" customWidth="1"/>
    <col min="12803" max="12803" width="16.125" style="3624" customWidth="1"/>
    <col min="12804" max="12804" width="15.625" style="3624" customWidth="1"/>
    <col min="12805" max="13056" width="9" style="3624"/>
    <col min="13057" max="13057" width="38.375" style="3624" customWidth="1"/>
    <col min="13058" max="13058" width="7.5" style="3624" customWidth="1"/>
    <col min="13059" max="13059" width="16.125" style="3624" customWidth="1"/>
    <col min="13060" max="13060" width="15.625" style="3624" customWidth="1"/>
    <col min="13061" max="13312" width="9" style="3624"/>
    <col min="13313" max="13313" width="38.375" style="3624" customWidth="1"/>
    <col min="13314" max="13314" width="7.5" style="3624" customWidth="1"/>
    <col min="13315" max="13315" width="16.125" style="3624" customWidth="1"/>
    <col min="13316" max="13316" width="15.625" style="3624" customWidth="1"/>
    <col min="13317" max="13568" width="9" style="3624"/>
    <col min="13569" max="13569" width="38.375" style="3624" customWidth="1"/>
    <col min="13570" max="13570" width="7.5" style="3624" customWidth="1"/>
    <col min="13571" max="13571" width="16.125" style="3624" customWidth="1"/>
    <col min="13572" max="13572" width="15.625" style="3624" customWidth="1"/>
    <col min="13573" max="13824" width="9" style="3624"/>
    <col min="13825" max="13825" width="38.375" style="3624" customWidth="1"/>
    <col min="13826" max="13826" width="7.5" style="3624" customWidth="1"/>
    <col min="13827" max="13827" width="16.125" style="3624" customWidth="1"/>
    <col min="13828" max="13828" width="15.625" style="3624" customWidth="1"/>
    <col min="13829" max="14080" width="9" style="3624"/>
    <col min="14081" max="14081" width="38.375" style="3624" customWidth="1"/>
    <col min="14082" max="14082" width="7.5" style="3624" customWidth="1"/>
    <col min="14083" max="14083" width="16.125" style="3624" customWidth="1"/>
    <col min="14084" max="14084" width="15.625" style="3624" customWidth="1"/>
    <col min="14085" max="14336" width="9" style="3624"/>
    <col min="14337" max="14337" width="38.375" style="3624" customWidth="1"/>
    <col min="14338" max="14338" width="7.5" style="3624" customWidth="1"/>
    <col min="14339" max="14339" width="16.125" style="3624" customWidth="1"/>
    <col min="14340" max="14340" width="15.625" style="3624" customWidth="1"/>
    <col min="14341" max="14592" width="9" style="3624"/>
    <col min="14593" max="14593" width="38.375" style="3624" customWidth="1"/>
    <col min="14594" max="14594" width="7.5" style="3624" customWidth="1"/>
    <col min="14595" max="14595" width="16.125" style="3624" customWidth="1"/>
    <col min="14596" max="14596" width="15.625" style="3624" customWidth="1"/>
    <col min="14597" max="14848" width="9" style="3624"/>
    <col min="14849" max="14849" width="38.375" style="3624" customWidth="1"/>
    <col min="14850" max="14850" width="7.5" style="3624" customWidth="1"/>
    <col min="14851" max="14851" width="16.125" style="3624" customWidth="1"/>
    <col min="14852" max="14852" width="15.625" style="3624" customWidth="1"/>
    <col min="14853" max="15104" width="9" style="3624"/>
    <col min="15105" max="15105" width="38.375" style="3624" customWidth="1"/>
    <col min="15106" max="15106" width="7.5" style="3624" customWidth="1"/>
    <col min="15107" max="15107" width="16.125" style="3624" customWidth="1"/>
    <col min="15108" max="15108" width="15.625" style="3624" customWidth="1"/>
    <col min="15109" max="15360" width="9" style="3624"/>
    <col min="15361" max="15361" width="38.375" style="3624" customWidth="1"/>
    <col min="15362" max="15362" width="7.5" style="3624" customWidth="1"/>
    <col min="15363" max="15363" width="16.125" style="3624" customWidth="1"/>
    <col min="15364" max="15364" width="15.625" style="3624" customWidth="1"/>
    <col min="15365" max="15616" width="9" style="3624"/>
    <col min="15617" max="15617" width="38.375" style="3624" customWidth="1"/>
    <col min="15618" max="15618" width="7.5" style="3624" customWidth="1"/>
    <col min="15619" max="15619" width="16.125" style="3624" customWidth="1"/>
    <col min="15620" max="15620" width="15.625" style="3624" customWidth="1"/>
    <col min="15621" max="15872" width="9" style="3624"/>
    <col min="15873" max="15873" width="38.375" style="3624" customWidth="1"/>
    <col min="15874" max="15874" width="7.5" style="3624" customWidth="1"/>
    <col min="15875" max="15875" width="16.125" style="3624" customWidth="1"/>
    <col min="15876" max="15876" width="15.625" style="3624" customWidth="1"/>
    <col min="15877" max="16128" width="9" style="3624"/>
    <col min="16129" max="16129" width="38.375" style="3624" customWidth="1"/>
    <col min="16130" max="16130" width="7.5" style="3624" customWidth="1"/>
    <col min="16131" max="16131" width="16.125" style="3624" customWidth="1"/>
    <col min="16132" max="16132" width="15.625" style="3624" customWidth="1"/>
    <col min="16133" max="16384" width="9" style="3624"/>
  </cols>
  <sheetData>
    <row r="1" spans="1:4" ht="35.1" customHeight="1">
      <c r="A1" s="3623" t="s">
        <v>3224</v>
      </c>
      <c r="B1" s="3623"/>
      <c r="C1" s="3623"/>
      <c r="D1" s="3623"/>
    </row>
    <row r="2" spans="1:4" ht="30" customHeight="1">
      <c r="A2" s="3624" t="s">
        <v>3225</v>
      </c>
      <c r="B2" s="3624" t="s">
        <v>3226</v>
      </c>
      <c r="C2" s="3624" t="s">
        <v>3227</v>
      </c>
      <c r="D2" s="3624" t="s">
        <v>3228</v>
      </c>
    </row>
    <row r="3" spans="1:4" ht="27.95" customHeight="1">
      <c r="D3" s="3624" t="s">
        <v>3229</v>
      </c>
    </row>
    <row r="4" spans="1:4" ht="30" customHeight="1">
      <c r="A4" s="3625" t="s">
        <v>3230</v>
      </c>
      <c r="B4" s="3625" t="s">
        <v>3231</v>
      </c>
      <c r="C4" s="3625" t="s">
        <v>3232</v>
      </c>
      <c r="D4" s="3625" t="s">
        <v>3233</v>
      </c>
    </row>
    <row r="5" spans="1:4" ht="30" customHeight="1">
      <c r="A5" s="3626" t="s">
        <v>3234</v>
      </c>
      <c r="B5" s="3625" t="s">
        <v>3235</v>
      </c>
      <c r="C5" s="3625">
        <v>4997903.76</v>
      </c>
      <c r="D5" s="3625">
        <v>64805942.389999993</v>
      </c>
    </row>
    <row r="6" spans="1:4" ht="30" customHeight="1">
      <c r="A6" s="3626" t="s">
        <v>3236</v>
      </c>
      <c r="B6" s="3625" t="s">
        <v>3237</v>
      </c>
      <c r="C6" s="3625">
        <v>1283502.6100000001</v>
      </c>
      <c r="D6" s="3625">
        <v>17041407.770000003</v>
      </c>
    </row>
    <row r="7" spans="1:4" ht="30" customHeight="1">
      <c r="A7" s="3626" t="s">
        <v>3238</v>
      </c>
      <c r="B7" s="3625" t="s">
        <v>3239</v>
      </c>
      <c r="C7" s="3625">
        <v>1240477.07</v>
      </c>
      <c r="D7" s="3625">
        <v>16194164.73</v>
      </c>
    </row>
    <row r="8" spans="1:4" ht="30" customHeight="1">
      <c r="A8" s="3626" t="s">
        <v>3240</v>
      </c>
      <c r="B8" s="3625" t="s">
        <v>3241</v>
      </c>
      <c r="C8" s="3625">
        <v>12378.62</v>
      </c>
      <c r="D8" s="3625">
        <v>134118.91</v>
      </c>
    </row>
    <row r="9" spans="1:4" ht="30" customHeight="1">
      <c r="A9" s="3626" t="s">
        <v>3242</v>
      </c>
      <c r="B9" s="3625" t="s">
        <v>3243</v>
      </c>
      <c r="C9" s="3625">
        <v>2461545.459999999</v>
      </c>
      <c r="D9" s="3625">
        <v>31436250.979999989</v>
      </c>
    </row>
    <row r="10" spans="1:4" ht="30" customHeight="1">
      <c r="A10" s="3626" t="s">
        <v>3244</v>
      </c>
      <c r="B10" s="3625" t="s">
        <v>3245</v>
      </c>
      <c r="C10" s="3625"/>
      <c r="D10" s="3625"/>
    </row>
    <row r="11" spans="1:4" ht="30" customHeight="1">
      <c r="A11" s="3626" t="s">
        <v>3246</v>
      </c>
      <c r="B11" s="3625" t="s">
        <v>3247</v>
      </c>
      <c r="C11" s="3625">
        <v>312198.08</v>
      </c>
      <c r="D11" s="3625">
        <v>3828397.76</v>
      </c>
    </row>
    <row r="12" spans="1:4" ht="30" customHeight="1">
      <c r="A12" s="3626" t="s">
        <v>3248</v>
      </c>
      <c r="B12" s="3625" t="s">
        <v>3249</v>
      </c>
      <c r="C12" s="3625">
        <v>938390.01</v>
      </c>
      <c r="D12" s="3625">
        <v>11591024.109999998</v>
      </c>
    </row>
    <row r="13" spans="1:4" ht="30" customHeight="1">
      <c r="A13" s="3626" t="s">
        <v>3250</v>
      </c>
      <c r="B13" s="3625" t="s">
        <v>3251</v>
      </c>
      <c r="C13" s="3625">
        <v>1210957.3699999989</v>
      </c>
      <c r="D13" s="3625">
        <v>16016829.109999994</v>
      </c>
    </row>
    <row r="14" spans="1:4" ht="30" customHeight="1">
      <c r="A14" s="3626" t="s">
        <v>3252</v>
      </c>
      <c r="B14" s="3625" t="s">
        <v>3253</v>
      </c>
      <c r="C14" s="3625"/>
      <c r="D14" s="3625"/>
    </row>
    <row r="15" spans="1:4" ht="30" customHeight="1">
      <c r="A15" s="3626" t="s">
        <v>3254</v>
      </c>
      <c r="B15" s="3625" t="s">
        <v>3255</v>
      </c>
      <c r="C15" s="3625"/>
      <c r="D15" s="3625"/>
    </row>
    <row r="16" spans="1:4" ht="30" customHeight="1">
      <c r="A16" s="3626" t="s">
        <v>3256</v>
      </c>
      <c r="B16" s="3625" t="s">
        <v>3257</v>
      </c>
      <c r="C16" s="3625"/>
      <c r="D16" s="3625"/>
    </row>
    <row r="17" spans="1:6" ht="30" customHeight="1">
      <c r="A17" s="3626" t="s">
        <v>3258</v>
      </c>
      <c r="B17" s="3625" t="s">
        <v>3259</v>
      </c>
      <c r="C17" s="3625">
        <v>1210957.3699999989</v>
      </c>
      <c r="D17" s="3625">
        <v>16016829.109999994</v>
      </c>
      <c r="F17" s="3624">
        <f>D12+D17</f>
        <v>27607853.219999991</v>
      </c>
    </row>
    <row r="18" spans="1:6" ht="30" customHeight="1">
      <c r="A18" s="3626" t="s">
        <v>3260</v>
      </c>
      <c r="B18" s="3625" t="s">
        <v>3261</v>
      </c>
      <c r="C18" s="3625"/>
      <c r="D18" s="3625"/>
    </row>
    <row r="19" spans="1:6" ht="30" customHeight="1">
      <c r="A19" s="3626" t="s">
        <v>3262</v>
      </c>
      <c r="B19" s="3625" t="s">
        <v>3261</v>
      </c>
      <c r="C19" s="3625">
        <v>1210957.3699999989</v>
      </c>
      <c r="D19" s="3625">
        <v>16016829.109999994</v>
      </c>
    </row>
    <row r="21" spans="1:6">
      <c r="A21" s="3624" t="s">
        <v>3263</v>
      </c>
      <c r="C21" s="3624" t="s">
        <v>3264</v>
      </c>
      <c r="D21" s="3624" t="s">
        <v>3265</v>
      </c>
    </row>
  </sheetData>
  <mergeCells count="1">
    <mergeCell ref="A1:D1"/>
  </mergeCells>
  <phoneticPr fontId="140" type="noConversion"/>
  <pageMargins left="0.75" right="0.75" top="1" bottom="1" header="0.51180555555555551" footer="0.51180555555555551"/>
  <pageSetup paperSize="9" orientation="portrait" horizontalDpi="0" verticalDpi="0"/>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A4" zoomScaleSheetLayoutView="100" workbookViewId="0">
      <selection activeCell="F20" sqref="F20"/>
    </sheetView>
  </sheetViews>
  <sheetFormatPr defaultColWidth="12.5" defaultRowHeight="14.25"/>
  <cols>
    <col min="1" max="1" width="37.125" style="3624" customWidth="1"/>
    <col min="2" max="2" width="7.5" style="3624" customWidth="1"/>
    <col min="3" max="3" width="17.5" style="3624" customWidth="1"/>
    <col min="4" max="4" width="17.75" style="3624" customWidth="1"/>
    <col min="5" max="256" width="12.5" style="3624"/>
    <col min="257" max="257" width="37.125" style="3624" customWidth="1"/>
    <col min="258" max="258" width="7.5" style="3624" customWidth="1"/>
    <col min="259" max="259" width="17.5" style="3624" customWidth="1"/>
    <col min="260" max="260" width="17.75" style="3624" customWidth="1"/>
    <col min="261" max="512" width="12.5" style="3624"/>
    <col min="513" max="513" width="37.125" style="3624" customWidth="1"/>
    <col min="514" max="514" width="7.5" style="3624" customWidth="1"/>
    <col min="515" max="515" width="17.5" style="3624" customWidth="1"/>
    <col min="516" max="516" width="17.75" style="3624" customWidth="1"/>
    <col min="517" max="768" width="12.5" style="3624"/>
    <col min="769" max="769" width="37.125" style="3624" customWidth="1"/>
    <col min="770" max="770" width="7.5" style="3624" customWidth="1"/>
    <col min="771" max="771" width="17.5" style="3624" customWidth="1"/>
    <col min="772" max="772" width="17.75" style="3624" customWidth="1"/>
    <col min="773" max="1024" width="12.5" style="3624"/>
    <col min="1025" max="1025" width="37.125" style="3624" customWidth="1"/>
    <col min="1026" max="1026" width="7.5" style="3624" customWidth="1"/>
    <col min="1027" max="1027" width="17.5" style="3624" customWidth="1"/>
    <col min="1028" max="1028" width="17.75" style="3624" customWidth="1"/>
    <col min="1029" max="1280" width="12.5" style="3624"/>
    <col min="1281" max="1281" width="37.125" style="3624" customWidth="1"/>
    <col min="1282" max="1282" width="7.5" style="3624" customWidth="1"/>
    <col min="1283" max="1283" width="17.5" style="3624" customWidth="1"/>
    <col min="1284" max="1284" width="17.75" style="3624" customWidth="1"/>
    <col min="1285" max="1536" width="12.5" style="3624"/>
    <col min="1537" max="1537" width="37.125" style="3624" customWidth="1"/>
    <col min="1538" max="1538" width="7.5" style="3624" customWidth="1"/>
    <col min="1539" max="1539" width="17.5" style="3624" customWidth="1"/>
    <col min="1540" max="1540" width="17.75" style="3624" customWidth="1"/>
    <col min="1541" max="1792" width="12.5" style="3624"/>
    <col min="1793" max="1793" width="37.125" style="3624" customWidth="1"/>
    <col min="1794" max="1794" width="7.5" style="3624" customWidth="1"/>
    <col min="1795" max="1795" width="17.5" style="3624" customWidth="1"/>
    <col min="1796" max="1796" width="17.75" style="3624" customWidth="1"/>
    <col min="1797" max="2048" width="12.5" style="3624"/>
    <col min="2049" max="2049" width="37.125" style="3624" customWidth="1"/>
    <col min="2050" max="2050" width="7.5" style="3624" customWidth="1"/>
    <col min="2051" max="2051" width="17.5" style="3624" customWidth="1"/>
    <col min="2052" max="2052" width="17.75" style="3624" customWidth="1"/>
    <col min="2053" max="2304" width="12.5" style="3624"/>
    <col min="2305" max="2305" width="37.125" style="3624" customWidth="1"/>
    <col min="2306" max="2306" width="7.5" style="3624" customWidth="1"/>
    <col min="2307" max="2307" width="17.5" style="3624" customWidth="1"/>
    <col min="2308" max="2308" width="17.75" style="3624" customWidth="1"/>
    <col min="2309" max="2560" width="12.5" style="3624"/>
    <col min="2561" max="2561" width="37.125" style="3624" customWidth="1"/>
    <col min="2562" max="2562" width="7.5" style="3624" customWidth="1"/>
    <col min="2563" max="2563" width="17.5" style="3624" customWidth="1"/>
    <col min="2564" max="2564" width="17.75" style="3624" customWidth="1"/>
    <col min="2565" max="2816" width="12.5" style="3624"/>
    <col min="2817" max="2817" width="37.125" style="3624" customWidth="1"/>
    <col min="2818" max="2818" width="7.5" style="3624" customWidth="1"/>
    <col min="2819" max="2819" width="17.5" style="3624" customWidth="1"/>
    <col min="2820" max="2820" width="17.75" style="3624" customWidth="1"/>
    <col min="2821" max="3072" width="12.5" style="3624"/>
    <col min="3073" max="3073" width="37.125" style="3624" customWidth="1"/>
    <col min="3074" max="3074" width="7.5" style="3624" customWidth="1"/>
    <col min="3075" max="3075" width="17.5" style="3624" customWidth="1"/>
    <col min="3076" max="3076" width="17.75" style="3624" customWidth="1"/>
    <col min="3077" max="3328" width="12.5" style="3624"/>
    <col min="3329" max="3329" width="37.125" style="3624" customWidth="1"/>
    <col min="3330" max="3330" width="7.5" style="3624" customWidth="1"/>
    <col min="3331" max="3331" width="17.5" style="3624" customWidth="1"/>
    <col min="3332" max="3332" width="17.75" style="3624" customWidth="1"/>
    <col min="3333" max="3584" width="12.5" style="3624"/>
    <col min="3585" max="3585" width="37.125" style="3624" customWidth="1"/>
    <col min="3586" max="3586" width="7.5" style="3624" customWidth="1"/>
    <col min="3587" max="3587" width="17.5" style="3624" customWidth="1"/>
    <col min="3588" max="3588" width="17.75" style="3624" customWidth="1"/>
    <col min="3589" max="3840" width="12.5" style="3624"/>
    <col min="3841" max="3841" width="37.125" style="3624" customWidth="1"/>
    <col min="3842" max="3842" width="7.5" style="3624" customWidth="1"/>
    <col min="3843" max="3843" width="17.5" style="3624" customWidth="1"/>
    <col min="3844" max="3844" width="17.75" style="3624" customWidth="1"/>
    <col min="3845" max="4096" width="12.5" style="3624"/>
    <col min="4097" max="4097" width="37.125" style="3624" customWidth="1"/>
    <col min="4098" max="4098" width="7.5" style="3624" customWidth="1"/>
    <col min="4099" max="4099" width="17.5" style="3624" customWidth="1"/>
    <col min="4100" max="4100" width="17.75" style="3624" customWidth="1"/>
    <col min="4101" max="4352" width="12.5" style="3624"/>
    <col min="4353" max="4353" width="37.125" style="3624" customWidth="1"/>
    <col min="4354" max="4354" width="7.5" style="3624" customWidth="1"/>
    <col min="4355" max="4355" width="17.5" style="3624" customWidth="1"/>
    <col min="4356" max="4356" width="17.75" style="3624" customWidth="1"/>
    <col min="4357" max="4608" width="12.5" style="3624"/>
    <col min="4609" max="4609" width="37.125" style="3624" customWidth="1"/>
    <col min="4610" max="4610" width="7.5" style="3624" customWidth="1"/>
    <col min="4611" max="4611" width="17.5" style="3624" customWidth="1"/>
    <col min="4612" max="4612" width="17.75" style="3624" customWidth="1"/>
    <col min="4613" max="4864" width="12.5" style="3624"/>
    <col min="4865" max="4865" width="37.125" style="3624" customWidth="1"/>
    <col min="4866" max="4866" width="7.5" style="3624" customWidth="1"/>
    <col min="4867" max="4867" width="17.5" style="3624" customWidth="1"/>
    <col min="4868" max="4868" width="17.75" style="3624" customWidth="1"/>
    <col min="4869" max="5120" width="12.5" style="3624"/>
    <col min="5121" max="5121" width="37.125" style="3624" customWidth="1"/>
    <col min="5122" max="5122" width="7.5" style="3624" customWidth="1"/>
    <col min="5123" max="5123" width="17.5" style="3624" customWidth="1"/>
    <col min="5124" max="5124" width="17.75" style="3624" customWidth="1"/>
    <col min="5125" max="5376" width="12.5" style="3624"/>
    <col min="5377" max="5377" width="37.125" style="3624" customWidth="1"/>
    <col min="5378" max="5378" width="7.5" style="3624" customWidth="1"/>
    <col min="5379" max="5379" width="17.5" style="3624" customWidth="1"/>
    <col min="5380" max="5380" width="17.75" style="3624" customWidth="1"/>
    <col min="5381" max="5632" width="12.5" style="3624"/>
    <col min="5633" max="5633" width="37.125" style="3624" customWidth="1"/>
    <col min="5634" max="5634" width="7.5" style="3624" customWidth="1"/>
    <col min="5635" max="5635" width="17.5" style="3624" customWidth="1"/>
    <col min="5636" max="5636" width="17.75" style="3624" customWidth="1"/>
    <col min="5637" max="5888" width="12.5" style="3624"/>
    <col min="5889" max="5889" width="37.125" style="3624" customWidth="1"/>
    <col min="5890" max="5890" width="7.5" style="3624" customWidth="1"/>
    <col min="5891" max="5891" width="17.5" style="3624" customWidth="1"/>
    <col min="5892" max="5892" width="17.75" style="3624" customWidth="1"/>
    <col min="5893" max="6144" width="12.5" style="3624"/>
    <col min="6145" max="6145" width="37.125" style="3624" customWidth="1"/>
    <col min="6146" max="6146" width="7.5" style="3624" customWidth="1"/>
    <col min="6147" max="6147" width="17.5" style="3624" customWidth="1"/>
    <col min="6148" max="6148" width="17.75" style="3624" customWidth="1"/>
    <col min="6149" max="6400" width="12.5" style="3624"/>
    <col min="6401" max="6401" width="37.125" style="3624" customWidth="1"/>
    <col min="6402" max="6402" width="7.5" style="3624" customWidth="1"/>
    <col min="6403" max="6403" width="17.5" style="3624" customWidth="1"/>
    <col min="6404" max="6404" width="17.75" style="3624" customWidth="1"/>
    <col min="6405" max="6656" width="12.5" style="3624"/>
    <col min="6657" max="6657" width="37.125" style="3624" customWidth="1"/>
    <col min="6658" max="6658" width="7.5" style="3624" customWidth="1"/>
    <col min="6659" max="6659" width="17.5" style="3624" customWidth="1"/>
    <col min="6660" max="6660" width="17.75" style="3624" customWidth="1"/>
    <col min="6661" max="6912" width="12.5" style="3624"/>
    <col min="6913" max="6913" width="37.125" style="3624" customWidth="1"/>
    <col min="6914" max="6914" width="7.5" style="3624" customWidth="1"/>
    <col min="6915" max="6915" width="17.5" style="3624" customWidth="1"/>
    <col min="6916" max="6916" width="17.75" style="3624" customWidth="1"/>
    <col min="6917" max="7168" width="12.5" style="3624"/>
    <col min="7169" max="7169" width="37.125" style="3624" customWidth="1"/>
    <col min="7170" max="7170" width="7.5" style="3624" customWidth="1"/>
    <col min="7171" max="7171" width="17.5" style="3624" customWidth="1"/>
    <col min="7172" max="7172" width="17.75" style="3624" customWidth="1"/>
    <col min="7173" max="7424" width="12.5" style="3624"/>
    <col min="7425" max="7425" width="37.125" style="3624" customWidth="1"/>
    <col min="7426" max="7426" width="7.5" style="3624" customWidth="1"/>
    <col min="7427" max="7427" width="17.5" style="3624" customWidth="1"/>
    <col min="7428" max="7428" width="17.75" style="3624" customWidth="1"/>
    <col min="7429" max="7680" width="12.5" style="3624"/>
    <col min="7681" max="7681" width="37.125" style="3624" customWidth="1"/>
    <col min="7682" max="7682" width="7.5" style="3624" customWidth="1"/>
    <col min="7683" max="7683" width="17.5" style="3624" customWidth="1"/>
    <col min="7684" max="7684" width="17.75" style="3624" customWidth="1"/>
    <col min="7685" max="7936" width="12.5" style="3624"/>
    <col min="7937" max="7937" width="37.125" style="3624" customWidth="1"/>
    <col min="7938" max="7938" width="7.5" style="3624" customWidth="1"/>
    <col min="7939" max="7939" width="17.5" style="3624" customWidth="1"/>
    <col min="7940" max="7940" width="17.75" style="3624" customWidth="1"/>
    <col min="7941" max="8192" width="12.5" style="3624"/>
    <col min="8193" max="8193" width="37.125" style="3624" customWidth="1"/>
    <col min="8194" max="8194" width="7.5" style="3624" customWidth="1"/>
    <col min="8195" max="8195" width="17.5" style="3624" customWidth="1"/>
    <col min="8196" max="8196" width="17.75" style="3624" customWidth="1"/>
    <col min="8197" max="8448" width="12.5" style="3624"/>
    <col min="8449" max="8449" width="37.125" style="3624" customWidth="1"/>
    <col min="8450" max="8450" width="7.5" style="3624" customWidth="1"/>
    <col min="8451" max="8451" width="17.5" style="3624" customWidth="1"/>
    <col min="8452" max="8452" width="17.75" style="3624" customWidth="1"/>
    <col min="8453" max="8704" width="12.5" style="3624"/>
    <col min="8705" max="8705" width="37.125" style="3624" customWidth="1"/>
    <col min="8706" max="8706" width="7.5" style="3624" customWidth="1"/>
    <col min="8707" max="8707" width="17.5" style="3624" customWidth="1"/>
    <col min="8708" max="8708" width="17.75" style="3624" customWidth="1"/>
    <col min="8709" max="8960" width="12.5" style="3624"/>
    <col min="8961" max="8961" width="37.125" style="3624" customWidth="1"/>
    <col min="8962" max="8962" width="7.5" style="3624" customWidth="1"/>
    <col min="8963" max="8963" width="17.5" style="3624" customWidth="1"/>
    <col min="8964" max="8964" width="17.75" style="3624" customWidth="1"/>
    <col min="8965" max="9216" width="12.5" style="3624"/>
    <col min="9217" max="9217" width="37.125" style="3624" customWidth="1"/>
    <col min="9218" max="9218" width="7.5" style="3624" customWidth="1"/>
    <col min="9219" max="9219" width="17.5" style="3624" customWidth="1"/>
    <col min="9220" max="9220" width="17.75" style="3624" customWidth="1"/>
    <col min="9221" max="9472" width="12.5" style="3624"/>
    <col min="9473" max="9473" width="37.125" style="3624" customWidth="1"/>
    <col min="9474" max="9474" width="7.5" style="3624" customWidth="1"/>
    <col min="9475" max="9475" width="17.5" style="3624" customWidth="1"/>
    <col min="9476" max="9476" width="17.75" style="3624" customWidth="1"/>
    <col min="9477" max="9728" width="12.5" style="3624"/>
    <col min="9729" max="9729" width="37.125" style="3624" customWidth="1"/>
    <col min="9730" max="9730" width="7.5" style="3624" customWidth="1"/>
    <col min="9731" max="9731" width="17.5" style="3624" customWidth="1"/>
    <col min="9732" max="9732" width="17.75" style="3624" customWidth="1"/>
    <col min="9733" max="9984" width="12.5" style="3624"/>
    <col min="9985" max="9985" width="37.125" style="3624" customWidth="1"/>
    <col min="9986" max="9986" width="7.5" style="3624" customWidth="1"/>
    <col min="9987" max="9987" width="17.5" style="3624" customWidth="1"/>
    <col min="9988" max="9988" width="17.75" style="3624" customWidth="1"/>
    <col min="9989" max="10240" width="12.5" style="3624"/>
    <col min="10241" max="10241" width="37.125" style="3624" customWidth="1"/>
    <col min="10242" max="10242" width="7.5" style="3624" customWidth="1"/>
    <col min="10243" max="10243" width="17.5" style="3624" customWidth="1"/>
    <col min="10244" max="10244" width="17.75" style="3624" customWidth="1"/>
    <col min="10245" max="10496" width="12.5" style="3624"/>
    <col min="10497" max="10497" width="37.125" style="3624" customWidth="1"/>
    <col min="10498" max="10498" width="7.5" style="3624" customWidth="1"/>
    <col min="10499" max="10499" width="17.5" style="3624" customWidth="1"/>
    <col min="10500" max="10500" width="17.75" style="3624" customWidth="1"/>
    <col min="10501" max="10752" width="12.5" style="3624"/>
    <col min="10753" max="10753" width="37.125" style="3624" customWidth="1"/>
    <col min="10754" max="10754" width="7.5" style="3624" customWidth="1"/>
    <col min="10755" max="10755" width="17.5" style="3624" customWidth="1"/>
    <col min="10756" max="10756" width="17.75" style="3624" customWidth="1"/>
    <col min="10757" max="11008" width="12.5" style="3624"/>
    <col min="11009" max="11009" width="37.125" style="3624" customWidth="1"/>
    <col min="11010" max="11010" width="7.5" style="3624" customWidth="1"/>
    <col min="11011" max="11011" width="17.5" style="3624" customWidth="1"/>
    <col min="11012" max="11012" width="17.75" style="3624" customWidth="1"/>
    <col min="11013" max="11264" width="12.5" style="3624"/>
    <col min="11265" max="11265" width="37.125" style="3624" customWidth="1"/>
    <col min="11266" max="11266" width="7.5" style="3624" customWidth="1"/>
    <col min="11267" max="11267" width="17.5" style="3624" customWidth="1"/>
    <col min="11268" max="11268" width="17.75" style="3624" customWidth="1"/>
    <col min="11269" max="11520" width="12.5" style="3624"/>
    <col min="11521" max="11521" width="37.125" style="3624" customWidth="1"/>
    <col min="11522" max="11522" width="7.5" style="3624" customWidth="1"/>
    <col min="11523" max="11523" width="17.5" style="3624" customWidth="1"/>
    <col min="11524" max="11524" width="17.75" style="3624" customWidth="1"/>
    <col min="11525" max="11776" width="12.5" style="3624"/>
    <col min="11777" max="11777" width="37.125" style="3624" customWidth="1"/>
    <col min="11778" max="11778" width="7.5" style="3624" customWidth="1"/>
    <col min="11779" max="11779" width="17.5" style="3624" customWidth="1"/>
    <col min="11780" max="11780" width="17.75" style="3624" customWidth="1"/>
    <col min="11781" max="12032" width="12.5" style="3624"/>
    <col min="12033" max="12033" width="37.125" style="3624" customWidth="1"/>
    <col min="12034" max="12034" width="7.5" style="3624" customWidth="1"/>
    <col min="12035" max="12035" width="17.5" style="3624" customWidth="1"/>
    <col min="12036" max="12036" width="17.75" style="3624" customWidth="1"/>
    <col min="12037" max="12288" width="12.5" style="3624"/>
    <col min="12289" max="12289" width="37.125" style="3624" customWidth="1"/>
    <col min="12290" max="12290" width="7.5" style="3624" customWidth="1"/>
    <col min="12291" max="12291" width="17.5" style="3624" customWidth="1"/>
    <col min="12292" max="12292" width="17.75" style="3624" customWidth="1"/>
    <col min="12293" max="12544" width="12.5" style="3624"/>
    <col min="12545" max="12545" width="37.125" style="3624" customWidth="1"/>
    <col min="12546" max="12546" width="7.5" style="3624" customWidth="1"/>
    <col min="12547" max="12547" width="17.5" style="3624" customWidth="1"/>
    <col min="12548" max="12548" width="17.75" style="3624" customWidth="1"/>
    <col min="12549" max="12800" width="12.5" style="3624"/>
    <col min="12801" max="12801" width="37.125" style="3624" customWidth="1"/>
    <col min="12802" max="12802" width="7.5" style="3624" customWidth="1"/>
    <col min="12803" max="12803" width="17.5" style="3624" customWidth="1"/>
    <col min="12804" max="12804" width="17.75" style="3624" customWidth="1"/>
    <col min="12805" max="13056" width="12.5" style="3624"/>
    <col min="13057" max="13057" width="37.125" style="3624" customWidth="1"/>
    <col min="13058" max="13058" width="7.5" style="3624" customWidth="1"/>
    <col min="13059" max="13059" width="17.5" style="3624" customWidth="1"/>
    <col min="13060" max="13060" width="17.75" style="3624" customWidth="1"/>
    <col min="13061" max="13312" width="12.5" style="3624"/>
    <col min="13313" max="13313" width="37.125" style="3624" customWidth="1"/>
    <col min="13314" max="13314" width="7.5" style="3624" customWidth="1"/>
    <col min="13315" max="13315" width="17.5" style="3624" customWidth="1"/>
    <col min="13316" max="13316" width="17.75" style="3624" customWidth="1"/>
    <col min="13317" max="13568" width="12.5" style="3624"/>
    <col min="13569" max="13569" width="37.125" style="3624" customWidth="1"/>
    <col min="13570" max="13570" width="7.5" style="3624" customWidth="1"/>
    <col min="13571" max="13571" width="17.5" style="3624" customWidth="1"/>
    <col min="13572" max="13572" width="17.75" style="3624" customWidth="1"/>
    <col min="13573" max="13824" width="12.5" style="3624"/>
    <col min="13825" max="13825" width="37.125" style="3624" customWidth="1"/>
    <col min="13826" max="13826" width="7.5" style="3624" customWidth="1"/>
    <col min="13827" max="13827" width="17.5" style="3624" customWidth="1"/>
    <col min="13828" max="13828" width="17.75" style="3624" customWidth="1"/>
    <col min="13829" max="14080" width="12.5" style="3624"/>
    <col min="14081" max="14081" width="37.125" style="3624" customWidth="1"/>
    <col min="14082" max="14082" width="7.5" style="3624" customWidth="1"/>
    <col min="14083" max="14083" width="17.5" style="3624" customWidth="1"/>
    <col min="14084" max="14084" width="17.75" style="3624" customWidth="1"/>
    <col min="14085" max="14336" width="12.5" style="3624"/>
    <col min="14337" max="14337" width="37.125" style="3624" customWidth="1"/>
    <col min="14338" max="14338" width="7.5" style="3624" customWidth="1"/>
    <col min="14339" max="14339" width="17.5" style="3624" customWidth="1"/>
    <col min="14340" max="14340" width="17.75" style="3624" customWidth="1"/>
    <col min="14341" max="14592" width="12.5" style="3624"/>
    <col min="14593" max="14593" width="37.125" style="3624" customWidth="1"/>
    <col min="14594" max="14594" width="7.5" style="3624" customWidth="1"/>
    <col min="14595" max="14595" width="17.5" style="3624" customWidth="1"/>
    <col min="14596" max="14596" width="17.75" style="3624" customWidth="1"/>
    <col min="14597" max="14848" width="12.5" style="3624"/>
    <col min="14849" max="14849" width="37.125" style="3624" customWidth="1"/>
    <col min="14850" max="14850" width="7.5" style="3624" customWidth="1"/>
    <col min="14851" max="14851" width="17.5" style="3624" customWidth="1"/>
    <col min="14852" max="14852" width="17.75" style="3624" customWidth="1"/>
    <col min="14853" max="15104" width="12.5" style="3624"/>
    <col min="15105" max="15105" width="37.125" style="3624" customWidth="1"/>
    <col min="15106" max="15106" width="7.5" style="3624" customWidth="1"/>
    <col min="15107" max="15107" width="17.5" style="3624" customWidth="1"/>
    <col min="15108" max="15108" width="17.75" style="3624" customWidth="1"/>
    <col min="15109" max="15360" width="12.5" style="3624"/>
    <col min="15361" max="15361" width="37.125" style="3624" customWidth="1"/>
    <col min="15362" max="15362" width="7.5" style="3624" customWidth="1"/>
    <col min="15363" max="15363" width="17.5" style="3624" customWidth="1"/>
    <col min="15364" max="15364" width="17.75" style="3624" customWidth="1"/>
    <col min="15365" max="15616" width="12.5" style="3624"/>
    <col min="15617" max="15617" width="37.125" style="3624" customWidth="1"/>
    <col min="15618" max="15618" width="7.5" style="3624" customWidth="1"/>
    <col min="15619" max="15619" width="17.5" style="3624" customWidth="1"/>
    <col min="15620" max="15620" width="17.75" style="3624" customWidth="1"/>
    <col min="15621" max="15872" width="12.5" style="3624"/>
    <col min="15873" max="15873" width="37.125" style="3624" customWidth="1"/>
    <col min="15874" max="15874" width="7.5" style="3624" customWidth="1"/>
    <col min="15875" max="15875" width="17.5" style="3624" customWidth="1"/>
    <col min="15876" max="15876" width="17.75" style="3624" customWidth="1"/>
    <col min="15877" max="16128" width="12.5" style="3624"/>
    <col min="16129" max="16129" width="37.125" style="3624" customWidth="1"/>
    <col min="16130" max="16130" width="7.5" style="3624" customWidth="1"/>
    <col min="16131" max="16131" width="17.5" style="3624" customWidth="1"/>
    <col min="16132" max="16132" width="17.75" style="3624" customWidth="1"/>
    <col min="16133" max="16384" width="12.5" style="3624"/>
  </cols>
  <sheetData>
    <row r="1" spans="1:4" ht="41.1" customHeight="1">
      <c r="A1" s="3627" t="s">
        <v>3224</v>
      </c>
      <c r="B1" s="3627"/>
      <c r="C1" s="3627"/>
      <c r="D1" s="3627"/>
    </row>
    <row r="2" spans="1:4" ht="32.1" customHeight="1">
      <c r="A2" s="3624" t="s">
        <v>3225</v>
      </c>
      <c r="B2" s="3624" t="s">
        <v>3266</v>
      </c>
      <c r="C2" s="3624" t="s">
        <v>3227</v>
      </c>
      <c r="D2" s="3624" t="s">
        <v>3228</v>
      </c>
    </row>
    <row r="3" spans="1:4" ht="27.95" customHeight="1">
      <c r="D3" s="3624" t="s">
        <v>3229</v>
      </c>
    </row>
    <row r="4" spans="1:4" ht="30" customHeight="1">
      <c r="A4" s="3625" t="s">
        <v>3230</v>
      </c>
      <c r="B4" s="3625" t="s">
        <v>3231</v>
      </c>
      <c r="C4" s="3625" t="s">
        <v>3232</v>
      </c>
      <c r="D4" s="3625" t="s">
        <v>3233</v>
      </c>
    </row>
    <row r="5" spans="1:4" ht="30" customHeight="1">
      <c r="A5" s="3626" t="s">
        <v>3234</v>
      </c>
      <c r="B5" s="3625" t="s">
        <v>3235</v>
      </c>
      <c r="C5" s="3625">
        <v>4989260.9800000004</v>
      </c>
      <c r="D5" s="3625">
        <v>64989761.950000003</v>
      </c>
    </row>
    <row r="6" spans="1:4" ht="30" customHeight="1">
      <c r="A6" s="3626" t="s">
        <v>3236</v>
      </c>
      <c r="B6" s="3625" t="s">
        <v>3237</v>
      </c>
      <c r="C6" s="3625">
        <v>1394022.04</v>
      </c>
      <c r="D6" s="3625">
        <v>16729037.990000002</v>
      </c>
    </row>
    <row r="7" spans="1:4" ht="30" customHeight="1">
      <c r="A7" s="3626" t="s">
        <v>3238</v>
      </c>
      <c r="B7" s="3625" t="s">
        <v>3239</v>
      </c>
      <c r="C7" s="3625">
        <v>1265445.5</v>
      </c>
      <c r="D7" s="3625">
        <v>18252066.389999997</v>
      </c>
    </row>
    <row r="8" spans="1:4" ht="30" customHeight="1">
      <c r="A8" s="3626" t="s">
        <v>3240</v>
      </c>
      <c r="B8" s="3625" t="s">
        <v>3241</v>
      </c>
      <c r="C8" s="3625">
        <v>35019.29</v>
      </c>
      <c r="D8" s="3625">
        <v>298373.32</v>
      </c>
    </row>
    <row r="9" spans="1:4" ht="30" customHeight="1">
      <c r="A9" s="3626" t="s">
        <v>3242</v>
      </c>
      <c r="B9" s="3625" t="s">
        <v>3243</v>
      </c>
      <c r="C9" s="3625">
        <v>2294774.1500000004</v>
      </c>
      <c r="D9" s="3625">
        <v>29710284.250000004</v>
      </c>
    </row>
    <row r="10" spans="1:4" ht="30" customHeight="1">
      <c r="A10" s="3626" t="s">
        <v>3244</v>
      </c>
      <c r="B10" s="3625" t="s">
        <v>3245</v>
      </c>
      <c r="C10" s="3625"/>
      <c r="D10" s="3625"/>
    </row>
    <row r="11" spans="1:4" ht="30" customHeight="1">
      <c r="A11" s="3626" t="s">
        <v>3246</v>
      </c>
      <c r="B11" s="3625" t="s">
        <v>3247</v>
      </c>
      <c r="C11" s="3625">
        <v>393992.84</v>
      </c>
      <c r="D11" s="3625">
        <v>3912847.25</v>
      </c>
    </row>
    <row r="12" spans="1:4" ht="30" customHeight="1">
      <c r="A12" s="3626" t="s">
        <v>3248</v>
      </c>
      <c r="B12" s="3625" t="s">
        <v>3249</v>
      </c>
      <c r="C12" s="3625">
        <v>863478.11</v>
      </c>
      <c r="D12" s="3625">
        <v>10570606.85</v>
      </c>
    </row>
    <row r="13" spans="1:4" ht="30" customHeight="1">
      <c r="A13" s="3626" t="s">
        <v>3250</v>
      </c>
      <c r="B13" s="3625" t="s">
        <v>3251</v>
      </c>
      <c r="C13" s="3625">
        <v>1037303.2000000003</v>
      </c>
      <c r="D13" s="3625">
        <v>15226830.150000004</v>
      </c>
    </row>
    <row r="14" spans="1:4" ht="30" customHeight="1">
      <c r="A14" s="3626" t="s">
        <v>3252</v>
      </c>
      <c r="B14" s="3625" t="s">
        <v>3253</v>
      </c>
      <c r="C14" s="3625"/>
      <c r="D14" s="3625"/>
    </row>
    <row r="15" spans="1:4" ht="30" customHeight="1">
      <c r="A15" s="3626" t="s">
        <v>3254</v>
      </c>
      <c r="B15" s="3625" t="s">
        <v>3255</v>
      </c>
      <c r="C15" s="3625"/>
      <c r="D15" s="3625"/>
    </row>
    <row r="16" spans="1:4" ht="30" customHeight="1">
      <c r="A16" s="3626" t="s">
        <v>3256</v>
      </c>
      <c r="B16" s="3625" t="s">
        <v>3257</v>
      </c>
      <c r="C16" s="3625"/>
      <c r="D16" s="3625"/>
    </row>
    <row r="17" spans="1:6" ht="30" customHeight="1">
      <c r="A17" s="3626" t="s">
        <v>3258</v>
      </c>
      <c r="B17" s="3625" t="s">
        <v>3259</v>
      </c>
      <c r="C17" s="3625">
        <v>1037303.2000000003</v>
      </c>
      <c r="D17" s="3625">
        <v>15226830.150000004</v>
      </c>
    </row>
    <row r="18" spans="1:6" ht="30" customHeight="1">
      <c r="A18" s="3626" t="s">
        <v>3260</v>
      </c>
      <c r="B18" s="3625" t="s">
        <v>3261</v>
      </c>
      <c r="C18" s="3625"/>
      <c r="D18" s="3625"/>
    </row>
    <row r="19" spans="1:6" ht="30" customHeight="1">
      <c r="A19" s="3626" t="s">
        <v>3262</v>
      </c>
      <c r="B19" s="3625" t="s">
        <v>3261</v>
      </c>
      <c r="C19" s="3625">
        <v>1037303.2000000003</v>
      </c>
      <c r="D19" s="3625">
        <v>15226830.150000004</v>
      </c>
      <c r="F19" s="3624">
        <f>D19+D12</f>
        <v>25797437.000000004</v>
      </c>
    </row>
    <row r="20" spans="1:6">
      <c r="A20" s="3624" t="s">
        <v>3263</v>
      </c>
      <c r="C20" s="3624" t="s">
        <v>3264</v>
      </c>
      <c r="D20" s="3624" t="s">
        <v>3265</v>
      </c>
    </row>
  </sheetData>
  <mergeCells count="1">
    <mergeCell ref="A1:D1"/>
  </mergeCells>
  <phoneticPr fontId="140" type="noConversion"/>
  <pageMargins left="0.75" right="0.75" top="1" bottom="1" header="0.51180555555555551" footer="0.51180555555555551"/>
  <pageSetup paperSize="9" orientation="portrait" horizontalDpi="0" verticalDpi="0"/>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5"/>
  <sheetViews>
    <sheetView workbookViewId="0">
      <selection activeCell="F21" sqref="F21"/>
    </sheetView>
  </sheetViews>
  <sheetFormatPr defaultColWidth="9" defaultRowHeight="14.25"/>
  <cols>
    <col min="1" max="1" width="38.375" style="3624" customWidth="1"/>
    <col min="2" max="2" width="10.125" style="3624" customWidth="1"/>
    <col min="3" max="3" width="16.25" style="3624" customWidth="1"/>
    <col min="4" max="4" width="17.25" style="3624" customWidth="1"/>
    <col min="5" max="5" width="9" style="3624"/>
    <col min="6" max="6" width="16.125" style="3624" bestFit="1" customWidth="1"/>
    <col min="7" max="256" width="9" style="3624"/>
    <col min="257" max="257" width="38.375" style="3624" customWidth="1"/>
    <col min="258" max="258" width="10.125" style="3624" customWidth="1"/>
    <col min="259" max="259" width="16.25" style="3624" customWidth="1"/>
    <col min="260" max="260" width="17.25" style="3624" customWidth="1"/>
    <col min="261" max="512" width="9" style="3624"/>
    <col min="513" max="513" width="38.375" style="3624" customWidth="1"/>
    <col min="514" max="514" width="10.125" style="3624" customWidth="1"/>
    <col min="515" max="515" width="16.25" style="3624" customWidth="1"/>
    <col min="516" max="516" width="17.25" style="3624" customWidth="1"/>
    <col min="517" max="768" width="9" style="3624"/>
    <col min="769" max="769" width="38.375" style="3624" customWidth="1"/>
    <col min="770" max="770" width="10.125" style="3624" customWidth="1"/>
    <col min="771" max="771" width="16.25" style="3624" customWidth="1"/>
    <col min="772" max="772" width="17.25" style="3624" customWidth="1"/>
    <col min="773" max="1024" width="9" style="3624"/>
    <col min="1025" max="1025" width="38.375" style="3624" customWidth="1"/>
    <col min="1026" max="1026" width="10.125" style="3624" customWidth="1"/>
    <col min="1027" max="1027" width="16.25" style="3624" customWidth="1"/>
    <col min="1028" max="1028" width="17.25" style="3624" customWidth="1"/>
    <col min="1029" max="1280" width="9" style="3624"/>
    <col min="1281" max="1281" width="38.375" style="3624" customWidth="1"/>
    <col min="1282" max="1282" width="10.125" style="3624" customWidth="1"/>
    <col min="1283" max="1283" width="16.25" style="3624" customWidth="1"/>
    <col min="1284" max="1284" width="17.25" style="3624" customWidth="1"/>
    <col min="1285" max="1536" width="9" style="3624"/>
    <col min="1537" max="1537" width="38.375" style="3624" customWidth="1"/>
    <col min="1538" max="1538" width="10.125" style="3624" customWidth="1"/>
    <col min="1539" max="1539" width="16.25" style="3624" customWidth="1"/>
    <col min="1540" max="1540" width="17.25" style="3624" customWidth="1"/>
    <col min="1541" max="1792" width="9" style="3624"/>
    <col min="1793" max="1793" width="38.375" style="3624" customWidth="1"/>
    <col min="1794" max="1794" width="10.125" style="3624" customWidth="1"/>
    <col min="1795" max="1795" width="16.25" style="3624" customWidth="1"/>
    <col min="1796" max="1796" width="17.25" style="3624" customWidth="1"/>
    <col min="1797" max="2048" width="9" style="3624"/>
    <col min="2049" max="2049" width="38.375" style="3624" customWidth="1"/>
    <col min="2050" max="2050" width="10.125" style="3624" customWidth="1"/>
    <col min="2051" max="2051" width="16.25" style="3624" customWidth="1"/>
    <col min="2052" max="2052" width="17.25" style="3624" customWidth="1"/>
    <col min="2053" max="2304" width="9" style="3624"/>
    <col min="2305" max="2305" width="38.375" style="3624" customWidth="1"/>
    <col min="2306" max="2306" width="10.125" style="3624" customWidth="1"/>
    <col min="2307" max="2307" width="16.25" style="3624" customWidth="1"/>
    <col min="2308" max="2308" width="17.25" style="3624" customWidth="1"/>
    <col min="2309" max="2560" width="9" style="3624"/>
    <col min="2561" max="2561" width="38.375" style="3624" customWidth="1"/>
    <col min="2562" max="2562" width="10.125" style="3624" customWidth="1"/>
    <col min="2563" max="2563" width="16.25" style="3624" customWidth="1"/>
    <col min="2564" max="2564" width="17.25" style="3624" customWidth="1"/>
    <col min="2565" max="2816" width="9" style="3624"/>
    <col min="2817" max="2817" width="38.375" style="3624" customWidth="1"/>
    <col min="2818" max="2818" width="10.125" style="3624" customWidth="1"/>
    <col min="2819" max="2819" width="16.25" style="3624" customWidth="1"/>
    <col min="2820" max="2820" width="17.25" style="3624" customWidth="1"/>
    <col min="2821" max="3072" width="9" style="3624"/>
    <col min="3073" max="3073" width="38.375" style="3624" customWidth="1"/>
    <col min="3074" max="3074" width="10.125" style="3624" customWidth="1"/>
    <col min="3075" max="3075" width="16.25" style="3624" customWidth="1"/>
    <col min="3076" max="3076" width="17.25" style="3624" customWidth="1"/>
    <col min="3077" max="3328" width="9" style="3624"/>
    <col min="3329" max="3329" width="38.375" style="3624" customWidth="1"/>
    <col min="3330" max="3330" width="10.125" style="3624" customWidth="1"/>
    <col min="3331" max="3331" width="16.25" style="3624" customWidth="1"/>
    <col min="3332" max="3332" width="17.25" style="3624" customWidth="1"/>
    <col min="3333" max="3584" width="9" style="3624"/>
    <col min="3585" max="3585" width="38.375" style="3624" customWidth="1"/>
    <col min="3586" max="3586" width="10.125" style="3624" customWidth="1"/>
    <col min="3587" max="3587" width="16.25" style="3624" customWidth="1"/>
    <col min="3588" max="3588" width="17.25" style="3624" customWidth="1"/>
    <col min="3589" max="3840" width="9" style="3624"/>
    <col min="3841" max="3841" width="38.375" style="3624" customWidth="1"/>
    <col min="3842" max="3842" width="10.125" style="3624" customWidth="1"/>
    <col min="3843" max="3843" width="16.25" style="3624" customWidth="1"/>
    <col min="3844" max="3844" width="17.25" style="3624" customWidth="1"/>
    <col min="3845" max="4096" width="9" style="3624"/>
    <col min="4097" max="4097" width="38.375" style="3624" customWidth="1"/>
    <col min="4098" max="4098" width="10.125" style="3624" customWidth="1"/>
    <col min="4099" max="4099" width="16.25" style="3624" customWidth="1"/>
    <col min="4100" max="4100" width="17.25" style="3624" customWidth="1"/>
    <col min="4101" max="4352" width="9" style="3624"/>
    <col min="4353" max="4353" width="38.375" style="3624" customWidth="1"/>
    <col min="4354" max="4354" width="10.125" style="3624" customWidth="1"/>
    <col min="4355" max="4355" width="16.25" style="3624" customWidth="1"/>
    <col min="4356" max="4356" width="17.25" style="3624" customWidth="1"/>
    <col min="4357" max="4608" width="9" style="3624"/>
    <col min="4609" max="4609" width="38.375" style="3624" customWidth="1"/>
    <col min="4610" max="4610" width="10.125" style="3624" customWidth="1"/>
    <col min="4611" max="4611" width="16.25" style="3624" customWidth="1"/>
    <col min="4612" max="4612" width="17.25" style="3624" customWidth="1"/>
    <col min="4613" max="4864" width="9" style="3624"/>
    <col min="4865" max="4865" width="38.375" style="3624" customWidth="1"/>
    <col min="4866" max="4866" width="10.125" style="3624" customWidth="1"/>
    <col min="4867" max="4867" width="16.25" style="3624" customWidth="1"/>
    <col min="4868" max="4868" width="17.25" style="3624" customWidth="1"/>
    <col min="4869" max="5120" width="9" style="3624"/>
    <col min="5121" max="5121" width="38.375" style="3624" customWidth="1"/>
    <col min="5122" max="5122" width="10.125" style="3624" customWidth="1"/>
    <col min="5123" max="5123" width="16.25" style="3624" customWidth="1"/>
    <col min="5124" max="5124" width="17.25" style="3624" customWidth="1"/>
    <col min="5125" max="5376" width="9" style="3624"/>
    <col min="5377" max="5377" width="38.375" style="3624" customWidth="1"/>
    <col min="5378" max="5378" width="10.125" style="3624" customWidth="1"/>
    <col min="5379" max="5379" width="16.25" style="3624" customWidth="1"/>
    <col min="5380" max="5380" width="17.25" style="3624" customWidth="1"/>
    <col min="5381" max="5632" width="9" style="3624"/>
    <col min="5633" max="5633" width="38.375" style="3624" customWidth="1"/>
    <col min="5634" max="5634" width="10.125" style="3624" customWidth="1"/>
    <col min="5635" max="5635" width="16.25" style="3624" customWidth="1"/>
    <col min="5636" max="5636" width="17.25" style="3624" customWidth="1"/>
    <col min="5637" max="5888" width="9" style="3624"/>
    <col min="5889" max="5889" width="38.375" style="3624" customWidth="1"/>
    <col min="5890" max="5890" width="10.125" style="3624" customWidth="1"/>
    <col min="5891" max="5891" width="16.25" style="3624" customWidth="1"/>
    <col min="5892" max="5892" width="17.25" style="3624" customWidth="1"/>
    <col min="5893" max="6144" width="9" style="3624"/>
    <col min="6145" max="6145" width="38.375" style="3624" customWidth="1"/>
    <col min="6146" max="6146" width="10.125" style="3624" customWidth="1"/>
    <col min="6147" max="6147" width="16.25" style="3624" customWidth="1"/>
    <col min="6148" max="6148" width="17.25" style="3624" customWidth="1"/>
    <col min="6149" max="6400" width="9" style="3624"/>
    <col min="6401" max="6401" width="38.375" style="3624" customWidth="1"/>
    <col min="6402" max="6402" width="10.125" style="3624" customWidth="1"/>
    <col min="6403" max="6403" width="16.25" style="3624" customWidth="1"/>
    <col min="6404" max="6404" width="17.25" style="3624" customWidth="1"/>
    <col min="6405" max="6656" width="9" style="3624"/>
    <col min="6657" max="6657" width="38.375" style="3624" customWidth="1"/>
    <col min="6658" max="6658" width="10.125" style="3624" customWidth="1"/>
    <col min="6659" max="6659" width="16.25" style="3624" customWidth="1"/>
    <col min="6660" max="6660" width="17.25" style="3624" customWidth="1"/>
    <col min="6661" max="6912" width="9" style="3624"/>
    <col min="6913" max="6913" width="38.375" style="3624" customWidth="1"/>
    <col min="6914" max="6914" width="10.125" style="3624" customWidth="1"/>
    <col min="6915" max="6915" width="16.25" style="3624" customWidth="1"/>
    <col min="6916" max="6916" width="17.25" style="3624" customWidth="1"/>
    <col min="6917" max="7168" width="9" style="3624"/>
    <col min="7169" max="7169" width="38.375" style="3624" customWidth="1"/>
    <col min="7170" max="7170" width="10.125" style="3624" customWidth="1"/>
    <col min="7171" max="7171" width="16.25" style="3624" customWidth="1"/>
    <col min="7172" max="7172" width="17.25" style="3624" customWidth="1"/>
    <col min="7173" max="7424" width="9" style="3624"/>
    <col min="7425" max="7425" width="38.375" style="3624" customWidth="1"/>
    <col min="7426" max="7426" width="10.125" style="3624" customWidth="1"/>
    <col min="7427" max="7427" width="16.25" style="3624" customWidth="1"/>
    <col min="7428" max="7428" width="17.25" style="3624" customWidth="1"/>
    <col min="7429" max="7680" width="9" style="3624"/>
    <col min="7681" max="7681" width="38.375" style="3624" customWidth="1"/>
    <col min="7682" max="7682" width="10.125" style="3624" customWidth="1"/>
    <col min="7683" max="7683" width="16.25" style="3624" customWidth="1"/>
    <col min="7684" max="7684" width="17.25" style="3624" customWidth="1"/>
    <col min="7685" max="7936" width="9" style="3624"/>
    <col min="7937" max="7937" width="38.375" style="3624" customWidth="1"/>
    <col min="7938" max="7938" width="10.125" style="3624" customWidth="1"/>
    <col min="7939" max="7939" width="16.25" style="3624" customWidth="1"/>
    <col min="7940" max="7940" width="17.25" style="3624" customWidth="1"/>
    <col min="7941" max="8192" width="9" style="3624"/>
    <col min="8193" max="8193" width="38.375" style="3624" customWidth="1"/>
    <col min="8194" max="8194" width="10.125" style="3624" customWidth="1"/>
    <col min="8195" max="8195" width="16.25" style="3624" customWidth="1"/>
    <col min="8196" max="8196" width="17.25" style="3624" customWidth="1"/>
    <col min="8197" max="8448" width="9" style="3624"/>
    <col min="8449" max="8449" width="38.375" style="3624" customWidth="1"/>
    <col min="8450" max="8450" width="10.125" style="3624" customWidth="1"/>
    <col min="8451" max="8451" width="16.25" style="3624" customWidth="1"/>
    <col min="8452" max="8452" width="17.25" style="3624" customWidth="1"/>
    <col min="8453" max="8704" width="9" style="3624"/>
    <col min="8705" max="8705" width="38.375" style="3624" customWidth="1"/>
    <col min="8706" max="8706" width="10.125" style="3624" customWidth="1"/>
    <col min="8707" max="8707" width="16.25" style="3624" customWidth="1"/>
    <col min="8708" max="8708" width="17.25" style="3624" customWidth="1"/>
    <col min="8709" max="8960" width="9" style="3624"/>
    <col min="8961" max="8961" width="38.375" style="3624" customWidth="1"/>
    <col min="8962" max="8962" width="10.125" style="3624" customWidth="1"/>
    <col min="8963" max="8963" width="16.25" style="3624" customWidth="1"/>
    <col min="8964" max="8964" width="17.25" style="3624" customWidth="1"/>
    <col min="8965" max="9216" width="9" style="3624"/>
    <col min="9217" max="9217" width="38.375" style="3624" customWidth="1"/>
    <col min="9218" max="9218" width="10.125" style="3624" customWidth="1"/>
    <col min="9219" max="9219" width="16.25" style="3624" customWidth="1"/>
    <col min="9220" max="9220" width="17.25" style="3624" customWidth="1"/>
    <col min="9221" max="9472" width="9" style="3624"/>
    <col min="9473" max="9473" width="38.375" style="3624" customWidth="1"/>
    <col min="9474" max="9474" width="10.125" style="3624" customWidth="1"/>
    <col min="9475" max="9475" width="16.25" style="3624" customWidth="1"/>
    <col min="9476" max="9476" width="17.25" style="3624" customWidth="1"/>
    <col min="9477" max="9728" width="9" style="3624"/>
    <col min="9729" max="9729" width="38.375" style="3624" customWidth="1"/>
    <col min="9730" max="9730" width="10.125" style="3624" customWidth="1"/>
    <col min="9731" max="9731" width="16.25" style="3624" customWidth="1"/>
    <col min="9732" max="9732" width="17.25" style="3624" customWidth="1"/>
    <col min="9733" max="9984" width="9" style="3624"/>
    <col min="9985" max="9985" width="38.375" style="3624" customWidth="1"/>
    <col min="9986" max="9986" width="10.125" style="3624" customWidth="1"/>
    <col min="9987" max="9987" width="16.25" style="3624" customWidth="1"/>
    <col min="9988" max="9988" width="17.25" style="3624" customWidth="1"/>
    <col min="9989" max="10240" width="9" style="3624"/>
    <col min="10241" max="10241" width="38.375" style="3624" customWidth="1"/>
    <col min="10242" max="10242" width="10.125" style="3624" customWidth="1"/>
    <col min="10243" max="10243" width="16.25" style="3624" customWidth="1"/>
    <col min="10244" max="10244" width="17.25" style="3624" customWidth="1"/>
    <col min="10245" max="10496" width="9" style="3624"/>
    <col min="10497" max="10497" width="38.375" style="3624" customWidth="1"/>
    <col min="10498" max="10498" width="10.125" style="3624" customWidth="1"/>
    <col min="10499" max="10499" width="16.25" style="3624" customWidth="1"/>
    <col min="10500" max="10500" width="17.25" style="3624" customWidth="1"/>
    <col min="10501" max="10752" width="9" style="3624"/>
    <col min="10753" max="10753" width="38.375" style="3624" customWidth="1"/>
    <col min="10754" max="10754" width="10.125" style="3624" customWidth="1"/>
    <col min="10755" max="10755" width="16.25" style="3624" customWidth="1"/>
    <col min="10756" max="10756" width="17.25" style="3624" customWidth="1"/>
    <col min="10757" max="11008" width="9" style="3624"/>
    <col min="11009" max="11009" width="38.375" style="3624" customWidth="1"/>
    <col min="11010" max="11010" width="10.125" style="3624" customWidth="1"/>
    <col min="11011" max="11011" width="16.25" style="3624" customWidth="1"/>
    <col min="11012" max="11012" width="17.25" style="3624" customWidth="1"/>
    <col min="11013" max="11264" width="9" style="3624"/>
    <col min="11265" max="11265" width="38.375" style="3624" customWidth="1"/>
    <col min="11266" max="11266" width="10.125" style="3624" customWidth="1"/>
    <col min="11267" max="11267" width="16.25" style="3624" customWidth="1"/>
    <col min="11268" max="11268" width="17.25" style="3624" customWidth="1"/>
    <col min="11269" max="11520" width="9" style="3624"/>
    <col min="11521" max="11521" width="38.375" style="3624" customWidth="1"/>
    <col min="11522" max="11522" width="10.125" style="3624" customWidth="1"/>
    <col min="11523" max="11523" width="16.25" style="3624" customWidth="1"/>
    <col min="11524" max="11524" width="17.25" style="3624" customWidth="1"/>
    <col min="11525" max="11776" width="9" style="3624"/>
    <col min="11777" max="11777" width="38.375" style="3624" customWidth="1"/>
    <col min="11778" max="11778" width="10.125" style="3624" customWidth="1"/>
    <col min="11779" max="11779" width="16.25" style="3624" customWidth="1"/>
    <col min="11780" max="11780" width="17.25" style="3624" customWidth="1"/>
    <col min="11781" max="12032" width="9" style="3624"/>
    <col min="12033" max="12033" width="38.375" style="3624" customWidth="1"/>
    <col min="12034" max="12034" width="10.125" style="3624" customWidth="1"/>
    <col min="12035" max="12035" width="16.25" style="3624" customWidth="1"/>
    <col min="12036" max="12036" width="17.25" style="3624" customWidth="1"/>
    <col min="12037" max="12288" width="9" style="3624"/>
    <col min="12289" max="12289" width="38.375" style="3624" customWidth="1"/>
    <col min="12290" max="12290" width="10.125" style="3624" customWidth="1"/>
    <col min="12291" max="12291" width="16.25" style="3624" customWidth="1"/>
    <col min="12292" max="12292" width="17.25" style="3624" customWidth="1"/>
    <col min="12293" max="12544" width="9" style="3624"/>
    <col min="12545" max="12545" width="38.375" style="3624" customWidth="1"/>
    <col min="12546" max="12546" width="10.125" style="3624" customWidth="1"/>
    <col min="12547" max="12547" width="16.25" style="3624" customWidth="1"/>
    <col min="12548" max="12548" width="17.25" style="3624" customWidth="1"/>
    <col min="12549" max="12800" width="9" style="3624"/>
    <col min="12801" max="12801" width="38.375" style="3624" customWidth="1"/>
    <col min="12802" max="12802" width="10.125" style="3624" customWidth="1"/>
    <col min="12803" max="12803" width="16.25" style="3624" customWidth="1"/>
    <col min="12804" max="12804" width="17.25" style="3624" customWidth="1"/>
    <col min="12805" max="13056" width="9" style="3624"/>
    <col min="13057" max="13057" width="38.375" style="3624" customWidth="1"/>
    <col min="13058" max="13058" width="10.125" style="3624" customWidth="1"/>
    <col min="13059" max="13059" width="16.25" style="3624" customWidth="1"/>
    <col min="13060" max="13060" width="17.25" style="3624" customWidth="1"/>
    <col min="13061" max="13312" width="9" style="3624"/>
    <col min="13313" max="13313" width="38.375" style="3624" customWidth="1"/>
    <col min="13314" max="13314" width="10.125" style="3624" customWidth="1"/>
    <col min="13315" max="13315" width="16.25" style="3624" customWidth="1"/>
    <col min="13316" max="13316" width="17.25" style="3624" customWidth="1"/>
    <col min="13317" max="13568" width="9" style="3624"/>
    <col min="13569" max="13569" width="38.375" style="3624" customWidth="1"/>
    <col min="13570" max="13570" width="10.125" style="3624" customWidth="1"/>
    <col min="13571" max="13571" width="16.25" style="3624" customWidth="1"/>
    <col min="13572" max="13572" width="17.25" style="3624" customWidth="1"/>
    <col min="13573" max="13824" width="9" style="3624"/>
    <col min="13825" max="13825" width="38.375" style="3624" customWidth="1"/>
    <col min="13826" max="13826" width="10.125" style="3624" customWidth="1"/>
    <col min="13827" max="13827" width="16.25" style="3624" customWidth="1"/>
    <col min="13828" max="13828" width="17.25" style="3624" customWidth="1"/>
    <col min="13829" max="14080" width="9" style="3624"/>
    <col min="14081" max="14081" width="38.375" style="3624" customWidth="1"/>
    <col min="14082" max="14082" width="10.125" style="3624" customWidth="1"/>
    <col min="14083" max="14083" width="16.25" style="3624" customWidth="1"/>
    <col min="14084" max="14084" width="17.25" style="3624" customWidth="1"/>
    <col min="14085" max="14336" width="9" style="3624"/>
    <col min="14337" max="14337" width="38.375" style="3624" customWidth="1"/>
    <col min="14338" max="14338" width="10.125" style="3624" customWidth="1"/>
    <col min="14339" max="14339" width="16.25" style="3624" customWidth="1"/>
    <col min="14340" max="14340" width="17.25" style="3624" customWidth="1"/>
    <col min="14341" max="14592" width="9" style="3624"/>
    <col min="14593" max="14593" width="38.375" style="3624" customWidth="1"/>
    <col min="14594" max="14594" width="10.125" style="3624" customWidth="1"/>
    <col min="14595" max="14595" width="16.25" style="3624" customWidth="1"/>
    <col min="14596" max="14596" width="17.25" style="3624" customWidth="1"/>
    <col min="14597" max="14848" width="9" style="3624"/>
    <col min="14849" max="14849" width="38.375" style="3624" customWidth="1"/>
    <col min="14850" max="14850" width="10.125" style="3624" customWidth="1"/>
    <col min="14851" max="14851" width="16.25" style="3624" customWidth="1"/>
    <col min="14852" max="14852" width="17.25" style="3624" customWidth="1"/>
    <col min="14853" max="15104" width="9" style="3624"/>
    <col min="15105" max="15105" width="38.375" style="3624" customWidth="1"/>
    <col min="15106" max="15106" width="10.125" style="3624" customWidth="1"/>
    <col min="15107" max="15107" width="16.25" style="3624" customWidth="1"/>
    <col min="15108" max="15108" width="17.25" style="3624" customWidth="1"/>
    <col min="15109" max="15360" width="9" style="3624"/>
    <col min="15361" max="15361" width="38.375" style="3624" customWidth="1"/>
    <col min="15362" max="15362" width="10.125" style="3624" customWidth="1"/>
    <col min="15363" max="15363" width="16.25" style="3624" customWidth="1"/>
    <col min="15364" max="15364" width="17.25" style="3624" customWidth="1"/>
    <col min="15365" max="15616" width="9" style="3624"/>
    <col min="15617" max="15617" width="38.375" style="3624" customWidth="1"/>
    <col min="15618" max="15618" width="10.125" style="3624" customWidth="1"/>
    <col min="15619" max="15619" width="16.25" style="3624" customWidth="1"/>
    <col min="15620" max="15620" width="17.25" style="3624" customWidth="1"/>
    <col min="15621" max="15872" width="9" style="3624"/>
    <col min="15873" max="15873" width="38.375" style="3624" customWidth="1"/>
    <col min="15874" max="15874" width="10.125" style="3624" customWidth="1"/>
    <col min="15875" max="15875" width="16.25" style="3624" customWidth="1"/>
    <col min="15876" max="15876" width="17.25" style="3624" customWidth="1"/>
    <col min="15877" max="16128" width="9" style="3624"/>
    <col min="16129" max="16129" width="38.375" style="3624" customWidth="1"/>
    <col min="16130" max="16130" width="10.125" style="3624" customWidth="1"/>
    <col min="16131" max="16131" width="16.25" style="3624" customWidth="1"/>
    <col min="16132" max="16132" width="17.25" style="3624" customWidth="1"/>
    <col min="16133" max="16384" width="9" style="3624"/>
  </cols>
  <sheetData>
    <row r="1" spans="1:4" ht="35.1" customHeight="1">
      <c r="A1" s="3628" t="s">
        <v>3224</v>
      </c>
      <c r="B1" s="3628"/>
      <c r="C1" s="3628"/>
      <c r="D1" s="3628"/>
    </row>
    <row r="2" spans="1:4" ht="30.95" customHeight="1">
      <c r="A2" s="3629" t="s">
        <v>3225</v>
      </c>
      <c r="B2" s="3630" t="s">
        <v>3267</v>
      </c>
      <c r="C2" s="3631" t="s">
        <v>3227</v>
      </c>
      <c r="D2" s="3632" t="s">
        <v>3228</v>
      </c>
    </row>
    <row r="3" spans="1:4" hidden="1">
      <c r="A3" s="3633"/>
      <c r="B3" s="3634"/>
      <c r="C3" s="3633"/>
      <c r="D3" s="3635" t="s">
        <v>3268</v>
      </c>
    </row>
    <row r="4" spans="1:4" ht="17.100000000000001" customHeight="1">
      <c r="A4" s="3636"/>
      <c r="B4" s="3637"/>
      <c r="C4" s="3636"/>
      <c r="D4" s="3638" t="s">
        <v>3229</v>
      </c>
    </row>
    <row r="5" spans="1:4" ht="36.950000000000003" customHeight="1">
      <c r="A5" s="3639" t="s">
        <v>3230</v>
      </c>
      <c r="B5" s="3639" t="s">
        <v>3231</v>
      </c>
      <c r="C5" s="3639" t="s">
        <v>3232</v>
      </c>
      <c r="D5" s="3639" t="s">
        <v>3233</v>
      </c>
    </row>
    <row r="6" spans="1:4" ht="36.950000000000003" customHeight="1">
      <c r="A6" s="3640" t="s">
        <v>3234</v>
      </c>
      <c r="B6" s="3641" t="s">
        <v>3235</v>
      </c>
      <c r="C6" s="3642">
        <v>5062665.8899999997</v>
      </c>
      <c r="D6" s="3643">
        <v>65515155.149999999</v>
      </c>
    </row>
    <row r="7" spans="1:4" ht="36.950000000000003" customHeight="1">
      <c r="A7" s="3644" t="s">
        <v>3236</v>
      </c>
      <c r="B7" s="3641" t="s">
        <v>3237</v>
      </c>
      <c r="C7" s="3642">
        <v>1397500.22</v>
      </c>
      <c r="D7" s="3643">
        <v>16365672.350000001</v>
      </c>
    </row>
    <row r="8" spans="1:4" ht="36.950000000000003" customHeight="1">
      <c r="A8" s="3644" t="s">
        <v>3238</v>
      </c>
      <c r="B8" s="3641" t="s">
        <v>3239</v>
      </c>
      <c r="C8" s="3642">
        <v>1297380.6399999999</v>
      </c>
      <c r="D8" s="3643">
        <v>18981012.310000002</v>
      </c>
    </row>
    <row r="9" spans="1:4" ht="36.950000000000003" customHeight="1">
      <c r="A9" s="3644" t="s">
        <v>3240</v>
      </c>
      <c r="B9" s="3641" t="s">
        <v>3241</v>
      </c>
      <c r="C9" s="3642">
        <v>44287.11</v>
      </c>
      <c r="D9" s="3643">
        <v>500466.73000000004</v>
      </c>
    </row>
    <row r="10" spans="1:4" ht="36.950000000000003" customHeight="1">
      <c r="A10" s="3640" t="s">
        <v>3242</v>
      </c>
      <c r="B10" s="3641" t="s">
        <v>3243</v>
      </c>
      <c r="C10" s="3645">
        <f>C6-C7-C8-C9</f>
        <v>2323497.9200000004</v>
      </c>
      <c r="D10" s="3645">
        <v>29668003.759999994</v>
      </c>
    </row>
    <row r="11" spans="1:4" ht="27" customHeight="1">
      <c r="A11" s="3644" t="s">
        <v>3244</v>
      </c>
      <c r="B11" s="3641" t="s">
        <v>3245</v>
      </c>
      <c r="C11" s="3646"/>
      <c r="D11" s="3647"/>
    </row>
    <row r="12" spans="1:4" ht="36.950000000000003" customHeight="1">
      <c r="A12" s="3644" t="s">
        <v>3246</v>
      </c>
      <c r="B12" s="3641" t="s">
        <v>3247</v>
      </c>
      <c r="C12" s="3642">
        <v>396366.49</v>
      </c>
      <c r="D12" s="3645">
        <v>4050032.24</v>
      </c>
    </row>
    <row r="13" spans="1:4" ht="36.950000000000003" customHeight="1">
      <c r="A13" s="3644" t="s">
        <v>3248</v>
      </c>
      <c r="B13" s="3641" t="s">
        <v>3249</v>
      </c>
      <c r="C13" s="3642">
        <v>772922.01</v>
      </c>
      <c r="D13" s="3645">
        <v>9619239.040000001</v>
      </c>
    </row>
    <row r="14" spans="1:4" ht="36.950000000000003" customHeight="1">
      <c r="A14" s="3640" t="s">
        <v>3250</v>
      </c>
      <c r="B14" s="3641" t="s">
        <v>3251</v>
      </c>
      <c r="C14" s="3645">
        <f>C10-C12-C13</f>
        <v>1154209.4200000004</v>
      </c>
      <c r="D14" s="3645">
        <v>15998732.479999995</v>
      </c>
    </row>
    <row r="15" spans="1:4" ht="40.5" customHeight="1">
      <c r="A15" s="3640" t="s">
        <v>3252</v>
      </c>
      <c r="B15" s="3641" t="s">
        <v>3253</v>
      </c>
      <c r="C15" s="3646"/>
      <c r="D15" s="3647"/>
    </row>
    <row r="16" spans="1:4" ht="31.5" customHeight="1">
      <c r="A16" s="3644" t="s">
        <v>3254</v>
      </c>
      <c r="B16" s="3641" t="s">
        <v>3255</v>
      </c>
      <c r="C16" s="3646"/>
      <c r="D16" s="3647"/>
    </row>
    <row r="17" spans="1:6" ht="36.950000000000003" customHeight="1">
      <c r="A17" s="3644" t="s">
        <v>3256</v>
      </c>
      <c r="B17" s="3641" t="s">
        <v>3257</v>
      </c>
      <c r="C17" s="3646"/>
      <c r="D17" s="3647"/>
    </row>
    <row r="18" spans="1:6" ht="36.950000000000003" customHeight="1">
      <c r="A18" s="3644" t="s">
        <v>3258</v>
      </c>
      <c r="B18" s="3641" t="s">
        <v>3259</v>
      </c>
      <c r="C18" s="3645">
        <f>C14+C15+C16-C17</f>
        <v>1154209.4200000004</v>
      </c>
      <c r="D18" s="3645">
        <v>15998732.479999995</v>
      </c>
    </row>
    <row r="19" spans="1:6" ht="36.950000000000003" customHeight="1">
      <c r="A19" s="3644" t="s">
        <v>3260</v>
      </c>
      <c r="B19" s="3641" t="s">
        <v>3261</v>
      </c>
      <c r="C19" s="3642"/>
      <c r="D19" s="3643"/>
    </row>
    <row r="20" spans="1:6" ht="36.950000000000003" customHeight="1">
      <c r="A20" s="3644" t="s">
        <v>3262</v>
      </c>
      <c r="B20" s="3641" t="s">
        <v>3261</v>
      </c>
      <c r="C20" s="3645">
        <f>C18-C19</f>
        <v>1154209.4200000004</v>
      </c>
      <c r="D20" s="3645">
        <v>15998732.479999995</v>
      </c>
      <c r="F20" s="3655">
        <f>D20+D13</f>
        <v>25617971.519999996</v>
      </c>
    </row>
    <row r="21" spans="1:6" ht="21.95" customHeight="1">
      <c r="A21" s="3648"/>
      <c r="B21" s="3648"/>
      <c r="C21" s="3648"/>
      <c r="D21" s="3648"/>
      <c r="F21" s="3624">
        <f>D6/'数据-基础表'!B3/365</f>
        <v>18.218074169340234</v>
      </c>
    </row>
    <row r="22" spans="1:6" ht="21.95" customHeight="1">
      <c r="A22" s="3649" t="s">
        <v>3263</v>
      </c>
      <c r="B22" s="3649"/>
      <c r="C22" s="3650" t="s">
        <v>3264</v>
      </c>
      <c r="D22" s="3650" t="s">
        <v>3265</v>
      </c>
    </row>
    <row r="23" spans="1:6" ht="15" customHeight="1">
      <c r="A23" s="3651"/>
      <c r="B23" s="3651"/>
      <c r="C23" s="3651"/>
      <c r="D23" s="3651"/>
    </row>
    <row r="24" spans="1:6" ht="15" customHeight="1">
      <c r="A24" s="3651"/>
      <c r="B24" s="3651"/>
      <c r="C24" s="3651"/>
      <c r="D24" s="3651"/>
    </row>
    <row r="25" spans="1:6" ht="15" customHeight="1">
      <c r="A25" s="3651"/>
      <c r="B25" s="3651"/>
      <c r="C25" s="3651"/>
      <c r="D25" s="3651"/>
    </row>
    <row r="26" spans="1:6" ht="15" customHeight="1">
      <c r="A26" s="3651"/>
      <c r="B26" s="3651"/>
      <c r="C26" s="3651"/>
      <c r="D26" s="3651"/>
    </row>
    <row r="27" spans="1:6" ht="15" customHeight="1">
      <c r="A27" s="3651"/>
      <c r="B27" s="3651"/>
      <c r="C27" s="3651"/>
      <c r="D27" s="3651"/>
    </row>
    <row r="28" spans="1:6" ht="15" customHeight="1">
      <c r="A28" s="3651"/>
      <c r="B28" s="3651"/>
      <c r="C28" s="3651"/>
      <c r="D28" s="3651"/>
    </row>
    <row r="29" spans="1:6" ht="15" customHeight="1">
      <c r="A29" s="3651"/>
      <c r="B29" s="3651"/>
      <c r="C29" s="3651"/>
      <c r="D29" s="3651"/>
    </row>
    <row r="30" spans="1:6" ht="15" customHeight="1">
      <c r="A30" s="3651"/>
      <c r="B30" s="3651"/>
      <c r="C30" s="3651"/>
      <c r="D30" s="3651"/>
    </row>
    <row r="31" spans="1:6" ht="15" customHeight="1">
      <c r="A31" s="3651"/>
      <c r="B31" s="3651"/>
      <c r="C31" s="3651"/>
      <c r="D31" s="3651"/>
    </row>
    <row r="32" spans="1:6" ht="15" customHeight="1">
      <c r="A32" s="3651"/>
      <c r="B32" s="3651"/>
      <c r="C32" s="3651"/>
      <c r="D32" s="3651"/>
    </row>
    <row r="33" spans="1:4" ht="15" customHeight="1">
      <c r="A33" s="3651"/>
      <c r="B33" s="3651"/>
      <c r="C33" s="3651"/>
      <c r="D33" s="3651"/>
    </row>
    <row r="34" spans="1:4" ht="15" customHeight="1">
      <c r="A34" s="3651"/>
      <c r="B34" s="3651"/>
      <c r="C34" s="3651"/>
      <c r="D34" s="3651"/>
    </row>
    <row r="35" spans="1:4" ht="15" customHeight="1">
      <c r="A35" s="3651"/>
      <c r="B35" s="3651"/>
      <c r="C35" s="3651"/>
      <c r="D35" s="3651"/>
    </row>
    <row r="36" spans="1:4" ht="15" customHeight="1">
      <c r="A36" s="3651"/>
      <c r="B36" s="3651"/>
      <c r="C36" s="3651"/>
      <c r="D36" s="3651"/>
    </row>
    <row r="37" spans="1:4" ht="15" customHeight="1">
      <c r="A37" s="3651"/>
      <c r="B37" s="3651"/>
      <c r="C37" s="3651"/>
      <c r="D37" s="3651"/>
    </row>
    <row r="38" spans="1:4" ht="15" customHeight="1">
      <c r="A38" s="3651"/>
      <c r="B38" s="3651"/>
      <c r="C38" s="3651"/>
      <c r="D38" s="3651"/>
    </row>
    <row r="39" spans="1:4" ht="15" customHeight="1">
      <c r="A39" s="3651"/>
      <c r="B39" s="3651"/>
      <c r="C39" s="3651"/>
      <c r="D39" s="3651"/>
    </row>
    <row r="40" spans="1:4" ht="15" customHeight="1">
      <c r="A40" s="3651"/>
      <c r="B40" s="3651"/>
      <c r="C40" s="3651"/>
      <c r="D40" s="3651"/>
    </row>
    <row r="41" spans="1:4" ht="15" customHeight="1">
      <c r="A41" s="3651"/>
      <c r="B41" s="3651"/>
      <c r="C41" s="3651"/>
      <c r="D41" s="3651"/>
    </row>
    <row r="42" spans="1:4" ht="15" customHeight="1">
      <c r="A42" s="3651"/>
      <c r="B42" s="3651"/>
      <c r="C42" s="3651"/>
      <c r="D42" s="3651"/>
    </row>
    <row r="43" spans="1:4" ht="15" customHeight="1">
      <c r="A43" s="3651"/>
      <c r="B43" s="3651"/>
      <c r="C43" s="3651"/>
      <c r="D43" s="3651"/>
    </row>
    <row r="44" spans="1:4" ht="15" customHeight="1">
      <c r="A44" s="3651"/>
      <c r="B44" s="3651"/>
      <c r="C44" s="3651"/>
      <c r="D44" s="3651"/>
    </row>
    <row r="45" spans="1:4" ht="15" customHeight="1">
      <c r="A45" s="3651"/>
      <c r="B45" s="3651"/>
      <c r="C45" s="3651"/>
      <c r="D45" s="3651"/>
    </row>
    <row r="46" spans="1:4" ht="15" customHeight="1">
      <c r="A46" s="3651"/>
      <c r="B46" s="3651"/>
      <c r="C46" s="3651"/>
      <c r="D46" s="3651"/>
    </row>
    <row r="47" spans="1:4" ht="15" customHeight="1">
      <c r="A47" s="3651"/>
      <c r="B47" s="3651"/>
      <c r="C47" s="3651"/>
      <c r="D47" s="3651"/>
    </row>
    <row r="48" spans="1:4" ht="15" customHeight="1">
      <c r="A48" s="3651"/>
      <c r="B48" s="3651"/>
      <c r="C48" s="3651"/>
      <c r="D48" s="3651"/>
    </row>
    <row r="49" spans="1:4" ht="15" customHeight="1">
      <c r="A49" s="3651"/>
      <c r="B49" s="3651"/>
      <c r="C49" s="3651"/>
      <c r="D49" s="3651"/>
    </row>
    <row r="50" spans="1:4" ht="15" customHeight="1">
      <c r="A50" s="3651"/>
      <c r="B50" s="3651"/>
      <c r="C50" s="3651"/>
      <c r="D50" s="3651"/>
    </row>
    <row r="51" spans="1:4" ht="15" customHeight="1">
      <c r="A51" s="3651"/>
      <c r="B51" s="3651"/>
      <c r="C51" s="3651"/>
      <c r="D51" s="3651"/>
    </row>
    <row r="52" spans="1:4" ht="15" customHeight="1">
      <c r="A52" s="3651"/>
      <c r="B52" s="3651"/>
      <c r="C52" s="3651"/>
      <c r="D52" s="3651"/>
    </row>
    <row r="53" spans="1:4" ht="15" customHeight="1">
      <c r="A53" s="3651"/>
      <c r="B53" s="3651"/>
      <c r="C53" s="3651"/>
      <c r="D53" s="3651"/>
    </row>
    <row r="54" spans="1:4" ht="15" customHeight="1">
      <c r="A54" s="3652"/>
      <c r="B54" s="3652"/>
      <c r="C54" s="3652"/>
      <c r="D54" s="3652"/>
    </row>
    <row r="55" spans="1:4" ht="15" customHeight="1">
      <c r="A55" s="3652"/>
      <c r="B55" s="3652"/>
      <c r="C55" s="3652"/>
      <c r="D55" s="3652"/>
    </row>
  </sheetData>
  <mergeCells count="2">
    <mergeCell ref="A1:D1"/>
    <mergeCell ref="A22:B22"/>
  </mergeCells>
  <phoneticPr fontId="140" type="noConversion"/>
  <pageMargins left="0.7" right="0.7" top="0.75" bottom="0.75" header="0.3" footer="0.3"/>
  <pageSetup paperSize="9" orientation="portrait" horizontalDpi="180" verticalDpi="1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2022年6月13日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zoomScaleSheetLayoutView="100" workbookViewId="0">
      <selection activeCell="F20" sqref="F20"/>
    </sheetView>
  </sheetViews>
  <sheetFormatPr defaultColWidth="9" defaultRowHeight="14.25"/>
  <cols>
    <col min="1" max="1" width="38.375" style="3624" customWidth="1"/>
    <col min="2" max="2" width="10.125" style="3624" customWidth="1"/>
    <col min="3" max="3" width="16.25" style="3624" customWidth="1"/>
    <col min="4" max="4" width="17.25" style="3624" customWidth="1"/>
    <col min="5" max="256" width="9" style="3624"/>
    <col min="257" max="257" width="38.375" style="3624" customWidth="1"/>
    <col min="258" max="258" width="10.125" style="3624" customWidth="1"/>
    <col min="259" max="259" width="16.25" style="3624" customWidth="1"/>
    <col min="260" max="260" width="17.25" style="3624" customWidth="1"/>
    <col min="261" max="512" width="9" style="3624"/>
    <col min="513" max="513" width="38.375" style="3624" customWidth="1"/>
    <col min="514" max="514" width="10.125" style="3624" customWidth="1"/>
    <col min="515" max="515" width="16.25" style="3624" customWidth="1"/>
    <col min="516" max="516" width="17.25" style="3624" customWidth="1"/>
    <col min="517" max="768" width="9" style="3624"/>
    <col min="769" max="769" width="38.375" style="3624" customWidth="1"/>
    <col min="770" max="770" width="10.125" style="3624" customWidth="1"/>
    <col min="771" max="771" width="16.25" style="3624" customWidth="1"/>
    <col min="772" max="772" width="17.25" style="3624" customWidth="1"/>
    <col min="773" max="1024" width="9" style="3624"/>
    <col min="1025" max="1025" width="38.375" style="3624" customWidth="1"/>
    <col min="1026" max="1026" width="10.125" style="3624" customWidth="1"/>
    <col min="1027" max="1027" width="16.25" style="3624" customWidth="1"/>
    <col min="1028" max="1028" width="17.25" style="3624" customWidth="1"/>
    <col min="1029" max="1280" width="9" style="3624"/>
    <col min="1281" max="1281" width="38.375" style="3624" customWidth="1"/>
    <col min="1282" max="1282" width="10.125" style="3624" customWidth="1"/>
    <col min="1283" max="1283" width="16.25" style="3624" customWidth="1"/>
    <col min="1284" max="1284" width="17.25" style="3624" customWidth="1"/>
    <col min="1285" max="1536" width="9" style="3624"/>
    <col min="1537" max="1537" width="38.375" style="3624" customWidth="1"/>
    <col min="1538" max="1538" width="10.125" style="3624" customWidth="1"/>
    <col min="1539" max="1539" width="16.25" style="3624" customWidth="1"/>
    <col min="1540" max="1540" width="17.25" style="3624" customWidth="1"/>
    <col min="1541" max="1792" width="9" style="3624"/>
    <col min="1793" max="1793" width="38.375" style="3624" customWidth="1"/>
    <col min="1794" max="1794" width="10.125" style="3624" customWidth="1"/>
    <col min="1795" max="1795" width="16.25" style="3624" customWidth="1"/>
    <col min="1796" max="1796" width="17.25" style="3624" customWidth="1"/>
    <col min="1797" max="2048" width="9" style="3624"/>
    <col min="2049" max="2049" width="38.375" style="3624" customWidth="1"/>
    <col min="2050" max="2050" width="10.125" style="3624" customWidth="1"/>
    <col min="2051" max="2051" width="16.25" style="3624" customWidth="1"/>
    <col min="2052" max="2052" width="17.25" style="3624" customWidth="1"/>
    <col min="2053" max="2304" width="9" style="3624"/>
    <col min="2305" max="2305" width="38.375" style="3624" customWidth="1"/>
    <col min="2306" max="2306" width="10.125" style="3624" customWidth="1"/>
    <col min="2307" max="2307" width="16.25" style="3624" customWidth="1"/>
    <col min="2308" max="2308" width="17.25" style="3624" customWidth="1"/>
    <col min="2309" max="2560" width="9" style="3624"/>
    <col min="2561" max="2561" width="38.375" style="3624" customWidth="1"/>
    <col min="2562" max="2562" width="10.125" style="3624" customWidth="1"/>
    <col min="2563" max="2563" width="16.25" style="3624" customWidth="1"/>
    <col min="2564" max="2564" width="17.25" style="3624" customWidth="1"/>
    <col min="2565" max="2816" width="9" style="3624"/>
    <col min="2817" max="2817" width="38.375" style="3624" customWidth="1"/>
    <col min="2818" max="2818" width="10.125" style="3624" customWidth="1"/>
    <col min="2819" max="2819" width="16.25" style="3624" customWidth="1"/>
    <col min="2820" max="2820" width="17.25" style="3624" customWidth="1"/>
    <col min="2821" max="3072" width="9" style="3624"/>
    <col min="3073" max="3073" width="38.375" style="3624" customWidth="1"/>
    <col min="3074" max="3074" width="10.125" style="3624" customWidth="1"/>
    <col min="3075" max="3075" width="16.25" style="3624" customWidth="1"/>
    <col min="3076" max="3076" width="17.25" style="3624" customWidth="1"/>
    <col min="3077" max="3328" width="9" style="3624"/>
    <col min="3329" max="3329" width="38.375" style="3624" customWidth="1"/>
    <col min="3330" max="3330" width="10.125" style="3624" customWidth="1"/>
    <col min="3331" max="3331" width="16.25" style="3624" customWidth="1"/>
    <col min="3332" max="3332" width="17.25" style="3624" customWidth="1"/>
    <col min="3333" max="3584" width="9" style="3624"/>
    <col min="3585" max="3585" width="38.375" style="3624" customWidth="1"/>
    <col min="3586" max="3586" width="10.125" style="3624" customWidth="1"/>
    <col min="3587" max="3587" width="16.25" style="3624" customWidth="1"/>
    <col min="3588" max="3588" width="17.25" style="3624" customWidth="1"/>
    <col min="3589" max="3840" width="9" style="3624"/>
    <col min="3841" max="3841" width="38.375" style="3624" customWidth="1"/>
    <col min="3842" max="3842" width="10.125" style="3624" customWidth="1"/>
    <col min="3843" max="3843" width="16.25" style="3624" customWidth="1"/>
    <col min="3844" max="3844" width="17.25" style="3624" customWidth="1"/>
    <col min="3845" max="4096" width="9" style="3624"/>
    <col min="4097" max="4097" width="38.375" style="3624" customWidth="1"/>
    <col min="4098" max="4098" width="10.125" style="3624" customWidth="1"/>
    <col min="4099" max="4099" width="16.25" style="3624" customWidth="1"/>
    <col min="4100" max="4100" width="17.25" style="3624" customWidth="1"/>
    <col min="4101" max="4352" width="9" style="3624"/>
    <col min="4353" max="4353" width="38.375" style="3624" customWidth="1"/>
    <col min="4354" max="4354" width="10.125" style="3624" customWidth="1"/>
    <col min="4355" max="4355" width="16.25" style="3624" customWidth="1"/>
    <col min="4356" max="4356" width="17.25" style="3624" customWidth="1"/>
    <col min="4357" max="4608" width="9" style="3624"/>
    <col min="4609" max="4609" width="38.375" style="3624" customWidth="1"/>
    <col min="4610" max="4610" width="10.125" style="3624" customWidth="1"/>
    <col min="4611" max="4611" width="16.25" style="3624" customWidth="1"/>
    <col min="4612" max="4612" width="17.25" style="3624" customWidth="1"/>
    <col min="4613" max="4864" width="9" style="3624"/>
    <col min="4865" max="4865" width="38.375" style="3624" customWidth="1"/>
    <col min="4866" max="4866" width="10.125" style="3624" customWidth="1"/>
    <col min="4867" max="4867" width="16.25" style="3624" customWidth="1"/>
    <col min="4868" max="4868" width="17.25" style="3624" customWidth="1"/>
    <col min="4869" max="5120" width="9" style="3624"/>
    <col min="5121" max="5121" width="38.375" style="3624" customWidth="1"/>
    <col min="5122" max="5122" width="10.125" style="3624" customWidth="1"/>
    <col min="5123" max="5123" width="16.25" style="3624" customWidth="1"/>
    <col min="5124" max="5124" width="17.25" style="3624" customWidth="1"/>
    <col min="5125" max="5376" width="9" style="3624"/>
    <col min="5377" max="5377" width="38.375" style="3624" customWidth="1"/>
    <col min="5378" max="5378" width="10.125" style="3624" customWidth="1"/>
    <col min="5379" max="5379" width="16.25" style="3624" customWidth="1"/>
    <col min="5380" max="5380" width="17.25" style="3624" customWidth="1"/>
    <col min="5381" max="5632" width="9" style="3624"/>
    <col min="5633" max="5633" width="38.375" style="3624" customWidth="1"/>
    <col min="5634" max="5634" width="10.125" style="3624" customWidth="1"/>
    <col min="5635" max="5635" width="16.25" style="3624" customWidth="1"/>
    <col min="5636" max="5636" width="17.25" style="3624" customWidth="1"/>
    <col min="5637" max="5888" width="9" style="3624"/>
    <col min="5889" max="5889" width="38.375" style="3624" customWidth="1"/>
    <col min="5890" max="5890" width="10.125" style="3624" customWidth="1"/>
    <col min="5891" max="5891" width="16.25" style="3624" customWidth="1"/>
    <col min="5892" max="5892" width="17.25" style="3624" customWidth="1"/>
    <col min="5893" max="6144" width="9" style="3624"/>
    <col min="6145" max="6145" width="38.375" style="3624" customWidth="1"/>
    <col min="6146" max="6146" width="10.125" style="3624" customWidth="1"/>
    <col min="6147" max="6147" width="16.25" style="3624" customWidth="1"/>
    <col min="6148" max="6148" width="17.25" style="3624" customWidth="1"/>
    <col min="6149" max="6400" width="9" style="3624"/>
    <col min="6401" max="6401" width="38.375" style="3624" customWidth="1"/>
    <col min="6402" max="6402" width="10.125" style="3624" customWidth="1"/>
    <col min="6403" max="6403" width="16.25" style="3624" customWidth="1"/>
    <col min="6404" max="6404" width="17.25" style="3624" customWidth="1"/>
    <col min="6405" max="6656" width="9" style="3624"/>
    <col min="6657" max="6657" width="38.375" style="3624" customWidth="1"/>
    <col min="6658" max="6658" width="10.125" style="3624" customWidth="1"/>
    <col min="6659" max="6659" width="16.25" style="3624" customWidth="1"/>
    <col min="6660" max="6660" width="17.25" style="3624" customWidth="1"/>
    <col min="6661" max="6912" width="9" style="3624"/>
    <col min="6913" max="6913" width="38.375" style="3624" customWidth="1"/>
    <col min="6914" max="6914" width="10.125" style="3624" customWidth="1"/>
    <col min="6915" max="6915" width="16.25" style="3624" customWidth="1"/>
    <col min="6916" max="6916" width="17.25" style="3624" customWidth="1"/>
    <col min="6917" max="7168" width="9" style="3624"/>
    <col min="7169" max="7169" width="38.375" style="3624" customWidth="1"/>
    <col min="7170" max="7170" width="10.125" style="3624" customWidth="1"/>
    <col min="7171" max="7171" width="16.25" style="3624" customWidth="1"/>
    <col min="7172" max="7172" width="17.25" style="3624" customWidth="1"/>
    <col min="7173" max="7424" width="9" style="3624"/>
    <col min="7425" max="7425" width="38.375" style="3624" customWidth="1"/>
    <col min="7426" max="7426" width="10.125" style="3624" customWidth="1"/>
    <col min="7427" max="7427" width="16.25" style="3624" customWidth="1"/>
    <col min="7428" max="7428" width="17.25" style="3624" customWidth="1"/>
    <col min="7429" max="7680" width="9" style="3624"/>
    <col min="7681" max="7681" width="38.375" style="3624" customWidth="1"/>
    <col min="7682" max="7682" width="10.125" style="3624" customWidth="1"/>
    <col min="7683" max="7683" width="16.25" style="3624" customWidth="1"/>
    <col min="7684" max="7684" width="17.25" style="3624" customWidth="1"/>
    <col min="7685" max="7936" width="9" style="3624"/>
    <col min="7937" max="7937" width="38.375" style="3624" customWidth="1"/>
    <col min="7938" max="7938" width="10.125" style="3624" customWidth="1"/>
    <col min="7939" max="7939" width="16.25" style="3624" customWidth="1"/>
    <col min="7940" max="7940" width="17.25" style="3624" customWidth="1"/>
    <col min="7941" max="8192" width="9" style="3624"/>
    <col min="8193" max="8193" width="38.375" style="3624" customWidth="1"/>
    <col min="8194" max="8194" width="10.125" style="3624" customWidth="1"/>
    <col min="8195" max="8195" width="16.25" style="3624" customWidth="1"/>
    <col min="8196" max="8196" width="17.25" style="3624" customWidth="1"/>
    <col min="8197" max="8448" width="9" style="3624"/>
    <col min="8449" max="8449" width="38.375" style="3624" customWidth="1"/>
    <col min="8450" max="8450" width="10.125" style="3624" customWidth="1"/>
    <col min="8451" max="8451" width="16.25" style="3624" customWidth="1"/>
    <col min="8452" max="8452" width="17.25" style="3624" customWidth="1"/>
    <col min="8453" max="8704" width="9" style="3624"/>
    <col min="8705" max="8705" width="38.375" style="3624" customWidth="1"/>
    <col min="8706" max="8706" width="10.125" style="3624" customWidth="1"/>
    <col min="8707" max="8707" width="16.25" style="3624" customWidth="1"/>
    <col min="8708" max="8708" width="17.25" style="3624" customWidth="1"/>
    <col min="8709" max="8960" width="9" style="3624"/>
    <col min="8961" max="8961" width="38.375" style="3624" customWidth="1"/>
    <col min="8962" max="8962" width="10.125" style="3624" customWidth="1"/>
    <col min="8963" max="8963" width="16.25" style="3624" customWidth="1"/>
    <col min="8964" max="8964" width="17.25" style="3624" customWidth="1"/>
    <col min="8965" max="9216" width="9" style="3624"/>
    <col min="9217" max="9217" width="38.375" style="3624" customWidth="1"/>
    <col min="9218" max="9218" width="10.125" style="3624" customWidth="1"/>
    <col min="9219" max="9219" width="16.25" style="3624" customWidth="1"/>
    <col min="9220" max="9220" width="17.25" style="3624" customWidth="1"/>
    <col min="9221" max="9472" width="9" style="3624"/>
    <col min="9473" max="9473" width="38.375" style="3624" customWidth="1"/>
    <col min="9474" max="9474" width="10.125" style="3624" customWidth="1"/>
    <col min="9475" max="9475" width="16.25" style="3624" customWidth="1"/>
    <col min="9476" max="9476" width="17.25" style="3624" customWidth="1"/>
    <col min="9477" max="9728" width="9" style="3624"/>
    <col min="9729" max="9729" width="38.375" style="3624" customWidth="1"/>
    <col min="9730" max="9730" width="10.125" style="3624" customWidth="1"/>
    <col min="9731" max="9731" width="16.25" style="3624" customWidth="1"/>
    <col min="9732" max="9732" width="17.25" style="3624" customWidth="1"/>
    <col min="9733" max="9984" width="9" style="3624"/>
    <col min="9985" max="9985" width="38.375" style="3624" customWidth="1"/>
    <col min="9986" max="9986" width="10.125" style="3624" customWidth="1"/>
    <col min="9987" max="9987" width="16.25" style="3624" customWidth="1"/>
    <col min="9988" max="9988" width="17.25" style="3624" customWidth="1"/>
    <col min="9989" max="10240" width="9" style="3624"/>
    <col min="10241" max="10241" width="38.375" style="3624" customWidth="1"/>
    <col min="10242" max="10242" width="10.125" style="3624" customWidth="1"/>
    <col min="10243" max="10243" width="16.25" style="3624" customWidth="1"/>
    <col min="10244" max="10244" width="17.25" style="3624" customWidth="1"/>
    <col min="10245" max="10496" width="9" style="3624"/>
    <col min="10497" max="10497" width="38.375" style="3624" customWidth="1"/>
    <col min="10498" max="10498" width="10.125" style="3624" customWidth="1"/>
    <col min="10499" max="10499" width="16.25" style="3624" customWidth="1"/>
    <col min="10500" max="10500" width="17.25" style="3624" customWidth="1"/>
    <col min="10501" max="10752" width="9" style="3624"/>
    <col min="10753" max="10753" width="38.375" style="3624" customWidth="1"/>
    <col min="10754" max="10754" width="10.125" style="3624" customWidth="1"/>
    <col min="10755" max="10755" width="16.25" style="3624" customWidth="1"/>
    <col min="10756" max="10756" width="17.25" style="3624" customWidth="1"/>
    <col min="10757" max="11008" width="9" style="3624"/>
    <col min="11009" max="11009" width="38.375" style="3624" customWidth="1"/>
    <col min="11010" max="11010" width="10.125" style="3624" customWidth="1"/>
    <col min="11011" max="11011" width="16.25" style="3624" customWidth="1"/>
    <col min="11012" max="11012" width="17.25" style="3624" customWidth="1"/>
    <col min="11013" max="11264" width="9" style="3624"/>
    <col min="11265" max="11265" width="38.375" style="3624" customWidth="1"/>
    <col min="11266" max="11266" width="10.125" style="3624" customWidth="1"/>
    <col min="11267" max="11267" width="16.25" style="3624" customWidth="1"/>
    <col min="11268" max="11268" width="17.25" style="3624" customWidth="1"/>
    <col min="11269" max="11520" width="9" style="3624"/>
    <col min="11521" max="11521" width="38.375" style="3624" customWidth="1"/>
    <col min="11522" max="11522" width="10.125" style="3624" customWidth="1"/>
    <col min="11523" max="11523" width="16.25" style="3624" customWidth="1"/>
    <col min="11524" max="11524" width="17.25" style="3624" customWidth="1"/>
    <col min="11525" max="11776" width="9" style="3624"/>
    <col min="11777" max="11777" width="38.375" style="3624" customWidth="1"/>
    <col min="11778" max="11778" width="10.125" style="3624" customWidth="1"/>
    <col min="11779" max="11779" width="16.25" style="3624" customWidth="1"/>
    <col min="11780" max="11780" width="17.25" style="3624" customWidth="1"/>
    <col min="11781" max="12032" width="9" style="3624"/>
    <col min="12033" max="12033" width="38.375" style="3624" customWidth="1"/>
    <col min="12034" max="12034" width="10.125" style="3624" customWidth="1"/>
    <col min="12035" max="12035" width="16.25" style="3624" customWidth="1"/>
    <col min="12036" max="12036" width="17.25" style="3624" customWidth="1"/>
    <col min="12037" max="12288" width="9" style="3624"/>
    <col min="12289" max="12289" width="38.375" style="3624" customWidth="1"/>
    <col min="12290" max="12290" width="10.125" style="3624" customWidth="1"/>
    <col min="12291" max="12291" width="16.25" style="3624" customWidth="1"/>
    <col min="12292" max="12292" width="17.25" style="3624" customWidth="1"/>
    <col min="12293" max="12544" width="9" style="3624"/>
    <col min="12545" max="12545" width="38.375" style="3624" customWidth="1"/>
    <col min="12546" max="12546" width="10.125" style="3624" customWidth="1"/>
    <col min="12547" max="12547" width="16.25" style="3624" customWidth="1"/>
    <col min="12548" max="12548" width="17.25" style="3624" customWidth="1"/>
    <col min="12549" max="12800" width="9" style="3624"/>
    <col min="12801" max="12801" width="38.375" style="3624" customWidth="1"/>
    <col min="12802" max="12802" width="10.125" style="3624" customWidth="1"/>
    <col min="12803" max="12803" width="16.25" style="3624" customWidth="1"/>
    <col min="12804" max="12804" width="17.25" style="3624" customWidth="1"/>
    <col min="12805" max="13056" width="9" style="3624"/>
    <col min="13057" max="13057" width="38.375" style="3624" customWidth="1"/>
    <col min="13058" max="13058" width="10.125" style="3624" customWidth="1"/>
    <col min="13059" max="13059" width="16.25" style="3624" customWidth="1"/>
    <col min="13060" max="13060" width="17.25" style="3624" customWidth="1"/>
    <col min="13061" max="13312" width="9" style="3624"/>
    <col min="13313" max="13313" width="38.375" style="3624" customWidth="1"/>
    <col min="13314" max="13314" width="10.125" style="3624" customWidth="1"/>
    <col min="13315" max="13315" width="16.25" style="3624" customWidth="1"/>
    <col min="13316" max="13316" width="17.25" style="3624" customWidth="1"/>
    <col min="13317" max="13568" width="9" style="3624"/>
    <col min="13569" max="13569" width="38.375" style="3624" customWidth="1"/>
    <col min="13570" max="13570" width="10.125" style="3624" customWidth="1"/>
    <col min="13571" max="13571" width="16.25" style="3624" customWidth="1"/>
    <col min="13572" max="13572" width="17.25" style="3624" customWidth="1"/>
    <col min="13573" max="13824" width="9" style="3624"/>
    <col min="13825" max="13825" width="38.375" style="3624" customWidth="1"/>
    <col min="13826" max="13826" width="10.125" style="3624" customWidth="1"/>
    <col min="13827" max="13827" width="16.25" style="3624" customWidth="1"/>
    <col min="13828" max="13828" width="17.25" style="3624" customWidth="1"/>
    <col min="13829" max="14080" width="9" style="3624"/>
    <col min="14081" max="14081" width="38.375" style="3624" customWidth="1"/>
    <col min="14082" max="14082" width="10.125" style="3624" customWidth="1"/>
    <col min="14083" max="14083" width="16.25" style="3624" customWidth="1"/>
    <col min="14084" max="14084" width="17.25" style="3624" customWidth="1"/>
    <col min="14085" max="14336" width="9" style="3624"/>
    <col min="14337" max="14337" width="38.375" style="3624" customWidth="1"/>
    <col min="14338" max="14338" width="10.125" style="3624" customWidth="1"/>
    <col min="14339" max="14339" width="16.25" style="3624" customWidth="1"/>
    <col min="14340" max="14340" width="17.25" style="3624" customWidth="1"/>
    <col min="14341" max="14592" width="9" style="3624"/>
    <col min="14593" max="14593" width="38.375" style="3624" customWidth="1"/>
    <col min="14594" max="14594" width="10.125" style="3624" customWidth="1"/>
    <col min="14595" max="14595" width="16.25" style="3624" customWidth="1"/>
    <col min="14596" max="14596" width="17.25" style="3624" customWidth="1"/>
    <col min="14597" max="14848" width="9" style="3624"/>
    <col min="14849" max="14849" width="38.375" style="3624" customWidth="1"/>
    <col min="14850" max="14850" width="10.125" style="3624" customWidth="1"/>
    <col min="14851" max="14851" width="16.25" style="3624" customWidth="1"/>
    <col min="14852" max="14852" width="17.25" style="3624" customWidth="1"/>
    <col min="14853" max="15104" width="9" style="3624"/>
    <col min="15105" max="15105" width="38.375" style="3624" customWidth="1"/>
    <col min="15106" max="15106" width="10.125" style="3624" customWidth="1"/>
    <col min="15107" max="15107" width="16.25" style="3624" customWidth="1"/>
    <col min="15108" max="15108" width="17.25" style="3624" customWidth="1"/>
    <col min="15109" max="15360" width="9" style="3624"/>
    <col min="15361" max="15361" width="38.375" style="3624" customWidth="1"/>
    <col min="15362" max="15362" width="10.125" style="3624" customWidth="1"/>
    <col min="15363" max="15363" width="16.25" style="3624" customWidth="1"/>
    <col min="15364" max="15364" width="17.25" style="3624" customWidth="1"/>
    <col min="15365" max="15616" width="9" style="3624"/>
    <col min="15617" max="15617" width="38.375" style="3624" customWidth="1"/>
    <col min="15618" max="15618" width="10.125" style="3624" customWidth="1"/>
    <col min="15619" max="15619" width="16.25" style="3624" customWidth="1"/>
    <col min="15620" max="15620" width="17.25" style="3624" customWidth="1"/>
    <col min="15621" max="15872" width="9" style="3624"/>
    <col min="15873" max="15873" width="38.375" style="3624" customWidth="1"/>
    <col min="15874" max="15874" width="10.125" style="3624" customWidth="1"/>
    <col min="15875" max="15875" width="16.25" style="3624" customWidth="1"/>
    <col min="15876" max="15876" width="17.25" style="3624" customWidth="1"/>
    <col min="15877" max="16128" width="9" style="3624"/>
    <col min="16129" max="16129" width="38.375" style="3624" customWidth="1"/>
    <col min="16130" max="16130" width="10.125" style="3624" customWidth="1"/>
    <col min="16131" max="16131" width="16.25" style="3624" customWidth="1"/>
    <col min="16132" max="16132" width="17.25" style="3624" customWidth="1"/>
    <col min="16133" max="16384" width="9" style="3624"/>
  </cols>
  <sheetData>
    <row r="1" spans="1:4" ht="35.1" customHeight="1">
      <c r="A1" s="3628" t="s">
        <v>3224</v>
      </c>
      <c r="B1" s="3628"/>
      <c r="C1" s="3628"/>
      <c r="D1" s="3628"/>
    </row>
    <row r="2" spans="1:4" ht="30.95" customHeight="1">
      <c r="A2" s="3629" t="s">
        <v>3225</v>
      </c>
      <c r="B2" s="3630" t="s">
        <v>3269</v>
      </c>
      <c r="C2" s="3631" t="s">
        <v>3227</v>
      </c>
      <c r="D2" s="3632" t="s">
        <v>3228</v>
      </c>
    </row>
    <row r="3" spans="1:4" hidden="1">
      <c r="A3" s="3633"/>
      <c r="B3" s="3634"/>
      <c r="C3" s="3633"/>
      <c r="D3" s="3635" t="s">
        <v>3268</v>
      </c>
    </row>
    <row r="4" spans="1:4" ht="17.100000000000001" customHeight="1">
      <c r="A4" s="3636"/>
      <c r="B4" s="3637"/>
      <c r="C4" s="3636"/>
      <c r="D4" s="3638" t="s">
        <v>3229</v>
      </c>
    </row>
    <row r="5" spans="1:4" ht="36.950000000000003" customHeight="1">
      <c r="A5" s="3639" t="s">
        <v>3230</v>
      </c>
      <c r="B5" s="3639" t="s">
        <v>3231</v>
      </c>
      <c r="C5" s="3639" t="s">
        <v>3232</v>
      </c>
      <c r="D5" s="3639" t="s">
        <v>3233</v>
      </c>
    </row>
    <row r="6" spans="1:4" ht="36.950000000000003" customHeight="1">
      <c r="A6" s="3640" t="s">
        <v>3234</v>
      </c>
      <c r="B6" s="3641" t="s">
        <v>3235</v>
      </c>
      <c r="C6" s="3642">
        <v>2287036.98</v>
      </c>
      <c r="D6" s="3643">
        <v>18413651.449999999</v>
      </c>
    </row>
    <row r="7" spans="1:4" ht="36.950000000000003" customHeight="1">
      <c r="A7" s="3644" t="s">
        <v>3236</v>
      </c>
      <c r="B7" s="3641" t="s">
        <v>3237</v>
      </c>
      <c r="C7" s="3642">
        <v>445883.2</v>
      </c>
      <c r="D7" s="3643">
        <v>4287842.1099999994</v>
      </c>
    </row>
    <row r="8" spans="1:4" ht="36.950000000000003" customHeight="1">
      <c r="A8" s="3644" t="s">
        <v>3238</v>
      </c>
      <c r="B8" s="3641" t="s">
        <v>3239</v>
      </c>
      <c r="C8" s="3642">
        <v>607289.44999999995</v>
      </c>
      <c r="D8" s="3643">
        <v>6584586.5300000003</v>
      </c>
    </row>
    <row r="9" spans="1:4" ht="36.950000000000003" customHeight="1">
      <c r="A9" s="3644" t="s">
        <v>3240</v>
      </c>
      <c r="B9" s="3641" t="s">
        <v>3241</v>
      </c>
      <c r="C9" s="3642">
        <v>23464.42</v>
      </c>
      <c r="D9" s="3643">
        <v>283667.98000000004</v>
      </c>
    </row>
    <row r="10" spans="1:4" ht="36.950000000000003" customHeight="1">
      <c r="A10" s="3640" t="s">
        <v>3242</v>
      </c>
      <c r="B10" s="3641" t="s">
        <v>3243</v>
      </c>
      <c r="C10" s="3645">
        <f>C6-C7-C8-C9</f>
        <v>1210399.9100000001</v>
      </c>
      <c r="D10" s="3645">
        <v>7257554.8299999991</v>
      </c>
    </row>
    <row r="11" spans="1:4" ht="27" customHeight="1">
      <c r="A11" s="3644" t="s">
        <v>3244</v>
      </c>
      <c r="B11" s="3641" t="s">
        <v>3245</v>
      </c>
      <c r="C11" s="3646"/>
      <c r="D11" s="3647"/>
    </row>
    <row r="12" spans="1:4" ht="36.950000000000003" customHeight="1">
      <c r="A12" s="3644" t="s">
        <v>3246</v>
      </c>
      <c r="B12" s="3641" t="s">
        <v>3247</v>
      </c>
      <c r="C12" s="3642">
        <v>12788.49</v>
      </c>
      <c r="D12" s="3645">
        <v>1277476.53</v>
      </c>
    </row>
    <row r="13" spans="1:4" ht="36.950000000000003" customHeight="1">
      <c r="A13" s="3644" t="s">
        <v>3248</v>
      </c>
      <c r="B13" s="3641" t="s">
        <v>3249</v>
      </c>
      <c r="C13" s="3642">
        <v>751321.14</v>
      </c>
      <c r="D13" s="3645">
        <v>8860181.6000000015</v>
      </c>
    </row>
    <row r="14" spans="1:4" ht="36.950000000000003" customHeight="1">
      <c r="A14" s="3640" t="s">
        <v>3250</v>
      </c>
      <c r="B14" s="3641" t="s">
        <v>3251</v>
      </c>
      <c r="C14" s="3645">
        <f>C10-C12-C13</f>
        <v>446290.28000000014</v>
      </c>
      <c r="D14" s="3645">
        <v>-2880103.3000000026</v>
      </c>
    </row>
    <row r="15" spans="1:4" ht="40.5" customHeight="1">
      <c r="A15" s="3640" t="s">
        <v>3252</v>
      </c>
      <c r="B15" s="3641" t="s">
        <v>3253</v>
      </c>
      <c r="C15" s="3646"/>
      <c r="D15" s="3647"/>
    </row>
    <row r="16" spans="1:4" ht="31.5" customHeight="1">
      <c r="A16" s="3644" t="s">
        <v>3254</v>
      </c>
      <c r="B16" s="3641" t="s">
        <v>3255</v>
      </c>
      <c r="C16" s="3646"/>
      <c r="D16" s="3647"/>
    </row>
    <row r="17" spans="1:4" ht="36.950000000000003" customHeight="1">
      <c r="A17" s="3644" t="s">
        <v>3256</v>
      </c>
      <c r="B17" s="3641" t="s">
        <v>3257</v>
      </c>
      <c r="C17" s="3646"/>
      <c r="D17" s="3647"/>
    </row>
    <row r="18" spans="1:4" ht="36.950000000000003" customHeight="1">
      <c r="A18" s="3644" t="s">
        <v>3258</v>
      </c>
      <c r="B18" s="3641" t="s">
        <v>3259</v>
      </c>
      <c r="C18" s="3645">
        <f>C14+C15+C16-C17</f>
        <v>446290.28000000014</v>
      </c>
      <c r="D18" s="3645">
        <v>-2880103.3000000026</v>
      </c>
    </row>
    <row r="19" spans="1:4" ht="36.950000000000003" customHeight="1">
      <c r="A19" s="3644" t="s">
        <v>3260</v>
      </c>
      <c r="B19" s="3641" t="s">
        <v>3261</v>
      </c>
      <c r="C19" s="3642"/>
      <c r="D19" s="3643"/>
    </row>
    <row r="20" spans="1:4" ht="36.950000000000003" customHeight="1">
      <c r="A20" s="3644" t="s">
        <v>3262</v>
      </c>
      <c r="B20" s="3641" t="s">
        <v>3261</v>
      </c>
      <c r="C20" s="3645">
        <f>C18-C19</f>
        <v>446290.28000000014</v>
      </c>
      <c r="D20" s="3645">
        <v>-2880103.3000000026</v>
      </c>
    </row>
    <row r="21" spans="1:4" ht="21.95" customHeight="1">
      <c r="A21" s="3648"/>
      <c r="B21" s="3648"/>
      <c r="C21" s="3648"/>
      <c r="D21" s="3648"/>
    </row>
    <row r="22" spans="1:4" ht="21.95" customHeight="1">
      <c r="A22" s="3649" t="s">
        <v>3263</v>
      </c>
      <c r="B22" s="3649"/>
      <c r="C22" s="3650" t="s">
        <v>3264</v>
      </c>
      <c r="D22" s="3650" t="s">
        <v>3265</v>
      </c>
    </row>
    <row r="23" spans="1:4" ht="15" customHeight="1">
      <c r="A23" s="3651"/>
      <c r="B23" s="3651"/>
      <c r="C23" s="3651"/>
      <c r="D23" s="3651"/>
    </row>
    <row r="24" spans="1:4" ht="15" customHeight="1">
      <c r="A24" s="3651"/>
      <c r="B24" s="3651"/>
      <c r="C24" s="3651"/>
      <c r="D24" s="3651"/>
    </row>
    <row r="25" spans="1:4" ht="15" customHeight="1">
      <c r="A25" s="3651"/>
      <c r="B25" s="3651"/>
      <c r="C25" s="3651"/>
      <c r="D25" s="3651"/>
    </row>
    <row r="26" spans="1:4" ht="15" customHeight="1">
      <c r="A26" s="3651"/>
      <c r="B26" s="3651"/>
      <c r="C26" s="3651"/>
      <c r="D26" s="3651"/>
    </row>
    <row r="27" spans="1:4" ht="15" customHeight="1">
      <c r="A27" s="3651"/>
      <c r="B27" s="3651"/>
      <c r="C27" s="3651"/>
      <c r="D27" s="3651"/>
    </row>
    <row r="28" spans="1:4" ht="15" customHeight="1">
      <c r="A28" s="3651"/>
      <c r="B28" s="3651"/>
      <c r="C28" s="3651"/>
      <c r="D28" s="3651"/>
    </row>
    <row r="29" spans="1:4" ht="15" customHeight="1">
      <c r="A29" s="3651"/>
      <c r="B29" s="3651"/>
      <c r="C29" s="3651"/>
      <c r="D29" s="3651"/>
    </row>
    <row r="30" spans="1:4" ht="15" customHeight="1">
      <c r="A30" s="3651"/>
      <c r="B30" s="3651"/>
      <c r="C30" s="3651"/>
      <c r="D30" s="3651"/>
    </row>
    <row r="31" spans="1:4" ht="15" customHeight="1">
      <c r="A31" s="3651"/>
      <c r="B31" s="3651"/>
      <c r="C31" s="3651"/>
      <c r="D31" s="3651"/>
    </row>
    <row r="32" spans="1:4" ht="15" customHeight="1">
      <c r="A32" s="3651"/>
      <c r="B32" s="3651"/>
      <c r="C32" s="3651"/>
      <c r="D32" s="3651"/>
    </row>
    <row r="33" spans="1:4" ht="15" customHeight="1">
      <c r="A33" s="3651"/>
      <c r="B33" s="3651"/>
      <c r="C33" s="3651"/>
      <c r="D33" s="3651"/>
    </row>
    <row r="34" spans="1:4" ht="15" customHeight="1">
      <c r="A34" s="3651"/>
      <c r="B34" s="3651"/>
      <c r="C34" s="3651"/>
      <c r="D34" s="3651"/>
    </row>
    <row r="35" spans="1:4" ht="15" customHeight="1">
      <c r="A35" s="3651"/>
      <c r="B35" s="3651"/>
      <c r="C35" s="3651"/>
      <c r="D35" s="3651"/>
    </row>
    <row r="36" spans="1:4" ht="15" customHeight="1">
      <c r="A36" s="3651"/>
      <c r="B36" s="3651"/>
      <c r="C36" s="3651"/>
      <c r="D36" s="3651"/>
    </row>
    <row r="37" spans="1:4" ht="15" customHeight="1">
      <c r="A37" s="3651"/>
      <c r="B37" s="3651"/>
      <c r="C37" s="3651"/>
      <c r="D37" s="3651"/>
    </row>
    <row r="38" spans="1:4" ht="15" customHeight="1">
      <c r="A38" s="3651"/>
      <c r="B38" s="3651"/>
      <c r="C38" s="3651"/>
      <c r="D38" s="3651"/>
    </row>
    <row r="39" spans="1:4" ht="15" customHeight="1">
      <c r="A39" s="3651"/>
      <c r="B39" s="3651"/>
      <c r="C39" s="3651"/>
      <c r="D39" s="3651"/>
    </row>
    <row r="40" spans="1:4" ht="15" customHeight="1">
      <c r="A40" s="3651"/>
      <c r="B40" s="3651"/>
      <c r="C40" s="3651"/>
      <c r="D40" s="3651"/>
    </row>
    <row r="41" spans="1:4" ht="15" customHeight="1">
      <c r="A41" s="3651"/>
      <c r="B41" s="3651"/>
      <c r="C41" s="3651"/>
      <c r="D41" s="3651"/>
    </row>
    <row r="42" spans="1:4" ht="15" customHeight="1">
      <c r="A42" s="3651"/>
      <c r="B42" s="3651"/>
      <c r="C42" s="3651"/>
      <c r="D42" s="3651"/>
    </row>
    <row r="43" spans="1:4" ht="15" customHeight="1">
      <c r="A43" s="3651"/>
      <c r="B43" s="3651"/>
      <c r="C43" s="3651"/>
      <c r="D43" s="3651"/>
    </row>
    <row r="44" spans="1:4" ht="15" customHeight="1">
      <c r="A44" s="3651"/>
      <c r="B44" s="3651"/>
      <c r="C44" s="3651"/>
      <c r="D44" s="3651"/>
    </row>
    <row r="45" spans="1:4" ht="15" customHeight="1">
      <c r="A45" s="3651"/>
      <c r="B45" s="3651"/>
      <c r="C45" s="3651"/>
      <c r="D45" s="3651"/>
    </row>
    <row r="46" spans="1:4" ht="15" customHeight="1">
      <c r="A46" s="3651"/>
      <c r="B46" s="3651"/>
      <c r="C46" s="3651"/>
      <c r="D46" s="3651"/>
    </row>
    <row r="47" spans="1:4" ht="15" customHeight="1">
      <c r="A47" s="3651"/>
      <c r="B47" s="3651"/>
      <c r="C47" s="3651"/>
      <c r="D47" s="3651"/>
    </row>
    <row r="48" spans="1:4" ht="15" customHeight="1">
      <c r="A48" s="3651"/>
      <c r="B48" s="3651"/>
      <c r="C48" s="3651"/>
      <c r="D48" s="3651"/>
    </row>
    <row r="49" spans="1:4" ht="15" customHeight="1">
      <c r="A49" s="3651"/>
      <c r="B49" s="3651"/>
      <c r="C49" s="3651"/>
      <c r="D49" s="3651"/>
    </row>
    <row r="50" spans="1:4" ht="15" customHeight="1">
      <c r="A50" s="3651"/>
      <c r="B50" s="3651"/>
      <c r="C50" s="3651"/>
      <c r="D50" s="3651"/>
    </row>
    <row r="51" spans="1:4" ht="15" customHeight="1">
      <c r="A51" s="3651"/>
      <c r="B51" s="3651"/>
      <c r="C51" s="3651"/>
      <c r="D51" s="3651"/>
    </row>
    <row r="52" spans="1:4" ht="15" customHeight="1">
      <c r="A52" s="3651"/>
      <c r="B52" s="3651"/>
      <c r="C52" s="3651"/>
      <c r="D52" s="3651"/>
    </row>
    <row r="53" spans="1:4" ht="15" customHeight="1">
      <c r="A53" s="3651"/>
      <c r="B53" s="3651"/>
      <c r="C53" s="3651"/>
      <c r="D53" s="3651"/>
    </row>
    <row r="54" spans="1:4" ht="15" customHeight="1">
      <c r="A54" s="3652"/>
      <c r="B54" s="3652"/>
      <c r="C54" s="3652"/>
      <c r="D54" s="3652"/>
    </row>
    <row r="55" spans="1:4" ht="15" customHeight="1">
      <c r="A55" s="3652"/>
      <c r="B55" s="3652"/>
      <c r="C55" s="3652"/>
      <c r="D55" s="3652"/>
    </row>
  </sheetData>
  <mergeCells count="2">
    <mergeCell ref="A1:D1"/>
    <mergeCell ref="A22:B22"/>
  </mergeCells>
  <phoneticPr fontId="140" type="noConversion"/>
  <pageMargins left="0.75" right="0.39305555555555555" top="0.43263888888888891" bottom="1" header="0.5" footer="0.5"/>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zoomScaleSheetLayoutView="100" workbookViewId="0">
      <selection activeCell="D6" sqref="D6"/>
    </sheetView>
  </sheetViews>
  <sheetFormatPr defaultColWidth="9" defaultRowHeight="14.25"/>
  <cols>
    <col min="1" max="1" width="38.375" style="3624" customWidth="1"/>
    <col min="2" max="2" width="10.125" style="3624" customWidth="1"/>
    <col min="3" max="3" width="16.25" style="3624" customWidth="1"/>
    <col min="4" max="4" width="17.25" style="3624" customWidth="1"/>
    <col min="5" max="256" width="9" style="3624"/>
    <col min="257" max="257" width="38.375" style="3624" customWidth="1"/>
    <col min="258" max="258" width="10.125" style="3624" customWidth="1"/>
    <col min="259" max="259" width="16.25" style="3624" customWidth="1"/>
    <col min="260" max="260" width="17.25" style="3624" customWidth="1"/>
    <col min="261" max="512" width="9" style="3624"/>
    <col min="513" max="513" width="38.375" style="3624" customWidth="1"/>
    <col min="514" max="514" width="10.125" style="3624" customWidth="1"/>
    <col min="515" max="515" width="16.25" style="3624" customWidth="1"/>
    <col min="516" max="516" width="17.25" style="3624" customWidth="1"/>
    <col min="517" max="768" width="9" style="3624"/>
    <col min="769" max="769" width="38.375" style="3624" customWidth="1"/>
    <col min="770" max="770" width="10.125" style="3624" customWidth="1"/>
    <col min="771" max="771" width="16.25" style="3624" customWidth="1"/>
    <col min="772" max="772" width="17.25" style="3624" customWidth="1"/>
    <col min="773" max="1024" width="9" style="3624"/>
    <col min="1025" max="1025" width="38.375" style="3624" customWidth="1"/>
    <col min="1026" max="1026" width="10.125" style="3624" customWidth="1"/>
    <col min="1027" max="1027" width="16.25" style="3624" customWidth="1"/>
    <col min="1028" max="1028" width="17.25" style="3624" customWidth="1"/>
    <col min="1029" max="1280" width="9" style="3624"/>
    <col min="1281" max="1281" width="38.375" style="3624" customWidth="1"/>
    <col min="1282" max="1282" width="10.125" style="3624" customWidth="1"/>
    <col min="1283" max="1283" width="16.25" style="3624" customWidth="1"/>
    <col min="1284" max="1284" width="17.25" style="3624" customWidth="1"/>
    <col min="1285" max="1536" width="9" style="3624"/>
    <col min="1537" max="1537" width="38.375" style="3624" customWidth="1"/>
    <col min="1538" max="1538" width="10.125" style="3624" customWidth="1"/>
    <col min="1539" max="1539" width="16.25" style="3624" customWidth="1"/>
    <col min="1540" max="1540" width="17.25" style="3624" customWidth="1"/>
    <col min="1541" max="1792" width="9" style="3624"/>
    <col min="1793" max="1793" width="38.375" style="3624" customWidth="1"/>
    <col min="1794" max="1794" width="10.125" style="3624" customWidth="1"/>
    <col min="1795" max="1795" width="16.25" style="3624" customWidth="1"/>
    <col min="1796" max="1796" width="17.25" style="3624" customWidth="1"/>
    <col min="1797" max="2048" width="9" style="3624"/>
    <col min="2049" max="2049" width="38.375" style="3624" customWidth="1"/>
    <col min="2050" max="2050" width="10.125" style="3624" customWidth="1"/>
    <col min="2051" max="2051" width="16.25" style="3624" customWidth="1"/>
    <col min="2052" max="2052" width="17.25" style="3624" customWidth="1"/>
    <col min="2053" max="2304" width="9" style="3624"/>
    <col min="2305" max="2305" width="38.375" style="3624" customWidth="1"/>
    <col min="2306" max="2306" width="10.125" style="3624" customWidth="1"/>
    <col min="2307" max="2307" width="16.25" style="3624" customWidth="1"/>
    <col min="2308" max="2308" width="17.25" style="3624" customWidth="1"/>
    <col min="2309" max="2560" width="9" style="3624"/>
    <col min="2561" max="2561" width="38.375" style="3624" customWidth="1"/>
    <col min="2562" max="2562" width="10.125" style="3624" customWidth="1"/>
    <col min="2563" max="2563" width="16.25" style="3624" customWidth="1"/>
    <col min="2564" max="2564" width="17.25" style="3624" customWidth="1"/>
    <col min="2565" max="2816" width="9" style="3624"/>
    <col min="2817" max="2817" width="38.375" style="3624" customWidth="1"/>
    <col min="2818" max="2818" width="10.125" style="3624" customWidth="1"/>
    <col min="2819" max="2819" width="16.25" style="3624" customWidth="1"/>
    <col min="2820" max="2820" width="17.25" style="3624" customWidth="1"/>
    <col min="2821" max="3072" width="9" style="3624"/>
    <col min="3073" max="3073" width="38.375" style="3624" customWidth="1"/>
    <col min="3074" max="3074" width="10.125" style="3624" customWidth="1"/>
    <col min="3075" max="3075" width="16.25" style="3624" customWidth="1"/>
    <col min="3076" max="3076" width="17.25" style="3624" customWidth="1"/>
    <col min="3077" max="3328" width="9" style="3624"/>
    <col min="3329" max="3329" width="38.375" style="3624" customWidth="1"/>
    <col min="3330" max="3330" width="10.125" style="3624" customWidth="1"/>
    <col min="3331" max="3331" width="16.25" style="3624" customWidth="1"/>
    <col min="3332" max="3332" width="17.25" style="3624" customWidth="1"/>
    <col min="3333" max="3584" width="9" style="3624"/>
    <col min="3585" max="3585" width="38.375" style="3624" customWidth="1"/>
    <col min="3586" max="3586" width="10.125" style="3624" customWidth="1"/>
    <col min="3587" max="3587" width="16.25" style="3624" customWidth="1"/>
    <col min="3588" max="3588" width="17.25" style="3624" customWidth="1"/>
    <col min="3589" max="3840" width="9" style="3624"/>
    <col min="3841" max="3841" width="38.375" style="3624" customWidth="1"/>
    <col min="3842" max="3842" width="10.125" style="3624" customWidth="1"/>
    <col min="3843" max="3843" width="16.25" style="3624" customWidth="1"/>
    <col min="3844" max="3844" width="17.25" style="3624" customWidth="1"/>
    <col min="3845" max="4096" width="9" style="3624"/>
    <col min="4097" max="4097" width="38.375" style="3624" customWidth="1"/>
    <col min="4098" max="4098" width="10.125" style="3624" customWidth="1"/>
    <col min="4099" max="4099" width="16.25" style="3624" customWidth="1"/>
    <col min="4100" max="4100" width="17.25" style="3624" customWidth="1"/>
    <col min="4101" max="4352" width="9" style="3624"/>
    <col min="4353" max="4353" width="38.375" style="3624" customWidth="1"/>
    <col min="4354" max="4354" width="10.125" style="3624" customWidth="1"/>
    <col min="4355" max="4355" width="16.25" style="3624" customWidth="1"/>
    <col min="4356" max="4356" width="17.25" style="3624" customWidth="1"/>
    <col min="4357" max="4608" width="9" style="3624"/>
    <col min="4609" max="4609" width="38.375" style="3624" customWidth="1"/>
    <col min="4610" max="4610" width="10.125" style="3624" customWidth="1"/>
    <col min="4611" max="4611" width="16.25" style="3624" customWidth="1"/>
    <col min="4612" max="4612" width="17.25" style="3624" customWidth="1"/>
    <col min="4613" max="4864" width="9" style="3624"/>
    <col min="4865" max="4865" width="38.375" style="3624" customWidth="1"/>
    <col min="4866" max="4866" width="10.125" style="3624" customWidth="1"/>
    <col min="4867" max="4867" width="16.25" style="3624" customWidth="1"/>
    <col min="4868" max="4868" width="17.25" style="3624" customWidth="1"/>
    <col min="4869" max="5120" width="9" style="3624"/>
    <col min="5121" max="5121" width="38.375" style="3624" customWidth="1"/>
    <col min="5122" max="5122" width="10.125" style="3624" customWidth="1"/>
    <col min="5123" max="5123" width="16.25" style="3624" customWidth="1"/>
    <col min="5124" max="5124" width="17.25" style="3624" customWidth="1"/>
    <col min="5125" max="5376" width="9" style="3624"/>
    <col min="5377" max="5377" width="38.375" style="3624" customWidth="1"/>
    <col min="5378" max="5378" width="10.125" style="3624" customWidth="1"/>
    <col min="5379" max="5379" width="16.25" style="3624" customWidth="1"/>
    <col min="5380" max="5380" width="17.25" style="3624" customWidth="1"/>
    <col min="5381" max="5632" width="9" style="3624"/>
    <col min="5633" max="5633" width="38.375" style="3624" customWidth="1"/>
    <col min="5634" max="5634" width="10.125" style="3624" customWidth="1"/>
    <col min="5635" max="5635" width="16.25" style="3624" customWidth="1"/>
    <col min="5636" max="5636" width="17.25" style="3624" customWidth="1"/>
    <col min="5637" max="5888" width="9" style="3624"/>
    <col min="5889" max="5889" width="38.375" style="3624" customWidth="1"/>
    <col min="5890" max="5890" width="10.125" style="3624" customWidth="1"/>
    <col min="5891" max="5891" width="16.25" style="3624" customWidth="1"/>
    <col min="5892" max="5892" width="17.25" style="3624" customWidth="1"/>
    <col min="5893" max="6144" width="9" style="3624"/>
    <col min="6145" max="6145" width="38.375" style="3624" customWidth="1"/>
    <col min="6146" max="6146" width="10.125" style="3624" customWidth="1"/>
    <col min="6147" max="6147" width="16.25" style="3624" customWidth="1"/>
    <col min="6148" max="6148" width="17.25" style="3624" customWidth="1"/>
    <col min="6149" max="6400" width="9" style="3624"/>
    <col min="6401" max="6401" width="38.375" style="3624" customWidth="1"/>
    <col min="6402" max="6402" width="10.125" style="3624" customWidth="1"/>
    <col min="6403" max="6403" width="16.25" style="3624" customWidth="1"/>
    <col min="6404" max="6404" width="17.25" style="3624" customWidth="1"/>
    <col min="6405" max="6656" width="9" style="3624"/>
    <col min="6657" max="6657" width="38.375" style="3624" customWidth="1"/>
    <col min="6658" max="6658" width="10.125" style="3624" customWidth="1"/>
    <col min="6659" max="6659" width="16.25" style="3624" customWidth="1"/>
    <col min="6660" max="6660" width="17.25" style="3624" customWidth="1"/>
    <col min="6661" max="6912" width="9" style="3624"/>
    <col min="6913" max="6913" width="38.375" style="3624" customWidth="1"/>
    <col min="6914" max="6914" width="10.125" style="3624" customWidth="1"/>
    <col min="6915" max="6915" width="16.25" style="3624" customWidth="1"/>
    <col min="6916" max="6916" width="17.25" style="3624" customWidth="1"/>
    <col min="6917" max="7168" width="9" style="3624"/>
    <col min="7169" max="7169" width="38.375" style="3624" customWidth="1"/>
    <col min="7170" max="7170" width="10.125" style="3624" customWidth="1"/>
    <col min="7171" max="7171" width="16.25" style="3624" customWidth="1"/>
    <col min="7172" max="7172" width="17.25" style="3624" customWidth="1"/>
    <col min="7173" max="7424" width="9" style="3624"/>
    <col min="7425" max="7425" width="38.375" style="3624" customWidth="1"/>
    <col min="7426" max="7426" width="10.125" style="3624" customWidth="1"/>
    <col min="7427" max="7427" width="16.25" style="3624" customWidth="1"/>
    <col min="7428" max="7428" width="17.25" style="3624" customWidth="1"/>
    <col min="7429" max="7680" width="9" style="3624"/>
    <col min="7681" max="7681" width="38.375" style="3624" customWidth="1"/>
    <col min="7682" max="7682" width="10.125" style="3624" customWidth="1"/>
    <col min="7683" max="7683" width="16.25" style="3624" customWidth="1"/>
    <col min="7684" max="7684" width="17.25" style="3624" customWidth="1"/>
    <col min="7685" max="7936" width="9" style="3624"/>
    <col min="7937" max="7937" width="38.375" style="3624" customWidth="1"/>
    <col min="7938" max="7938" width="10.125" style="3624" customWidth="1"/>
    <col min="7939" max="7939" width="16.25" style="3624" customWidth="1"/>
    <col min="7940" max="7940" width="17.25" style="3624" customWidth="1"/>
    <col min="7941" max="8192" width="9" style="3624"/>
    <col min="8193" max="8193" width="38.375" style="3624" customWidth="1"/>
    <col min="8194" max="8194" width="10.125" style="3624" customWidth="1"/>
    <col min="8195" max="8195" width="16.25" style="3624" customWidth="1"/>
    <col min="8196" max="8196" width="17.25" style="3624" customWidth="1"/>
    <col min="8197" max="8448" width="9" style="3624"/>
    <col min="8449" max="8449" width="38.375" style="3624" customWidth="1"/>
    <col min="8450" max="8450" width="10.125" style="3624" customWidth="1"/>
    <col min="8451" max="8451" width="16.25" style="3624" customWidth="1"/>
    <col min="8452" max="8452" width="17.25" style="3624" customWidth="1"/>
    <col min="8453" max="8704" width="9" style="3624"/>
    <col min="8705" max="8705" width="38.375" style="3624" customWidth="1"/>
    <col min="8706" max="8706" width="10.125" style="3624" customWidth="1"/>
    <col min="8707" max="8707" width="16.25" style="3624" customWidth="1"/>
    <col min="8708" max="8708" width="17.25" style="3624" customWidth="1"/>
    <col min="8709" max="8960" width="9" style="3624"/>
    <col min="8961" max="8961" width="38.375" style="3624" customWidth="1"/>
    <col min="8962" max="8962" width="10.125" style="3624" customWidth="1"/>
    <col min="8963" max="8963" width="16.25" style="3624" customWidth="1"/>
    <col min="8964" max="8964" width="17.25" style="3624" customWidth="1"/>
    <col min="8965" max="9216" width="9" style="3624"/>
    <col min="9217" max="9217" width="38.375" style="3624" customWidth="1"/>
    <col min="9218" max="9218" width="10.125" style="3624" customWidth="1"/>
    <col min="9219" max="9219" width="16.25" style="3624" customWidth="1"/>
    <col min="9220" max="9220" width="17.25" style="3624" customWidth="1"/>
    <col min="9221" max="9472" width="9" style="3624"/>
    <col min="9473" max="9473" width="38.375" style="3624" customWidth="1"/>
    <col min="9474" max="9474" width="10.125" style="3624" customWidth="1"/>
    <col min="9475" max="9475" width="16.25" style="3624" customWidth="1"/>
    <col min="9476" max="9476" width="17.25" style="3624" customWidth="1"/>
    <col min="9477" max="9728" width="9" style="3624"/>
    <col min="9729" max="9729" width="38.375" style="3624" customWidth="1"/>
    <col min="9730" max="9730" width="10.125" style="3624" customWidth="1"/>
    <col min="9731" max="9731" width="16.25" style="3624" customWidth="1"/>
    <col min="9732" max="9732" width="17.25" style="3624" customWidth="1"/>
    <col min="9733" max="9984" width="9" style="3624"/>
    <col min="9985" max="9985" width="38.375" style="3624" customWidth="1"/>
    <col min="9986" max="9986" width="10.125" style="3624" customWidth="1"/>
    <col min="9987" max="9987" width="16.25" style="3624" customWidth="1"/>
    <col min="9988" max="9988" width="17.25" style="3624" customWidth="1"/>
    <col min="9989" max="10240" width="9" style="3624"/>
    <col min="10241" max="10241" width="38.375" style="3624" customWidth="1"/>
    <col min="10242" max="10242" width="10.125" style="3624" customWidth="1"/>
    <col min="10243" max="10243" width="16.25" style="3624" customWidth="1"/>
    <col min="10244" max="10244" width="17.25" style="3624" customWidth="1"/>
    <col min="10245" max="10496" width="9" style="3624"/>
    <col min="10497" max="10497" width="38.375" style="3624" customWidth="1"/>
    <col min="10498" max="10498" width="10.125" style="3624" customWidth="1"/>
    <col min="10499" max="10499" width="16.25" style="3624" customWidth="1"/>
    <col min="10500" max="10500" width="17.25" style="3624" customWidth="1"/>
    <col min="10501" max="10752" width="9" style="3624"/>
    <col min="10753" max="10753" width="38.375" style="3624" customWidth="1"/>
    <col min="10754" max="10754" width="10.125" style="3624" customWidth="1"/>
    <col min="10755" max="10755" width="16.25" style="3624" customWidth="1"/>
    <col min="10756" max="10756" width="17.25" style="3624" customWidth="1"/>
    <col min="10757" max="11008" width="9" style="3624"/>
    <col min="11009" max="11009" width="38.375" style="3624" customWidth="1"/>
    <col min="11010" max="11010" width="10.125" style="3624" customWidth="1"/>
    <col min="11011" max="11011" width="16.25" style="3624" customWidth="1"/>
    <col min="11012" max="11012" width="17.25" style="3624" customWidth="1"/>
    <col min="11013" max="11264" width="9" style="3624"/>
    <col min="11265" max="11265" width="38.375" style="3624" customWidth="1"/>
    <col min="11266" max="11266" width="10.125" style="3624" customWidth="1"/>
    <col min="11267" max="11267" width="16.25" style="3624" customWidth="1"/>
    <col min="11268" max="11268" width="17.25" style="3624" customWidth="1"/>
    <col min="11269" max="11520" width="9" style="3624"/>
    <col min="11521" max="11521" width="38.375" style="3624" customWidth="1"/>
    <col min="11522" max="11522" width="10.125" style="3624" customWidth="1"/>
    <col min="11523" max="11523" width="16.25" style="3624" customWidth="1"/>
    <col min="11524" max="11524" width="17.25" style="3624" customWidth="1"/>
    <col min="11525" max="11776" width="9" style="3624"/>
    <col min="11777" max="11777" width="38.375" style="3624" customWidth="1"/>
    <col min="11778" max="11778" width="10.125" style="3624" customWidth="1"/>
    <col min="11779" max="11779" width="16.25" style="3624" customWidth="1"/>
    <col min="11780" max="11780" width="17.25" style="3624" customWidth="1"/>
    <col min="11781" max="12032" width="9" style="3624"/>
    <col min="12033" max="12033" width="38.375" style="3624" customWidth="1"/>
    <col min="12034" max="12034" width="10.125" style="3624" customWidth="1"/>
    <col min="12035" max="12035" width="16.25" style="3624" customWidth="1"/>
    <col min="12036" max="12036" width="17.25" style="3624" customWidth="1"/>
    <col min="12037" max="12288" width="9" style="3624"/>
    <col min="12289" max="12289" width="38.375" style="3624" customWidth="1"/>
    <col min="12290" max="12290" width="10.125" style="3624" customWidth="1"/>
    <col min="12291" max="12291" width="16.25" style="3624" customWidth="1"/>
    <col min="12292" max="12292" width="17.25" style="3624" customWidth="1"/>
    <col min="12293" max="12544" width="9" style="3624"/>
    <col min="12545" max="12545" width="38.375" style="3624" customWidth="1"/>
    <col min="12546" max="12546" width="10.125" style="3624" customWidth="1"/>
    <col min="12547" max="12547" width="16.25" style="3624" customWidth="1"/>
    <col min="12548" max="12548" width="17.25" style="3624" customWidth="1"/>
    <col min="12549" max="12800" width="9" style="3624"/>
    <col min="12801" max="12801" width="38.375" style="3624" customWidth="1"/>
    <col min="12802" max="12802" width="10.125" style="3624" customWidth="1"/>
    <col min="12803" max="12803" width="16.25" style="3624" customWidth="1"/>
    <col min="12804" max="12804" width="17.25" style="3624" customWidth="1"/>
    <col min="12805" max="13056" width="9" style="3624"/>
    <col min="13057" max="13057" width="38.375" style="3624" customWidth="1"/>
    <col min="13058" max="13058" width="10.125" style="3624" customWidth="1"/>
    <col min="13059" max="13059" width="16.25" style="3624" customWidth="1"/>
    <col min="13060" max="13060" width="17.25" style="3624" customWidth="1"/>
    <col min="13061" max="13312" width="9" style="3624"/>
    <col min="13313" max="13313" width="38.375" style="3624" customWidth="1"/>
    <col min="13314" max="13314" width="10.125" style="3624" customWidth="1"/>
    <col min="13315" max="13315" width="16.25" style="3624" customWidth="1"/>
    <col min="13316" max="13316" width="17.25" style="3624" customWidth="1"/>
    <col min="13317" max="13568" width="9" style="3624"/>
    <col min="13569" max="13569" width="38.375" style="3624" customWidth="1"/>
    <col min="13570" max="13570" width="10.125" style="3624" customWidth="1"/>
    <col min="13571" max="13571" width="16.25" style="3624" customWidth="1"/>
    <col min="13572" max="13572" width="17.25" style="3624" customWidth="1"/>
    <col min="13573" max="13824" width="9" style="3624"/>
    <col min="13825" max="13825" width="38.375" style="3624" customWidth="1"/>
    <col min="13826" max="13826" width="10.125" style="3624" customWidth="1"/>
    <col min="13827" max="13827" width="16.25" style="3624" customWidth="1"/>
    <col min="13828" max="13828" width="17.25" style="3624" customWidth="1"/>
    <col min="13829" max="14080" width="9" style="3624"/>
    <col min="14081" max="14081" width="38.375" style="3624" customWidth="1"/>
    <col min="14082" max="14082" width="10.125" style="3624" customWidth="1"/>
    <col min="14083" max="14083" width="16.25" style="3624" customWidth="1"/>
    <col min="14084" max="14084" width="17.25" style="3624" customWidth="1"/>
    <col min="14085" max="14336" width="9" style="3624"/>
    <col min="14337" max="14337" width="38.375" style="3624" customWidth="1"/>
    <col min="14338" max="14338" width="10.125" style="3624" customWidth="1"/>
    <col min="14339" max="14339" width="16.25" style="3624" customWidth="1"/>
    <col min="14340" max="14340" width="17.25" style="3624" customWidth="1"/>
    <col min="14341" max="14592" width="9" style="3624"/>
    <col min="14593" max="14593" width="38.375" style="3624" customWidth="1"/>
    <col min="14594" max="14594" width="10.125" style="3624" customWidth="1"/>
    <col min="14595" max="14595" width="16.25" style="3624" customWidth="1"/>
    <col min="14596" max="14596" width="17.25" style="3624" customWidth="1"/>
    <col min="14597" max="14848" width="9" style="3624"/>
    <col min="14849" max="14849" width="38.375" style="3624" customWidth="1"/>
    <col min="14850" max="14850" width="10.125" style="3624" customWidth="1"/>
    <col min="14851" max="14851" width="16.25" style="3624" customWidth="1"/>
    <col min="14852" max="14852" width="17.25" style="3624" customWidth="1"/>
    <col min="14853" max="15104" width="9" style="3624"/>
    <col min="15105" max="15105" width="38.375" style="3624" customWidth="1"/>
    <col min="15106" max="15106" width="10.125" style="3624" customWidth="1"/>
    <col min="15107" max="15107" width="16.25" style="3624" customWidth="1"/>
    <col min="15108" max="15108" width="17.25" style="3624" customWidth="1"/>
    <col min="15109" max="15360" width="9" style="3624"/>
    <col min="15361" max="15361" width="38.375" style="3624" customWidth="1"/>
    <col min="15362" max="15362" width="10.125" style="3624" customWidth="1"/>
    <col min="15363" max="15363" width="16.25" style="3624" customWidth="1"/>
    <col min="15364" max="15364" width="17.25" style="3624" customWidth="1"/>
    <col min="15365" max="15616" width="9" style="3624"/>
    <col min="15617" max="15617" width="38.375" style="3624" customWidth="1"/>
    <col min="15618" max="15618" width="10.125" style="3624" customWidth="1"/>
    <col min="15619" max="15619" width="16.25" style="3624" customWidth="1"/>
    <col min="15620" max="15620" width="17.25" style="3624" customWidth="1"/>
    <col min="15621" max="15872" width="9" style="3624"/>
    <col min="15873" max="15873" width="38.375" style="3624" customWidth="1"/>
    <col min="15874" max="15874" width="10.125" style="3624" customWidth="1"/>
    <col min="15875" max="15875" width="16.25" style="3624" customWidth="1"/>
    <col min="15876" max="15876" width="17.25" style="3624" customWidth="1"/>
    <col min="15877" max="16128" width="9" style="3624"/>
    <col min="16129" max="16129" width="38.375" style="3624" customWidth="1"/>
    <col min="16130" max="16130" width="10.125" style="3624" customWidth="1"/>
    <col min="16131" max="16131" width="16.25" style="3624" customWidth="1"/>
    <col min="16132" max="16132" width="17.25" style="3624" customWidth="1"/>
    <col min="16133" max="16384" width="9" style="3624"/>
  </cols>
  <sheetData>
    <row r="1" spans="1:4" ht="35.1" customHeight="1">
      <c r="A1" s="3628" t="s">
        <v>3224</v>
      </c>
      <c r="B1" s="3628"/>
      <c r="C1" s="3628"/>
      <c r="D1" s="3628"/>
    </row>
    <row r="2" spans="1:4" ht="30.95" customHeight="1">
      <c r="A2" s="3629" t="s">
        <v>3225</v>
      </c>
      <c r="B2" s="3630" t="s">
        <v>3270</v>
      </c>
      <c r="C2" s="3631" t="s">
        <v>3227</v>
      </c>
      <c r="D2" s="3632" t="s">
        <v>3228</v>
      </c>
    </row>
    <row r="3" spans="1:4" hidden="1">
      <c r="A3" s="3633"/>
      <c r="B3" s="3634"/>
      <c r="C3" s="3633"/>
      <c r="D3" s="3635" t="s">
        <v>3268</v>
      </c>
    </row>
    <row r="4" spans="1:4" ht="17.100000000000001" customHeight="1">
      <c r="A4" s="3636"/>
      <c r="B4" s="3637"/>
      <c r="C4" s="3636"/>
      <c r="D4" s="3638" t="s">
        <v>3229</v>
      </c>
    </row>
    <row r="5" spans="1:4" ht="36.950000000000003" customHeight="1">
      <c r="A5" s="3639" t="s">
        <v>3230</v>
      </c>
      <c r="B5" s="3639" t="s">
        <v>3231</v>
      </c>
      <c r="C5" s="3639" t="s">
        <v>3232</v>
      </c>
      <c r="D5" s="3639" t="s">
        <v>3233</v>
      </c>
    </row>
    <row r="6" spans="1:4" ht="36.950000000000003" customHeight="1">
      <c r="A6" s="3640" t="s">
        <v>3234</v>
      </c>
      <c r="B6" s="3641" t="s">
        <v>3235</v>
      </c>
      <c r="C6" s="3642">
        <v>2611192.42</v>
      </c>
      <c r="D6" s="3643">
        <f>C6+'[3]11月损益表'!D5</f>
        <v>40958625.890000001</v>
      </c>
    </row>
    <row r="7" spans="1:4" ht="36.950000000000003" customHeight="1">
      <c r="A7" s="3644" t="s">
        <v>3236</v>
      </c>
      <c r="B7" s="3641" t="s">
        <v>3237</v>
      </c>
      <c r="C7" s="3642">
        <v>664157.97</v>
      </c>
      <c r="D7" s="3643">
        <f>C7+'[3]11月损益表'!D6</f>
        <v>10088133.9</v>
      </c>
    </row>
    <row r="8" spans="1:4" ht="36.950000000000003" customHeight="1">
      <c r="A8" s="3644" t="s">
        <v>3238</v>
      </c>
      <c r="B8" s="3641" t="s">
        <v>3239</v>
      </c>
      <c r="C8" s="3642">
        <v>635708.81999999995</v>
      </c>
      <c r="D8" s="3643">
        <f>C8+'[3]11月损益表'!D7</f>
        <v>9836030.8300000001</v>
      </c>
    </row>
    <row r="9" spans="1:4" ht="36.950000000000003" customHeight="1">
      <c r="A9" s="3644" t="s">
        <v>3240</v>
      </c>
      <c r="B9" s="3641" t="s">
        <v>3241</v>
      </c>
      <c r="C9" s="3642">
        <v>28078.720000000001</v>
      </c>
      <c r="D9" s="3643">
        <f>C9+'[3]11月损益表'!D8</f>
        <v>323151.26</v>
      </c>
    </row>
    <row r="10" spans="1:4" ht="36.950000000000003" customHeight="1">
      <c r="A10" s="3640" t="s">
        <v>3242</v>
      </c>
      <c r="B10" s="3641" t="s">
        <v>3243</v>
      </c>
      <c r="C10" s="3645">
        <f>C6-C7-C8-C9</f>
        <v>1283246.9099999999</v>
      </c>
      <c r="D10" s="3645">
        <f>D6-D7-D8-D9</f>
        <v>20711309.900000002</v>
      </c>
    </row>
    <row r="11" spans="1:4" ht="27" customHeight="1">
      <c r="A11" s="3644" t="s">
        <v>3244</v>
      </c>
      <c r="B11" s="3641" t="s">
        <v>3245</v>
      </c>
      <c r="C11" s="3646"/>
      <c r="D11" s="3647"/>
    </row>
    <row r="12" spans="1:4" ht="36.950000000000003" customHeight="1">
      <c r="A12" s="3644" t="s">
        <v>3246</v>
      </c>
      <c r="B12" s="3641" t="s">
        <v>3247</v>
      </c>
      <c r="C12" s="3642">
        <v>204067.9</v>
      </c>
      <c r="D12" s="3645">
        <f>C12+'[3]11月损益表'!D11</f>
        <v>2452552.25</v>
      </c>
    </row>
    <row r="13" spans="1:4" ht="36.950000000000003" customHeight="1">
      <c r="A13" s="3644" t="s">
        <v>3248</v>
      </c>
      <c r="B13" s="3641" t="s">
        <v>3249</v>
      </c>
      <c r="C13" s="3642">
        <v>657983.75</v>
      </c>
      <c r="D13" s="3645">
        <f>C13+'[3]11月损益表'!D12</f>
        <v>8186861.25</v>
      </c>
    </row>
    <row r="14" spans="1:4" ht="36.950000000000003" customHeight="1">
      <c r="A14" s="3640" t="s">
        <v>3250</v>
      </c>
      <c r="B14" s="3641" t="s">
        <v>3251</v>
      </c>
      <c r="C14" s="3645">
        <f>C10-C12-C13</f>
        <v>421195.26</v>
      </c>
      <c r="D14" s="3645">
        <f>D10-D12-D13</f>
        <v>10071896.400000002</v>
      </c>
    </row>
    <row r="15" spans="1:4" ht="40.5" customHeight="1">
      <c r="A15" s="3640" t="s">
        <v>3252</v>
      </c>
      <c r="B15" s="3641" t="s">
        <v>3253</v>
      </c>
      <c r="C15" s="3653">
        <v>80000</v>
      </c>
      <c r="D15" s="3654">
        <f>C15+'[3]11月损益表'!D14</f>
        <v>320000</v>
      </c>
    </row>
    <row r="16" spans="1:4" ht="31.5" customHeight="1">
      <c r="A16" s="3644" t="s">
        <v>3254</v>
      </c>
      <c r="B16" s="3641" t="s">
        <v>3255</v>
      </c>
      <c r="C16" s="3653">
        <v>43223.45</v>
      </c>
      <c r="D16" s="3654">
        <f>C16+'[3]11月损益表'!D15</f>
        <v>49627</v>
      </c>
    </row>
    <row r="17" spans="1:4" ht="36.950000000000003" customHeight="1">
      <c r="A17" s="3644" t="s">
        <v>3256</v>
      </c>
      <c r="B17" s="3641" t="s">
        <v>3257</v>
      </c>
      <c r="C17" s="3646"/>
      <c r="D17" s="3647"/>
    </row>
    <row r="18" spans="1:4" ht="36.950000000000003" customHeight="1">
      <c r="A18" s="3644" t="s">
        <v>3258</v>
      </c>
      <c r="B18" s="3641" t="s">
        <v>3259</v>
      </c>
      <c r="C18" s="3645">
        <f>C14+C15+C16-C17</f>
        <v>544418.71</v>
      </c>
      <c r="D18" s="3645">
        <f>D14+D15+D16-D17</f>
        <v>10441523.400000002</v>
      </c>
    </row>
    <row r="19" spans="1:4" ht="36.950000000000003" customHeight="1">
      <c r="A19" s="3644" t="s">
        <v>3260</v>
      </c>
      <c r="B19" s="3641" t="s">
        <v>3261</v>
      </c>
      <c r="C19" s="3642"/>
      <c r="D19" s="3643"/>
    </row>
    <row r="20" spans="1:4" ht="36.950000000000003" customHeight="1">
      <c r="A20" s="3644" t="s">
        <v>3262</v>
      </c>
      <c r="B20" s="3641" t="s">
        <v>3261</v>
      </c>
      <c r="C20" s="3645">
        <f>C18-C19</f>
        <v>544418.71</v>
      </c>
      <c r="D20" s="3645">
        <f>D18-D19</f>
        <v>10441523.400000002</v>
      </c>
    </row>
    <row r="21" spans="1:4" ht="21.95" customHeight="1">
      <c r="A21" s="3648"/>
      <c r="B21" s="3648"/>
      <c r="C21" s="3648"/>
      <c r="D21" s="3648"/>
    </row>
    <row r="22" spans="1:4" ht="21.95" customHeight="1">
      <c r="A22" s="3649" t="s">
        <v>3263</v>
      </c>
      <c r="B22" s="3649"/>
      <c r="C22" s="3650" t="s">
        <v>3264</v>
      </c>
      <c r="D22" s="3650" t="s">
        <v>3265</v>
      </c>
    </row>
    <row r="23" spans="1:4" ht="15" customHeight="1">
      <c r="A23" s="3651"/>
      <c r="B23" s="3651"/>
      <c r="C23" s="3651"/>
      <c r="D23" s="3651"/>
    </row>
    <row r="24" spans="1:4" ht="15" customHeight="1">
      <c r="A24" s="3651"/>
      <c r="B24" s="3651"/>
      <c r="C24" s="3651"/>
      <c r="D24" s="3651"/>
    </row>
    <row r="25" spans="1:4" ht="15" customHeight="1">
      <c r="A25" s="3651"/>
      <c r="B25" s="3651"/>
      <c r="C25" s="3651"/>
      <c r="D25" s="3651"/>
    </row>
    <row r="26" spans="1:4" ht="15" customHeight="1">
      <c r="A26" s="3651"/>
      <c r="B26" s="3651"/>
      <c r="C26" s="3651"/>
      <c r="D26" s="3651"/>
    </row>
    <row r="27" spans="1:4" ht="15" customHeight="1">
      <c r="A27" s="3651"/>
      <c r="B27" s="3651"/>
      <c r="C27" s="3651"/>
      <c r="D27" s="3651"/>
    </row>
    <row r="28" spans="1:4" ht="15" customHeight="1">
      <c r="A28" s="3651"/>
      <c r="B28" s="3651"/>
      <c r="C28" s="3651"/>
      <c r="D28" s="3651"/>
    </row>
    <row r="29" spans="1:4" ht="15" customHeight="1">
      <c r="A29" s="3651"/>
      <c r="B29" s="3651"/>
      <c r="C29" s="3651"/>
      <c r="D29" s="3651"/>
    </row>
    <row r="30" spans="1:4" ht="15" customHeight="1">
      <c r="A30" s="3651"/>
      <c r="B30" s="3651"/>
      <c r="C30" s="3651"/>
      <c r="D30" s="3651"/>
    </row>
    <row r="31" spans="1:4" ht="15" customHeight="1">
      <c r="A31" s="3651"/>
      <c r="B31" s="3651"/>
      <c r="C31" s="3651"/>
      <c r="D31" s="3651"/>
    </row>
    <row r="32" spans="1:4" ht="15" customHeight="1">
      <c r="A32" s="3651"/>
      <c r="B32" s="3651"/>
      <c r="C32" s="3651"/>
      <c r="D32" s="3651"/>
    </row>
    <row r="33" spans="1:4" ht="15" customHeight="1">
      <c r="A33" s="3651"/>
      <c r="B33" s="3651"/>
      <c r="C33" s="3651"/>
      <c r="D33" s="3651"/>
    </row>
    <row r="34" spans="1:4" ht="15" customHeight="1">
      <c r="A34" s="3651"/>
      <c r="B34" s="3651"/>
      <c r="C34" s="3651"/>
      <c r="D34" s="3651"/>
    </row>
    <row r="35" spans="1:4" ht="15" customHeight="1">
      <c r="A35" s="3651"/>
      <c r="B35" s="3651"/>
      <c r="C35" s="3651"/>
      <c r="D35" s="3651"/>
    </row>
    <row r="36" spans="1:4" ht="15" customHeight="1">
      <c r="A36" s="3651"/>
      <c r="B36" s="3651"/>
      <c r="C36" s="3651"/>
      <c r="D36" s="3651"/>
    </row>
    <row r="37" spans="1:4" ht="15" customHeight="1">
      <c r="A37" s="3651"/>
      <c r="B37" s="3651"/>
      <c r="C37" s="3651"/>
      <c r="D37" s="3651"/>
    </row>
    <row r="38" spans="1:4" ht="15" customHeight="1">
      <c r="A38" s="3651"/>
      <c r="B38" s="3651"/>
      <c r="C38" s="3651"/>
      <c r="D38" s="3651"/>
    </row>
    <row r="39" spans="1:4" ht="15" customHeight="1">
      <c r="A39" s="3651"/>
      <c r="B39" s="3651"/>
      <c r="C39" s="3651"/>
      <c r="D39" s="3651"/>
    </row>
    <row r="40" spans="1:4" ht="15" customHeight="1">
      <c r="A40" s="3651"/>
      <c r="B40" s="3651"/>
      <c r="C40" s="3651"/>
      <c r="D40" s="3651"/>
    </row>
    <row r="41" spans="1:4" ht="15" customHeight="1">
      <c r="A41" s="3651"/>
      <c r="B41" s="3651"/>
      <c r="C41" s="3651"/>
      <c r="D41" s="3651"/>
    </row>
    <row r="42" spans="1:4" ht="15" customHeight="1">
      <c r="A42" s="3651"/>
      <c r="B42" s="3651"/>
      <c r="C42" s="3651"/>
      <c r="D42" s="3651"/>
    </row>
    <row r="43" spans="1:4" ht="15" customHeight="1">
      <c r="A43" s="3651"/>
      <c r="B43" s="3651"/>
      <c r="C43" s="3651"/>
      <c r="D43" s="3651"/>
    </row>
    <row r="44" spans="1:4" ht="15" customHeight="1">
      <c r="A44" s="3651"/>
      <c r="B44" s="3651"/>
      <c r="C44" s="3651"/>
      <c r="D44" s="3651"/>
    </row>
    <row r="45" spans="1:4" ht="15" customHeight="1">
      <c r="A45" s="3651"/>
      <c r="B45" s="3651"/>
      <c r="C45" s="3651"/>
      <c r="D45" s="3651"/>
    </row>
    <row r="46" spans="1:4" ht="15" customHeight="1">
      <c r="A46" s="3651"/>
      <c r="B46" s="3651"/>
      <c r="C46" s="3651"/>
      <c r="D46" s="3651"/>
    </row>
    <row r="47" spans="1:4" ht="15" customHeight="1">
      <c r="A47" s="3651"/>
      <c r="B47" s="3651"/>
      <c r="C47" s="3651"/>
      <c r="D47" s="3651"/>
    </row>
    <row r="48" spans="1:4" ht="15" customHeight="1">
      <c r="A48" s="3651"/>
      <c r="B48" s="3651"/>
      <c r="C48" s="3651"/>
      <c r="D48" s="3651"/>
    </row>
    <row r="49" spans="1:4" ht="15" customHeight="1">
      <c r="A49" s="3651"/>
      <c r="B49" s="3651"/>
      <c r="C49" s="3651"/>
      <c r="D49" s="3651"/>
    </row>
    <row r="50" spans="1:4" ht="15" customHeight="1">
      <c r="A50" s="3651"/>
      <c r="B50" s="3651"/>
      <c r="C50" s="3651"/>
      <c r="D50" s="3651"/>
    </row>
    <row r="51" spans="1:4" ht="15" customHeight="1">
      <c r="A51" s="3651"/>
      <c r="B51" s="3651"/>
      <c r="C51" s="3651"/>
      <c r="D51" s="3651"/>
    </row>
    <row r="52" spans="1:4" ht="15" customHeight="1">
      <c r="A52" s="3651"/>
      <c r="B52" s="3651"/>
      <c r="C52" s="3651"/>
      <c r="D52" s="3651"/>
    </row>
    <row r="53" spans="1:4" ht="15" customHeight="1">
      <c r="A53" s="3651"/>
      <c r="B53" s="3651"/>
      <c r="C53" s="3651"/>
      <c r="D53" s="3651"/>
    </row>
    <row r="54" spans="1:4" ht="15" customHeight="1">
      <c r="A54" s="3652"/>
      <c r="B54" s="3652"/>
      <c r="C54" s="3652"/>
      <c r="D54" s="3652"/>
    </row>
    <row r="55" spans="1:4" ht="15" customHeight="1">
      <c r="A55" s="3652"/>
      <c r="B55" s="3652"/>
      <c r="C55" s="3652"/>
      <c r="D55" s="3652"/>
    </row>
  </sheetData>
  <mergeCells count="2">
    <mergeCell ref="A1:D1"/>
    <mergeCell ref="A22:B22"/>
  </mergeCells>
  <phoneticPr fontId="140" type="noConversion"/>
  <pageMargins left="0.75" right="0.75" top="1" bottom="1" header="0.5" footer="0.5"/>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0</v>
      </c>
      <c r="C2" s="2009" t="s">
        <v>2099</v>
      </c>
      <c r="D2" s="2010" t="s">
        <v>2100</v>
      </c>
      <c r="E2" s="2783">
        <f>SUM(E6:E13)</f>
        <v>0</v>
      </c>
      <c r="F2" s="2886"/>
      <c r="G2" s="1625"/>
      <c r="H2" s="1625"/>
      <c r="I2" s="1625"/>
      <c r="J2" s="1625"/>
      <c r="K2" s="1625"/>
      <c r="L2" s="1625"/>
      <c r="M2" s="1625"/>
      <c r="N2" s="1625"/>
      <c r="O2" s="1625"/>
      <c r="P2" s="1625"/>
      <c r="Q2" s="1625"/>
      <c r="R2" s="1625"/>
      <c r="S2" s="1625"/>
    </row>
    <row r="3" spans="1:22" ht="15.75">
      <c r="A3" s="2007" t="s">
        <v>1119</v>
      </c>
      <c r="B3" s="2777" t="e">
        <f ca="1">ROUND(B2*10000/E2,0)</f>
        <v>#DIV/0!</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6" t="s">
        <v>2102</v>
      </c>
      <c r="C5" s="3447"/>
      <c r="D5" s="2887"/>
      <c r="E5" s="2011" t="s">
        <v>2103</v>
      </c>
      <c r="F5" s="2012" t="s">
        <v>2104</v>
      </c>
      <c r="G5" s="1625"/>
      <c r="H5" s="1625"/>
      <c r="I5" s="1625"/>
      <c r="J5" s="1625"/>
      <c r="K5" s="1625"/>
      <c r="L5" s="1625"/>
      <c r="M5" s="1625"/>
      <c r="N5" s="1625"/>
      <c r="O5" s="1625"/>
      <c r="P5" s="1625"/>
      <c r="Q5" s="1625"/>
      <c r="R5" s="1625"/>
      <c r="S5" s="1625"/>
    </row>
    <row r="6" spans="1:22">
      <c r="A6" s="2780">
        <f>'数据-取费表'!AN6</f>
        <v>0</v>
      </c>
      <c r="B6" s="2778" t="e">
        <f ca="1">IF(F6="是",'数据-取费表'!AO6,0)</f>
        <v>#REF!</v>
      </c>
      <c r="C6" s="2009" t="s">
        <v>2099</v>
      </c>
      <c r="D6" s="2888"/>
      <c r="E6" s="2782">
        <f>IF(OR(A6=0,F6="否"),0,'数据-取费表'!K6+'数据-取费表'!S6)</f>
        <v>0</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9852.5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6" t="s">
        <v>2116</v>
      </c>
      <c r="D4" s="3467"/>
      <c r="E4" s="3468" t="s">
        <v>2117</v>
      </c>
      <c r="F4" s="3469"/>
      <c r="G4" s="3466" t="s">
        <v>2118</v>
      </c>
      <c r="H4" s="3467"/>
      <c r="I4" s="3466" t="s">
        <v>2119</v>
      </c>
      <c r="J4" s="3467"/>
      <c r="K4" s="2026" t="s">
        <v>2120</v>
      </c>
      <c r="L4" s="2894"/>
      <c r="M4" s="2895"/>
      <c r="N4" s="2895"/>
      <c r="O4" s="2895"/>
      <c r="P4" s="3470" t="s">
        <v>2121</v>
      </c>
      <c r="Q4" s="3471"/>
      <c r="R4" s="3453" t="s">
        <v>2117</v>
      </c>
      <c r="S4" s="3454"/>
      <c r="T4" s="3453" t="s">
        <v>2118</v>
      </c>
      <c r="U4" s="3454"/>
      <c r="V4" s="3478" t="s">
        <v>2119</v>
      </c>
      <c r="W4" s="3478"/>
      <c r="X4" s="1490"/>
      <c r="Y4" s="3453" t="s">
        <v>2121</v>
      </c>
      <c r="Z4" s="3454"/>
      <c r="AA4" s="3448" t="s">
        <v>2117</v>
      </c>
      <c r="AB4" s="3448" t="s">
        <v>2118</v>
      </c>
      <c r="AC4" s="3448" t="s">
        <v>2119</v>
      </c>
    </row>
    <row r="5" spans="1:29" ht="15">
      <c r="A5" s="364"/>
      <c r="B5" s="365"/>
      <c r="C5" s="3459" t="s">
        <v>2122</v>
      </c>
      <c r="D5" s="3460"/>
      <c r="E5" s="3457" t="s">
        <v>2123</v>
      </c>
      <c r="F5" s="3458"/>
      <c r="G5" s="3459" t="s">
        <v>2124</v>
      </c>
      <c r="H5" s="3460"/>
      <c r="I5" s="3459" t="s">
        <v>2125</v>
      </c>
      <c r="J5" s="3460"/>
      <c r="K5" s="2027"/>
      <c r="L5" s="2894"/>
      <c r="M5" s="2895"/>
      <c r="N5" s="2895"/>
      <c r="O5" s="2895"/>
      <c r="P5" s="3472"/>
      <c r="Q5" s="3473"/>
      <c r="R5" s="3455"/>
      <c r="S5" s="3456"/>
      <c r="T5" s="3455"/>
      <c r="U5" s="3456"/>
      <c r="V5" s="3478"/>
      <c r="W5" s="3478"/>
      <c r="X5" s="1490"/>
      <c r="Y5" s="3455"/>
      <c r="Z5" s="3456"/>
      <c r="AA5" s="3449"/>
      <c r="AB5" s="3449"/>
      <c r="AC5" s="3449"/>
    </row>
    <row r="6" spans="1:29" ht="15.75" thickBot="1">
      <c r="A6" s="366"/>
      <c r="B6" s="367"/>
      <c r="C6" s="3461" t="s">
        <v>2126</v>
      </c>
      <c r="D6" s="3462"/>
      <c r="E6" s="3463" t="s">
        <v>2126</v>
      </c>
      <c r="F6" s="3464"/>
      <c r="G6" s="3461" t="s">
        <v>2126</v>
      </c>
      <c r="H6" s="3462"/>
      <c r="I6" s="3461" t="s">
        <v>2126</v>
      </c>
      <c r="J6" s="3462"/>
      <c r="K6" s="2027" t="s">
        <v>2127</v>
      </c>
      <c r="L6" s="2894"/>
      <c r="M6" s="2895"/>
      <c r="N6" s="2895"/>
      <c r="O6" s="2895"/>
      <c r="P6" s="3474"/>
      <c r="Q6" s="3475"/>
      <c r="R6" s="3455"/>
      <c r="S6" s="3456"/>
      <c r="T6" s="3476"/>
      <c r="U6" s="3477"/>
      <c r="V6" s="3478"/>
      <c r="W6" s="3478"/>
      <c r="X6" s="1490"/>
      <c r="Y6" s="3476"/>
      <c r="Z6" s="3477"/>
      <c r="AA6" s="3450"/>
      <c r="AB6" s="3450"/>
      <c r="AC6" s="3450"/>
    </row>
    <row r="7" spans="1:29" s="113" customFormat="1" ht="15.75" thickBot="1">
      <c r="A7" s="368" t="s">
        <v>2128</v>
      </c>
      <c r="B7" s="369"/>
      <c r="C7" s="370">
        <f>'数据-取费表'!B2</f>
        <v>44725</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1" t="s">
        <v>2129</v>
      </c>
      <c r="Q7" s="3479"/>
      <c r="R7" s="710" t="s">
        <v>23</v>
      </c>
      <c r="S7" s="711">
        <f t="shared" ref="S7:S15" si="0">F7</f>
        <v>0</v>
      </c>
      <c r="T7" s="710" t="s">
        <v>23</v>
      </c>
      <c r="U7" s="711">
        <f t="shared" ref="U7:U15" si="1">H7</f>
        <v>0</v>
      </c>
      <c r="V7" s="710" t="s">
        <v>23</v>
      </c>
      <c r="W7" s="711">
        <f t="shared" ref="W7:W15" si="2">J7</f>
        <v>0</v>
      </c>
      <c r="X7" s="712"/>
      <c r="Y7" s="3451" t="s">
        <v>2129</v>
      </c>
      <c r="Z7" s="3452"/>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1" t="s">
        <v>2132</v>
      </c>
      <c r="Q8" s="3452"/>
      <c r="R8" s="710" t="s">
        <v>23</v>
      </c>
      <c r="S8" s="711">
        <f t="shared" si="0"/>
        <v>0</v>
      </c>
      <c r="T8" s="710" t="s">
        <v>23</v>
      </c>
      <c r="U8" s="711">
        <f t="shared" si="1"/>
        <v>0</v>
      </c>
      <c r="V8" s="710" t="s">
        <v>23</v>
      </c>
      <c r="W8" s="711">
        <f t="shared" si="2"/>
        <v>0</v>
      </c>
      <c r="X8" s="712"/>
      <c r="Y8" s="3451" t="s">
        <v>2132</v>
      </c>
      <c r="Z8" s="345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5"/>
      <c r="Q11" s="1478" t="str">
        <f t="shared" si="6"/>
        <v>容积率</v>
      </c>
      <c r="R11" s="710" t="s">
        <v>21</v>
      </c>
      <c r="S11" s="711" t="e">
        <f t="shared" si="0"/>
        <v>#N/A</v>
      </c>
      <c r="T11" s="710" t="s">
        <v>21</v>
      </c>
      <c r="U11" s="711" t="e">
        <f t="shared" si="1"/>
        <v>#N/A</v>
      </c>
      <c r="V11" s="710" t="s">
        <v>21</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5"/>
      <c r="Q12" s="1478">
        <f t="shared" si="6"/>
        <v>111</v>
      </c>
      <c r="R12" s="710" t="s">
        <v>21</v>
      </c>
      <c r="S12" s="711">
        <f t="shared" si="0"/>
        <v>100</v>
      </c>
      <c r="T12" s="710" t="s">
        <v>21</v>
      </c>
      <c r="U12" s="711">
        <f t="shared" si="1"/>
        <v>100</v>
      </c>
      <c r="V12" s="710" t="s">
        <v>21</v>
      </c>
      <c r="W12" s="711">
        <f t="shared" si="2"/>
        <v>100</v>
      </c>
      <c r="X12" s="712"/>
      <c r="Y12" s="339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5"/>
      <c r="Q13" s="1478">
        <f t="shared" si="6"/>
        <v>111</v>
      </c>
      <c r="R13" s="710" t="s">
        <v>21</v>
      </c>
      <c r="S13" s="711">
        <f t="shared" si="0"/>
        <v>100</v>
      </c>
      <c r="T13" s="710" t="s">
        <v>21</v>
      </c>
      <c r="U13" s="711">
        <f t="shared" si="1"/>
        <v>100</v>
      </c>
      <c r="V13" s="710" t="s">
        <v>21</v>
      </c>
      <c r="W13" s="711">
        <f t="shared" si="2"/>
        <v>100</v>
      </c>
      <c r="X13" s="712"/>
      <c r="Y13" s="3395"/>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5"/>
      <c r="Q14" s="1478">
        <f t="shared" si="6"/>
        <v>111</v>
      </c>
      <c r="R14" s="710" t="s">
        <v>21</v>
      </c>
      <c r="S14" s="711">
        <f t="shared" si="0"/>
        <v>100</v>
      </c>
      <c r="T14" s="710" t="s">
        <v>21</v>
      </c>
      <c r="U14" s="711">
        <f t="shared" si="1"/>
        <v>100</v>
      </c>
      <c r="V14" s="710" t="s">
        <v>21</v>
      </c>
      <c r="W14" s="711">
        <f t="shared" si="2"/>
        <v>100</v>
      </c>
      <c r="X14" s="712"/>
      <c r="Y14" s="3395"/>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2" t="s">
        <v>2140</v>
      </c>
      <c r="Q15" s="1487" t="str">
        <f t="shared" si="6"/>
        <v>居住社区成熟度</v>
      </c>
      <c r="R15" s="714" t="s">
        <v>21</v>
      </c>
      <c r="S15" s="715">
        <f t="shared" si="0"/>
        <v>100</v>
      </c>
      <c r="T15" s="714" t="s">
        <v>21</v>
      </c>
      <c r="U15" s="715">
        <f t="shared" si="1"/>
        <v>100</v>
      </c>
      <c r="V15" s="714" t="s">
        <v>21</v>
      </c>
      <c r="W15" s="715">
        <f t="shared" si="2"/>
        <v>100</v>
      </c>
      <c r="X15" s="1490"/>
      <c r="Y15" s="3485"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3"/>
      <c r="Q16" s="1487"/>
      <c r="R16" s="714"/>
      <c r="S16" s="715"/>
      <c r="T16" s="714"/>
      <c r="U16" s="715"/>
      <c r="V16" s="714"/>
      <c r="W16" s="715"/>
      <c r="X16" s="1490"/>
      <c r="Y16" s="348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3"/>
      <c r="Q17" s="1487" t="str">
        <f>B17</f>
        <v>交通便捷度</v>
      </c>
      <c r="R17" s="714" t="s">
        <v>21</v>
      </c>
      <c r="S17" s="715">
        <f>F17</f>
        <v>100</v>
      </c>
      <c r="T17" s="714" t="s">
        <v>21</v>
      </c>
      <c r="U17" s="715">
        <f>H17</f>
        <v>100</v>
      </c>
      <c r="V17" s="714" t="s">
        <v>21</v>
      </c>
      <c r="W17" s="715">
        <f>J17</f>
        <v>100</v>
      </c>
      <c r="X17" s="1490"/>
      <c r="Y17" s="348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3"/>
      <c r="Q18" s="1487"/>
      <c r="R18" s="714"/>
      <c r="S18" s="715"/>
      <c r="T18" s="714"/>
      <c r="U18" s="715"/>
      <c r="V18" s="714"/>
      <c r="W18" s="715"/>
      <c r="X18" s="1490"/>
      <c r="Y18" s="3486"/>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3"/>
      <c r="Q19" s="1487" t="str">
        <f>B19</f>
        <v>公共配套设施</v>
      </c>
      <c r="R19" s="714" t="s">
        <v>21</v>
      </c>
      <c r="S19" s="715">
        <f>F19</f>
        <v>100</v>
      </c>
      <c r="T19" s="714" t="s">
        <v>21</v>
      </c>
      <c r="U19" s="715">
        <f>H19</f>
        <v>100</v>
      </c>
      <c r="V19" s="714" t="s">
        <v>21</v>
      </c>
      <c r="W19" s="715">
        <f>J19</f>
        <v>100</v>
      </c>
      <c r="X19" s="1490"/>
      <c r="Y19" s="348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3"/>
      <c r="Q20" s="1487"/>
      <c r="R20" s="714"/>
      <c r="S20" s="715"/>
      <c r="T20" s="714"/>
      <c r="U20" s="715"/>
      <c r="V20" s="714"/>
      <c r="W20" s="715"/>
      <c r="X20" s="1490"/>
      <c r="Y20" s="3486"/>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3"/>
      <c r="Q21" s="1487" t="str">
        <f>B21</f>
        <v>基础设施水平</v>
      </c>
      <c r="R21" s="714" t="s">
        <v>17</v>
      </c>
      <c r="S21" s="715">
        <f>F21</f>
        <v>100</v>
      </c>
      <c r="T21" s="714" t="s">
        <v>17</v>
      </c>
      <c r="U21" s="715">
        <f>H21</f>
        <v>100</v>
      </c>
      <c r="V21" s="714" t="s">
        <v>17</v>
      </c>
      <c r="W21" s="715">
        <f>J21</f>
        <v>100</v>
      </c>
      <c r="X21" s="1490"/>
      <c r="Y21" s="348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3"/>
      <c r="Q22" s="1487"/>
      <c r="R22" s="714"/>
      <c r="S22" s="715"/>
      <c r="T22" s="714"/>
      <c r="U22" s="715"/>
      <c r="V22" s="714"/>
      <c r="W22" s="715"/>
      <c r="X22" s="1490"/>
      <c r="Y22" s="3486"/>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3"/>
      <c r="Q23" s="1487" t="str">
        <f>B23</f>
        <v>自然及人文环境</v>
      </c>
      <c r="R23" s="714" t="s">
        <v>21</v>
      </c>
      <c r="S23" s="715">
        <f>F23</f>
        <v>100</v>
      </c>
      <c r="T23" s="714" t="s">
        <v>21</v>
      </c>
      <c r="U23" s="715">
        <f>H23</f>
        <v>100</v>
      </c>
      <c r="V23" s="714" t="s">
        <v>21</v>
      </c>
      <c r="W23" s="715">
        <f>J23</f>
        <v>100</v>
      </c>
      <c r="X23" s="1490"/>
      <c r="Y23" s="348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3"/>
      <c r="Q24" s="1487"/>
      <c r="R24" s="714"/>
      <c r="S24" s="715"/>
      <c r="T24" s="714"/>
      <c r="U24" s="715"/>
      <c r="V24" s="714"/>
      <c r="W24" s="715"/>
      <c r="X24" s="1490"/>
      <c r="Y24" s="3486"/>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6"/>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3"/>
      <c r="Q26" s="1487" t="str">
        <f t="shared" si="11"/>
        <v>朝向</v>
      </c>
      <c r="R26" s="714" t="s">
        <v>21</v>
      </c>
      <c r="S26" s="715">
        <f t="shared" si="12"/>
        <v>100</v>
      </c>
      <c r="T26" s="714" t="s">
        <v>21</v>
      </c>
      <c r="U26" s="715">
        <f t="shared" si="13"/>
        <v>100</v>
      </c>
      <c r="V26" s="714" t="s">
        <v>21</v>
      </c>
      <c r="W26" s="715">
        <f t="shared" si="14"/>
        <v>100</v>
      </c>
      <c r="X26" s="1490"/>
      <c r="Y26" s="348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3"/>
      <c r="Q27" s="1478">
        <f t="shared" si="11"/>
        <v>111</v>
      </c>
      <c r="R27" s="710" t="s">
        <v>21</v>
      </c>
      <c r="S27" s="711">
        <f t="shared" si="12"/>
        <v>100</v>
      </c>
      <c r="T27" s="710" t="s">
        <v>21</v>
      </c>
      <c r="U27" s="711">
        <f t="shared" si="13"/>
        <v>100</v>
      </c>
      <c r="V27" s="710" t="s">
        <v>21</v>
      </c>
      <c r="W27" s="711">
        <f t="shared" si="14"/>
        <v>100</v>
      </c>
      <c r="X27" s="712"/>
      <c r="Y27" s="348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3"/>
      <c r="Q28" s="1487">
        <f t="shared" si="11"/>
        <v>111</v>
      </c>
      <c r="R28" s="714" t="s">
        <v>21</v>
      </c>
      <c r="S28" s="715">
        <f t="shared" si="12"/>
        <v>100</v>
      </c>
      <c r="T28" s="714" t="s">
        <v>21</v>
      </c>
      <c r="U28" s="715">
        <f t="shared" si="13"/>
        <v>100</v>
      </c>
      <c r="V28" s="714" t="s">
        <v>21</v>
      </c>
      <c r="W28" s="715">
        <f t="shared" si="14"/>
        <v>100</v>
      </c>
      <c r="X28" s="1490"/>
      <c r="Y28" s="348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3"/>
      <c r="Q29" s="1487">
        <f t="shared" si="11"/>
        <v>111</v>
      </c>
      <c r="R29" s="714" t="s">
        <v>21</v>
      </c>
      <c r="S29" s="715">
        <f t="shared" si="12"/>
        <v>100</v>
      </c>
      <c r="T29" s="714" t="s">
        <v>21</v>
      </c>
      <c r="U29" s="715">
        <f t="shared" si="13"/>
        <v>100</v>
      </c>
      <c r="V29" s="714" t="s">
        <v>21</v>
      </c>
      <c r="W29" s="715">
        <f t="shared" si="14"/>
        <v>100</v>
      </c>
      <c r="X29" s="1490"/>
      <c r="Y29" s="348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3"/>
      <c r="Q30" s="1487">
        <f t="shared" si="11"/>
        <v>111</v>
      </c>
      <c r="R30" s="714" t="s">
        <v>21</v>
      </c>
      <c r="S30" s="715">
        <f t="shared" si="12"/>
        <v>100</v>
      </c>
      <c r="T30" s="714" t="s">
        <v>21</v>
      </c>
      <c r="U30" s="715">
        <f t="shared" si="13"/>
        <v>100</v>
      </c>
      <c r="V30" s="714" t="s">
        <v>21</v>
      </c>
      <c r="W30" s="715">
        <f t="shared" si="14"/>
        <v>100</v>
      </c>
      <c r="X30" s="1490"/>
      <c r="Y30" s="348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3"/>
      <c r="Q31" s="1487">
        <f t="shared" si="11"/>
        <v>111</v>
      </c>
      <c r="R31" s="714" t="s">
        <v>21</v>
      </c>
      <c r="S31" s="715">
        <f t="shared" si="12"/>
        <v>100</v>
      </c>
      <c r="T31" s="714" t="s">
        <v>21</v>
      </c>
      <c r="U31" s="715">
        <f t="shared" si="13"/>
        <v>100</v>
      </c>
      <c r="V31" s="714" t="s">
        <v>21</v>
      </c>
      <c r="W31" s="715">
        <f t="shared" si="14"/>
        <v>100</v>
      </c>
      <c r="X31" s="1490"/>
      <c r="Y31" s="3486"/>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7" t="s">
        <v>2145</v>
      </c>
      <c r="Q32" s="1487" t="str">
        <f t="shared" si="11"/>
        <v>建筑类型</v>
      </c>
      <c r="R32" s="714" t="s">
        <v>21</v>
      </c>
      <c r="S32" s="715">
        <f t="shared" si="12"/>
        <v>100</v>
      </c>
      <c r="T32" s="714" t="s">
        <v>21</v>
      </c>
      <c r="U32" s="715">
        <f t="shared" si="13"/>
        <v>100</v>
      </c>
      <c r="V32" s="714" t="s">
        <v>21</v>
      </c>
      <c r="W32" s="715">
        <f t="shared" si="14"/>
        <v>100</v>
      </c>
      <c r="X32" s="1490"/>
      <c r="Y32" s="349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88"/>
      <c r="Q33" s="716" t="str">
        <f t="shared" si="11"/>
        <v>项目建筑规模</v>
      </c>
      <c r="R33" s="717" t="s">
        <v>21</v>
      </c>
      <c r="S33" s="718" t="e">
        <f t="shared" si="12"/>
        <v>#N/A</v>
      </c>
      <c r="T33" s="717" t="s">
        <v>21</v>
      </c>
      <c r="U33" s="718" t="e">
        <f t="shared" si="13"/>
        <v>#N/A</v>
      </c>
      <c r="V33" s="717" t="s">
        <v>21</v>
      </c>
      <c r="W33" s="718" t="e">
        <f t="shared" si="14"/>
        <v>#N/A</v>
      </c>
      <c r="X33" s="719"/>
      <c r="Y33" s="3490"/>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88"/>
      <c r="Q34" s="1487" t="str">
        <f t="shared" si="11"/>
        <v>建筑结构</v>
      </c>
      <c r="R34" s="714" t="s">
        <v>21</v>
      </c>
      <c r="S34" s="715">
        <f t="shared" si="12"/>
        <v>100</v>
      </c>
      <c r="T34" s="714" t="s">
        <v>21</v>
      </c>
      <c r="U34" s="715">
        <f t="shared" si="13"/>
        <v>100</v>
      </c>
      <c r="V34" s="714" t="s">
        <v>21</v>
      </c>
      <c r="W34" s="715">
        <f t="shared" si="14"/>
        <v>100</v>
      </c>
      <c r="X34" s="1490"/>
      <c r="Y34" s="3490"/>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88"/>
      <c r="Q35" s="1487" t="str">
        <f t="shared" si="11"/>
        <v>建筑品质</v>
      </c>
      <c r="R35" s="714" t="s">
        <v>21</v>
      </c>
      <c r="S35" s="715">
        <f t="shared" si="12"/>
        <v>100</v>
      </c>
      <c r="T35" s="714" t="s">
        <v>21</v>
      </c>
      <c r="U35" s="715">
        <f t="shared" si="13"/>
        <v>100</v>
      </c>
      <c r="V35" s="714" t="s">
        <v>21</v>
      </c>
      <c r="W35" s="715">
        <f t="shared" si="14"/>
        <v>100</v>
      </c>
      <c r="X35" s="1490"/>
      <c r="Y35" s="3490"/>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88"/>
      <c r="Q36" s="1487" t="str">
        <f t="shared" si="11"/>
        <v>公共部分装修</v>
      </c>
      <c r="R36" s="714" t="s">
        <v>21</v>
      </c>
      <c r="S36" s="715">
        <f t="shared" si="12"/>
        <v>100</v>
      </c>
      <c r="T36" s="714" t="s">
        <v>21</v>
      </c>
      <c r="U36" s="715">
        <f t="shared" si="13"/>
        <v>100</v>
      </c>
      <c r="V36" s="714" t="s">
        <v>21</v>
      </c>
      <c r="W36" s="715">
        <f t="shared" si="14"/>
        <v>100</v>
      </c>
      <c r="X36" s="1490"/>
      <c r="Y36" s="349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88"/>
      <c r="Q37" s="1478" t="str">
        <f t="shared" si="11"/>
        <v>成新度</v>
      </c>
      <c r="R37" s="710" t="s">
        <v>21</v>
      </c>
      <c r="S37" s="711" t="e">
        <f t="shared" si="12"/>
        <v>#N/A</v>
      </c>
      <c r="T37" s="710" t="s">
        <v>21</v>
      </c>
      <c r="U37" s="711" t="e">
        <f t="shared" si="13"/>
        <v>#N/A</v>
      </c>
      <c r="V37" s="710" t="s">
        <v>21</v>
      </c>
      <c r="W37" s="711" t="e">
        <f t="shared" si="14"/>
        <v>#N/A</v>
      </c>
      <c r="X37" s="712"/>
      <c r="Y37" s="3490"/>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88" t="s">
        <v>2145</v>
      </c>
      <c r="Q38" s="1487" t="str">
        <f t="shared" si="11"/>
        <v>物业管理</v>
      </c>
      <c r="R38" s="714" t="s">
        <v>21</v>
      </c>
      <c r="S38" s="715">
        <f t="shared" si="12"/>
        <v>100</v>
      </c>
      <c r="T38" s="714" t="s">
        <v>21</v>
      </c>
      <c r="U38" s="715">
        <f t="shared" si="13"/>
        <v>100</v>
      </c>
      <c r="V38" s="714" t="s">
        <v>21</v>
      </c>
      <c r="W38" s="715">
        <f t="shared" si="14"/>
        <v>100</v>
      </c>
      <c r="X38" s="1490"/>
      <c r="Y38" s="3490"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88"/>
      <c r="Q39" s="1487" t="str">
        <f t="shared" si="11"/>
        <v>市政基础设施</v>
      </c>
      <c r="R39" s="714" t="s">
        <v>21</v>
      </c>
      <c r="S39" s="715">
        <f t="shared" si="12"/>
        <v>100</v>
      </c>
      <c r="T39" s="714" t="s">
        <v>21</v>
      </c>
      <c r="U39" s="715">
        <f t="shared" si="13"/>
        <v>100</v>
      </c>
      <c r="V39" s="714" t="s">
        <v>21</v>
      </c>
      <c r="W39" s="715">
        <f t="shared" si="14"/>
        <v>100</v>
      </c>
      <c r="X39" s="1490"/>
      <c r="Y39" s="3490"/>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88"/>
      <c r="Q40" s="1487" t="str">
        <f t="shared" si="11"/>
        <v>房型</v>
      </c>
      <c r="R40" s="714" t="s">
        <v>21</v>
      </c>
      <c r="S40" s="715">
        <f t="shared" si="12"/>
        <v>100</v>
      </c>
      <c r="T40" s="714" t="s">
        <v>21</v>
      </c>
      <c r="U40" s="715">
        <f t="shared" si="13"/>
        <v>100</v>
      </c>
      <c r="V40" s="714" t="s">
        <v>21</v>
      </c>
      <c r="W40" s="715">
        <f t="shared" si="14"/>
        <v>100</v>
      </c>
      <c r="X40" s="1490"/>
      <c r="Y40" s="3490"/>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88"/>
      <c r="Q41" s="716" t="str">
        <f t="shared" si="11"/>
        <v>单套/主力户型建筑面积</v>
      </c>
      <c r="R41" s="717" t="s">
        <v>21</v>
      </c>
      <c r="S41" s="718">
        <f t="shared" si="12"/>
        <v>100</v>
      </c>
      <c r="T41" s="717" t="s">
        <v>21</v>
      </c>
      <c r="U41" s="718">
        <f t="shared" si="13"/>
        <v>100</v>
      </c>
      <c r="V41" s="717" t="s">
        <v>21</v>
      </c>
      <c r="W41" s="718">
        <f t="shared" si="14"/>
        <v>100</v>
      </c>
      <c r="X41" s="719"/>
      <c r="Y41" s="3490"/>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88"/>
      <c r="Q42" s="1487" t="str">
        <f t="shared" si="11"/>
        <v>内部装修</v>
      </c>
      <c r="R42" s="714" t="s">
        <v>21</v>
      </c>
      <c r="S42" s="715">
        <f t="shared" si="12"/>
        <v>100</v>
      </c>
      <c r="T42" s="714" t="s">
        <v>21</v>
      </c>
      <c r="U42" s="715">
        <f t="shared" si="13"/>
        <v>100</v>
      </c>
      <c r="V42" s="714" t="s">
        <v>21</v>
      </c>
      <c r="W42" s="715">
        <f t="shared" si="14"/>
        <v>100</v>
      </c>
      <c r="X42" s="1490"/>
      <c r="Y42" s="3490"/>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88"/>
      <c r="Q43" s="1487" t="str">
        <f t="shared" si="11"/>
        <v>内部装修维护情况</v>
      </c>
      <c r="R43" s="714" t="s">
        <v>21</v>
      </c>
      <c r="S43" s="715">
        <f t="shared" si="12"/>
        <v>100</v>
      </c>
      <c r="T43" s="714" t="s">
        <v>21</v>
      </c>
      <c r="U43" s="715">
        <f t="shared" si="13"/>
        <v>100</v>
      </c>
      <c r="V43" s="714" t="s">
        <v>21</v>
      </c>
      <c r="W43" s="715">
        <f t="shared" si="14"/>
        <v>100</v>
      </c>
      <c r="X43" s="1490"/>
      <c r="Y43" s="349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88"/>
      <c r="Q44" s="1478">
        <f t="shared" si="11"/>
        <v>111</v>
      </c>
      <c r="R44" s="710" t="s">
        <v>21</v>
      </c>
      <c r="S44" s="711">
        <f t="shared" si="12"/>
        <v>100</v>
      </c>
      <c r="T44" s="710" t="s">
        <v>21</v>
      </c>
      <c r="U44" s="711">
        <f t="shared" si="13"/>
        <v>100</v>
      </c>
      <c r="V44" s="710" t="s">
        <v>21</v>
      </c>
      <c r="W44" s="711">
        <f t="shared" si="14"/>
        <v>100</v>
      </c>
      <c r="X44" s="712"/>
      <c r="Y44" s="349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88"/>
      <c r="Q45" s="1487">
        <f t="shared" si="11"/>
        <v>111</v>
      </c>
      <c r="R45" s="714" t="s">
        <v>21</v>
      </c>
      <c r="S45" s="715">
        <f t="shared" si="12"/>
        <v>100</v>
      </c>
      <c r="T45" s="714" t="s">
        <v>21</v>
      </c>
      <c r="U45" s="715">
        <f t="shared" si="13"/>
        <v>100</v>
      </c>
      <c r="V45" s="714" t="s">
        <v>21</v>
      </c>
      <c r="W45" s="715">
        <f t="shared" si="14"/>
        <v>100</v>
      </c>
      <c r="X45" s="1490"/>
      <c r="Y45" s="3490"/>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89"/>
      <c r="Q46" s="1487">
        <f t="shared" si="11"/>
        <v>111</v>
      </c>
      <c r="R46" s="714" t="s">
        <v>20</v>
      </c>
      <c r="S46" s="715">
        <f t="shared" si="12"/>
        <v>100</v>
      </c>
      <c r="T46" s="714" t="s">
        <v>20</v>
      </c>
      <c r="U46" s="715">
        <f t="shared" si="13"/>
        <v>100</v>
      </c>
      <c r="V46" s="714" t="s">
        <v>20</v>
      </c>
      <c r="W46" s="715">
        <f t="shared" si="14"/>
        <v>100</v>
      </c>
      <c r="X46" s="1490"/>
      <c r="Y46" s="3491"/>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3" t="str">
        <f>A47</f>
        <v>成交单价（元/平方米）</v>
      </c>
      <c r="Q47" s="3483"/>
      <c r="R47" s="3484">
        <f>E47</f>
        <v>0</v>
      </c>
      <c r="S47" s="3484"/>
      <c r="T47" s="3484">
        <f>G47</f>
        <v>0</v>
      </c>
      <c r="U47" s="3484"/>
      <c r="V47" s="3484">
        <f>I47</f>
        <v>0</v>
      </c>
      <c r="W47" s="3484"/>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3" t="str">
        <f>A48</f>
        <v>比较价值（元/平方米）</v>
      </c>
      <c r="Q48" s="348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9852.5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6" t="s">
        <v>2226</v>
      </c>
      <c r="D4" s="3467"/>
      <c r="E4" s="3468" t="s">
        <v>2227</v>
      </c>
      <c r="F4" s="3469"/>
      <c r="G4" s="3466" t="s">
        <v>2228</v>
      </c>
      <c r="H4" s="3467"/>
      <c r="I4" s="3466" t="s">
        <v>2229</v>
      </c>
      <c r="J4" s="3467"/>
      <c r="K4" s="567" t="s">
        <v>2230</v>
      </c>
      <c r="L4" s="2894"/>
      <c r="M4" s="2895"/>
      <c r="N4" s="2895"/>
      <c r="O4" s="2895"/>
      <c r="P4" s="3470" t="s">
        <v>2231</v>
      </c>
      <c r="Q4" s="3471"/>
      <c r="R4" s="3453" t="s">
        <v>2227</v>
      </c>
      <c r="S4" s="3454"/>
      <c r="T4" s="3453" t="s">
        <v>2228</v>
      </c>
      <c r="U4" s="3454"/>
      <c r="V4" s="3478" t="s">
        <v>2229</v>
      </c>
      <c r="W4" s="3478"/>
      <c r="X4" s="1490"/>
      <c r="Y4" s="3453" t="s">
        <v>2231</v>
      </c>
      <c r="Z4" s="3454"/>
      <c r="AA4" s="3448" t="s">
        <v>2227</v>
      </c>
      <c r="AB4" s="3478" t="s">
        <v>2228</v>
      </c>
      <c r="AC4" s="3448" t="s">
        <v>2229</v>
      </c>
    </row>
    <row r="5" spans="1:29" ht="15">
      <c r="A5" s="364"/>
      <c r="B5" s="365"/>
      <c r="C5" s="3459" t="s">
        <v>2122</v>
      </c>
      <c r="D5" s="3460"/>
      <c r="E5" s="3457" t="s">
        <v>2123</v>
      </c>
      <c r="F5" s="3458"/>
      <c r="G5" s="3459" t="s">
        <v>2124</v>
      </c>
      <c r="H5" s="3460"/>
      <c r="I5" s="3459" t="s">
        <v>2125</v>
      </c>
      <c r="J5" s="3460"/>
      <c r="K5" s="567"/>
      <c r="L5" s="2894"/>
      <c r="M5" s="2895"/>
      <c r="N5" s="2895"/>
      <c r="O5" s="2895"/>
      <c r="P5" s="3472"/>
      <c r="Q5" s="3473"/>
      <c r="R5" s="3455"/>
      <c r="S5" s="3456"/>
      <c r="T5" s="3455"/>
      <c r="U5" s="3456"/>
      <c r="V5" s="3478"/>
      <c r="W5" s="3478"/>
      <c r="X5" s="1490"/>
      <c r="Y5" s="3455"/>
      <c r="Z5" s="3456"/>
      <c r="AA5" s="3449"/>
      <c r="AB5" s="3478"/>
      <c r="AC5" s="3449"/>
    </row>
    <row r="6" spans="1:29" ht="15.75" thickBot="1">
      <c r="A6" s="366"/>
      <c r="B6" s="367"/>
      <c r="C6" s="3461" t="s">
        <v>2126</v>
      </c>
      <c r="D6" s="3462"/>
      <c r="E6" s="3463" t="s">
        <v>2126</v>
      </c>
      <c r="F6" s="3464"/>
      <c r="G6" s="3461" t="s">
        <v>2126</v>
      </c>
      <c r="H6" s="3462"/>
      <c r="I6" s="3461" t="s">
        <v>2126</v>
      </c>
      <c r="J6" s="3462"/>
      <c r="K6" s="567" t="s">
        <v>2127</v>
      </c>
      <c r="L6" s="2894"/>
      <c r="M6" s="2895"/>
      <c r="N6" s="2895"/>
      <c r="O6" s="2895"/>
      <c r="P6" s="3474"/>
      <c r="Q6" s="3475"/>
      <c r="R6" s="3455"/>
      <c r="S6" s="3456"/>
      <c r="T6" s="3476"/>
      <c r="U6" s="3477"/>
      <c r="V6" s="3478"/>
      <c r="W6" s="3478"/>
      <c r="X6" s="1490"/>
      <c r="Y6" s="3476"/>
      <c r="Z6" s="3477"/>
      <c r="AA6" s="3450"/>
      <c r="AB6" s="3478"/>
      <c r="AC6" s="3450"/>
    </row>
    <row r="7" spans="1:29" s="113" customFormat="1" ht="15.75" thickBot="1">
      <c r="A7" s="368" t="s">
        <v>2128</v>
      </c>
      <c r="B7" s="369"/>
      <c r="C7" s="370">
        <f>'数据-取费表'!B2</f>
        <v>44725</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1" t="s">
        <v>2129</v>
      </c>
      <c r="Q7" s="3479"/>
      <c r="R7" s="710" t="s">
        <v>17</v>
      </c>
      <c r="S7" s="711">
        <f t="shared" ref="S7:S15" si="0">F7</f>
        <v>0</v>
      </c>
      <c r="T7" s="710" t="s">
        <v>17</v>
      </c>
      <c r="U7" s="711">
        <f t="shared" ref="U7:U15" si="1">H7</f>
        <v>0</v>
      </c>
      <c r="V7" s="710" t="s">
        <v>17</v>
      </c>
      <c r="W7" s="711">
        <f t="shared" ref="W7:W15" si="2">J7</f>
        <v>0</v>
      </c>
      <c r="X7" s="712"/>
      <c r="Y7" s="3451" t="s">
        <v>2129</v>
      </c>
      <c r="Z7" s="345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1" t="s">
        <v>2132</v>
      </c>
      <c r="Q8" s="3452"/>
      <c r="R8" s="710" t="s">
        <v>17</v>
      </c>
      <c r="S8" s="711">
        <f t="shared" si="0"/>
        <v>0</v>
      </c>
      <c r="T8" s="710" t="s">
        <v>17</v>
      </c>
      <c r="U8" s="711">
        <f t="shared" si="1"/>
        <v>0</v>
      </c>
      <c r="V8" s="710" t="s">
        <v>17</v>
      </c>
      <c r="W8" s="711">
        <f t="shared" si="2"/>
        <v>0</v>
      </c>
      <c r="X8" s="712"/>
      <c r="Y8" s="3451" t="s">
        <v>2132</v>
      </c>
      <c r="Z8" s="345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2" t="s">
        <v>2140</v>
      </c>
      <c r="Q15" s="1487" t="str">
        <f t="shared" si="6"/>
        <v>商业繁华度</v>
      </c>
      <c r="R15" s="714" t="s">
        <v>17</v>
      </c>
      <c r="S15" s="715">
        <f t="shared" si="0"/>
        <v>100</v>
      </c>
      <c r="T15" s="714" t="s">
        <v>17</v>
      </c>
      <c r="U15" s="715">
        <f t="shared" si="1"/>
        <v>100</v>
      </c>
      <c r="V15" s="714" t="s">
        <v>17</v>
      </c>
      <c r="W15" s="715">
        <f t="shared" si="2"/>
        <v>100</v>
      </c>
      <c r="X15" s="1490"/>
      <c r="Y15" s="348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3"/>
      <c r="Q16" s="1487"/>
      <c r="R16" s="714"/>
      <c r="S16" s="715"/>
      <c r="T16" s="714"/>
      <c r="U16" s="715"/>
      <c r="V16" s="714"/>
      <c r="W16" s="715"/>
      <c r="X16" s="1490"/>
      <c r="Y16" s="348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3"/>
      <c r="Q17" s="1487" t="str">
        <f>B17</f>
        <v>交通便捷度</v>
      </c>
      <c r="R17" s="714" t="s">
        <v>17</v>
      </c>
      <c r="S17" s="715">
        <f>F17</f>
        <v>100</v>
      </c>
      <c r="T17" s="714" t="s">
        <v>17</v>
      </c>
      <c r="U17" s="715">
        <f>H17</f>
        <v>100</v>
      </c>
      <c r="V17" s="714" t="s">
        <v>17</v>
      </c>
      <c r="W17" s="715">
        <f>J17</f>
        <v>100</v>
      </c>
      <c r="X17" s="1490"/>
      <c r="Y17" s="348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3"/>
      <c r="Q18" s="1487"/>
      <c r="R18" s="714"/>
      <c r="S18" s="715"/>
      <c r="T18" s="714"/>
      <c r="U18" s="715"/>
      <c r="V18" s="714"/>
      <c r="W18" s="715"/>
      <c r="X18" s="1490"/>
      <c r="Y18" s="3486"/>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3"/>
      <c r="Q19" s="1487" t="str">
        <f>B19</f>
        <v>公共配套设施</v>
      </c>
      <c r="R19" s="714" t="s">
        <v>17</v>
      </c>
      <c r="S19" s="715">
        <f>F19</f>
        <v>100</v>
      </c>
      <c r="T19" s="714" t="s">
        <v>17</v>
      </c>
      <c r="U19" s="715">
        <f>H19</f>
        <v>100</v>
      </c>
      <c r="V19" s="714" t="s">
        <v>17</v>
      </c>
      <c r="W19" s="715">
        <f>J19</f>
        <v>100</v>
      </c>
      <c r="X19" s="1490"/>
      <c r="Y19" s="348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3"/>
      <c r="Q20" s="1487"/>
      <c r="R20" s="714"/>
      <c r="S20" s="715"/>
      <c r="T20" s="714"/>
      <c r="U20" s="715"/>
      <c r="V20" s="714"/>
      <c r="W20" s="715"/>
      <c r="X20" s="1490"/>
      <c r="Y20" s="3486"/>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3"/>
      <c r="Q21" s="1487" t="str">
        <f>B21</f>
        <v>基础设施水平</v>
      </c>
      <c r="R21" s="714" t="s">
        <v>17</v>
      </c>
      <c r="S21" s="715">
        <f>F21</f>
        <v>100</v>
      </c>
      <c r="T21" s="714" t="s">
        <v>17</v>
      </c>
      <c r="U21" s="715">
        <f>H21</f>
        <v>100</v>
      </c>
      <c r="V21" s="714" t="s">
        <v>17</v>
      </c>
      <c r="W21" s="715">
        <f>J21</f>
        <v>100</v>
      </c>
      <c r="X21" s="1490"/>
      <c r="Y21" s="348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3"/>
      <c r="Q22" s="1487"/>
      <c r="R22" s="714"/>
      <c r="S22" s="715"/>
      <c r="T22" s="714"/>
      <c r="U22" s="715"/>
      <c r="V22" s="714"/>
      <c r="W22" s="715"/>
      <c r="X22" s="1490"/>
      <c r="Y22" s="3486"/>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3"/>
      <c r="Q23" s="1487" t="str">
        <f>B23</f>
        <v>自然及人文环境</v>
      </c>
      <c r="R23" s="714" t="s">
        <v>17</v>
      </c>
      <c r="S23" s="715">
        <f>F23</f>
        <v>100</v>
      </c>
      <c r="T23" s="714" t="s">
        <v>17</v>
      </c>
      <c r="U23" s="715">
        <f>H23</f>
        <v>100</v>
      </c>
      <c r="V23" s="714" t="s">
        <v>17</v>
      </c>
      <c r="W23" s="715">
        <f>J23</f>
        <v>100</v>
      </c>
      <c r="X23" s="1490"/>
      <c r="Y23" s="348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3"/>
      <c r="Q24" s="1487"/>
      <c r="R24" s="714"/>
      <c r="S24" s="715"/>
      <c r="T24" s="714"/>
      <c r="U24" s="715"/>
      <c r="V24" s="714"/>
      <c r="W24" s="715"/>
      <c r="X24" s="1490"/>
      <c r="Y24" s="348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3"/>
      <c r="Q25" s="1487" t="str">
        <f t="shared" ref="Q25:Q46" si="11">B25</f>
        <v>临街状况</v>
      </c>
      <c r="R25" s="714" t="s">
        <v>17</v>
      </c>
      <c r="S25" s="715">
        <f>F25</f>
        <v>100</v>
      </c>
      <c r="T25" s="714" t="s">
        <v>17</v>
      </c>
      <c r="U25" s="715">
        <f>H25</f>
        <v>100</v>
      </c>
      <c r="V25" s="714" t="s">
        <v>17</v>
      </c>
      <c r="W25" s="715">
        <f>J25</f>
        <v>100</v>
      </c>
      <c r="X25" s="1490"/>
      <c r="Y25" s="348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3"/>
      <c r="Q26" s="1487" t="str">
        <f t="shared" si="11"/>
        <v>平面位置/可视性</v>
      </c>
      <c r="R26" s="714" t="s">
        <v>17</v>
      </c>
      <c r="S26" s="715">
        <f>F26</f>
        <v>100</v>
      </c>
      <c r="T26" s="714" t="s">
        <v>17</v>
      </c>
      <c r="U26" s="715">
        <f>H26</f>
        <v>100</v>
      </c>
      <c r="V26" s="714" t="s">
        <v>17</v>
      </c>
      <c r="W26" s="715">
        <f>J26</f>
        <v>100</v>
      </c>
      <c r="X26" s="1490"/>
      <c r="Y26" s="3486"/>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3"/>
      <c r="Q27" s="1478" t="str">
        <f t="shared" si="11"/>
        <v>人流量</v>
      </c>
      <c r="R27" s="710" t="s">
        <v>17</v>
      </c>
      <c r="S27" s="711">
        <f>F27</f>
        <v>100</v>
      </c>
      <c r="T27" s="710" t="s">
        <v>17</v>
      </c>
      <c r="U27" s="711">
        <f>H27</f>
        <v>100</v>
      </c>
      <c r="V27" s="710" t="s">
        <v>17</v>
      </c>
      <c r="W27" s="711">
        <f>J27</f>
        <v>100</v>
      </c>
      <c r="X27" s="712"/>
      <c r="Y27" s="348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3"/>
      <c r="Q29" s="1487">
        <f t="shared" si="11"/>
        <v>111</v>
      </c>
      <c r="R29" s="714" t="s">
        <v>17</v>
      </c>
      <c r="S29" s="715">
        <f t="shared" si="12"/>
        <v>100</v>
      </c>
      <c r="T29" s="714" t="s">
        <v>17</v>
      </c>
      <c r="U29" s="715">
        <f t="shared" si="13"/>
        <v>100</v>
      </c>
      <c r="V29" s="714" t="s">
        <v>17</v>
      </c>
      <c r="W29" s="715">
        <f t="shared" si="14"/>
        <v>100</v>
      </c>
      <c r="X29" s="1490"/>
      <c r="Y29" s="348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3"/>
      <c r="Q30" s="1487">
        <f t="shared" si="11"/>
        <v>111</v>
      </c>
      <c r="R30" s="714" t="s">
        <v>17</v>
      </c>
      <c r="S30" s="715">
        <f t="shared" si="12"/>
        <v>100</v>
      </c>
      <c r="T30" s="714" t="s">
        <v>17</v>
      </c>
      <c r="U30" s="715">
        <f t="shared" si="13"/>
        <v>100</v>
      </c>
      <c r="V30" s="714" t="s">
        <v>17</v>
      </c>
      <c r="W30" s="715">
        <f t="shared" si="14"/>
        <v>100</v>
      </c>
      <c r="X30" s="1490"/>
      <c r="Y30" s="348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3"/>
      <c r="Q31" s="1487">
        <f t="shared" si="11"/>
        <v>111</v>
      </c>
      <c r="R31" s="714" t="s">
        <v>17</v>
      </c>
      <c r="S31" s="715">
        <f t="shared" si="12"/>
        <v>100</v>
      </c>
      <c r="T31" s="714" t="s">
        <v>17</v>
      </c>
      <c r="U31" s="715">
        <f t="shared" si="13"/>
        <v>100</v>
      </c>
      <c r="V31" s="714" t="s">
        <v>17</v>
      </c>
      <c r="W31" s="715">
        <f t="shared" si="14"/>
        <v>100</v>
      </c>
      <c r="X31" s="1490"/>
      <c r="Y31" s="3486"/>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7" t="s">
        <v>2145</v>
      </c>
      <c r="Q32" s="1487" t="str">
        <f t="shared" si="11"/>
        <v>商业类型</v>
      </c>
      <c r="R32" s="714" t="s">
        <v>17</v>
      </c>
      <c r="S32" s="715">
        <f t="shared" si="12"/>
        <v>100</v>
      </c>
      <c r="T32" s="714" t="s">
        <v>17</v>
      </c>
      <c r="U32" s="715">
        <f t="shared" si="13"/>
        <v>100</v>
      </c>
      <c r="V32" s="714" t="s">
        <v>17</v>
      </c>
      <c r="W32" s="715">
        <f t="shared" si="14"/>
        <v>100</v>
      </c>
      <c r="X32" s="1490"/>
      <c r="Y32" s="349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88"/>
      <c r="Q33" s="716" t="str">
        <f t="shared" si="11"/>
        <v>项目建筑规模</v>
      </c>
      <c r="R33" s="717" t="s">
        <v>17</v>
      </c>
      <c r="S33" s="718" t="e">
        <f t="shared" si="12"/>
        <v>#N/A</v>
      </c>
      <c r="T33" s="717" t="s">
        <v>17</v>
      </c>
      <c r="U33" s="718" t="e">
        <f t="shared" si="13"/>
        <v>#N/A</v>
      </c>
      <c r="V33" s="717" t="s">
        <v>17</v>
      </c>
      <c r="W33" s="718" t="e">
        <f t="shared" si="14"/>
        <v>#N/A</v>
      </c>
      <c r="X33" s="719"/>
      <c r="Y33" s="3490"/>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88"/>
      <c r="Q34" s="1487" t="str">
        <f t="shared" si="11"/>
        <v>建筑结构</v>
      </c>
      <c r="R34" s="714" t="s">
        <v>17</v>
      </c>
      <c r="S34" s="715">
        <f t="shared" si="12"/>
        <v>100</v>
      </c>
      <c r="T34" s="714" t="s">
        <v>17</v>
      </c>
      <c r="U34" s="715">
        <f t="shared" si="13"/>
        <v>100</v>
      </c>
      <c r="V34" s="714" t="s">
        <v>17</v>
      </c>
      <c r="W34" s="715">
        <f t="shared" si="14"/>
        <v>100</v>
      </c>
      <c r="X34" s="1490"/>
      <c r="Y34" s="3490"/>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88"/>
      <c r="Q35" s="1487" t="str">
        <f t="shared" si="11"/>
        <v>公共部分装修</v>
      </c>
      <c r="R35" s="714" t="s">
        <v>17</v>
      </c>
      <c r="S35" s="715">
        <f t="shared" si="12"/>
        <v>100</v>
      </c>
      <c r="T35" s="714" t="s">
        <v>17</v>
      </c>
      <c r="U35" s="715">
        <f t="shared" si="13"/>
        <v>100</v>
      </c>
      <c r="V35" s="714" t="s">
        <v>17</v>
      </c>
      <c r="W35" s="715">
        <f t="shared" si="14"/>
        <v>100</v>
      </c>
      <c r="X35" s="1490"/>
      <c r="Y35" s="349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88"/>
      <c r="Q36" s="1487" t="str">
        <f t="shared" si="11"/>
        <v>成新度</v>
      </c>
      <c r="R36" s="714" t="s">
        <v>17</v>
      </c>
      <c r="S36" s="715" t="e">
        <f t="shared" si="12"/>
        <v>#N/A</v>
      </c>
      <c r="T36" s="714" t="s">
        <v>17</v>
      </c>
      <c r="U36" s="715" t="e">
        <f t="shared" si="13"/>
        <v>#N/A</v>
      </c>
      <c r="V36" s="714" t="s">
        <v>17</v>
      </c>
      <c r="W36" s="715" t="e">
        <f t="shared" si="14"/>
        <v>#N/A</v>
      </c>
      <c r="X36" s="1490"/>
      <c r="Y36" s="3490"/>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88"/>
      <c r="Q37" s="1478" t="str">
        <f t="shared" si="11"/>
        <v>市政基础设施</v>
      </c>
      <c r="R37" s="710" t="s">
        <v>17</v>
      </c>
      <c r="S37" s="711">
        <f t="shared" si="12"/>
        <v>100</v>
      </c>
      <c r="T37" s="710" t="s">
        <v>17</v>
      </c>
      <c r="U37" s="711">
        <f t="shared" si="13"/>
        <v>100</v>
      </c>
      <c r="V37" s="710" t="s">
        <v>17</v>
      </c>
      <c r="W37" s="711">
        <f t="shared" si="14"/>
        <v>100</v>
      </c>
      <c r="X37" s="712"/>
      <c r="Y37" s="3490"/>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88" t="s">
        <v>2145</v>
      </c>
      <c r="Q38" s="1487" t="str">
        <f t="shared" si="11"/>
        <v>业态</v>
      </c>
      <c r="R38" s="714" t="s">
        <v>17</v>
      </c>
      <c r="S38" s="715">
        <f t="shared" si="12"/>
        <v>100</v>
      </c>
      <c r="T38" s="714" t="s">
        <v>17</v>
      </c>
      <c r="U38" s="715">
        <f t="shared" si="13"/>
        <v>100</v>
      </c>
      <c r="V38" s="714" t="s">
        <v>17</v>
      </c>
      <c r="W38" s="715">
        <f t="shared" si="14"/>
        <v>100</v>
      </c>
      <c r="X38" s="1490"/>
      <c r="Y38" s="3490"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88"/>
      <c r="Q39" s="1487" t="str">
        <f t="shared" si="11"/>
        <v>层高</v>
      </c>
      <c r="R39" s="714" t="s">
        <v>17</v>
      </c>
      <c r="S39" s="715">
        <f t="shared" si="12"/>
        <v>100</v>
      </c>
      <c r="T39" s="714" t="s">
        <v>17</v>
      </c>
      <c r="U39" s="715">
        <f t="shared" si="13"/>
        <v>100</v>
      </c>
      <c r="V39" s="714" t="s">
        <v>17</v>
      </c>
      <c r="W39" s="715">
        <f t="shared" si="14"/>
        <v>100</v>
      </c>
      <c r="X39" s="1490"/>
      <c r="Y39" s="349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88"/>
      <c r="Q40" s="1487" t="str">
        <f t="shared" si="11"/>
        <v>单套建筑面积</v>
      </c>
      <c r="R40" s="714" t="s">
        <v>17</v>
      </c>
      <c r="S40" s="715">
        <f t="shared" si="12"/>
        <v>100</v>
      </c>
      <c r="T40" s="714" t="s">
        <v>17</v>
      </c>
      <c r="U40" s="715">
        <f t="shared" si="13"/>
        <v>100</v>
      </c>
      <c r="V40" s="714" t="s">
        <v>17</v>
      </c>
      <c r="W40" s="715">
        <f t="shared" si="14"/>
        <v>100</v>
      </c>
      <c r="X40" s="1490"/>
      <c r="Y40" s="349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88"/>
      <c r="Q41" s="716" t="str">
        <f t="shared" si="11"/>
        <v>进深比</v>
      </c>
      <c r="R41" s="717" t="s">
        <v>17</v>
      </c>
      <c r="S41" s="718">
        <f t="shared" si="12"/>
        <v>100</v>
      </c>
      <c r="T41" s="717" t="s">
        <v>17</v>
      </c>
      <c r="U41" s="718">
        <f t="shared" si="13"/>
        <v>100</v>
      </c>
      <c r="V41" s="717" t="s">
        <v>17</v>
      </c>
      <c r="W41" s="718">
        <f t="shared" si="14"/>
        <v>100</v>
      </c>
      <c r="X41" s="719"/>
      <c r="Y41" s="3490"/>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88"/>
      <c r="Q42" s="1487" t="str">
        <f t="shared" si="11"/>
        <v>内部装修</v>
      </c>
      <c r="R42" s="714" t="s">
        <v>17</v>
      </c>
      <c r="S42" s="715">
        <f t="shared" si="12"/>
        <v>100</v>
      </c>
      <c r="T42" s="714" t="s">
        <v>17</v>
      </c>
      <c r="U42" s="715">
        <f t="shared" si="13"/>
        <v>100</v>
      </c>
      <c r="V42" s="714" t="s">
        <v>17</v>
      </c>
      <c r="W42" s="715">
        <f t="shared" si="14"/>
        <v>100</v>
      </c>
      <c r="X42" s="1490"/>
      <c r="Y42" s="3490"/>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88"/>
      <c r="Q43" s="1487" t="str">
        <f t="shared" si="11"/>
        <v>内部装修维护情况</v>
      </c>
      <c r="R43" s="714" t="s">
        <v>17</v>
      </c>
      <c r="S43" s="715">
        <f t="shared" si="12"/>
        <v>100</v>
      </c>
      <c r="T43" s="714" t="s">
        <v>17</v>
      </c>
      <c r="U43" s="715">
        <f t="shared" si="13"/>
        <v>100</v>
      </c>
      <c r="V43" s="714" t="s">
        <v>17</v>
      </c>
      <c r="W43" s="715">
        <f t="shared" si="14"/>
        <v>100</v>
      </c>
      <c r="X43" s="1490"/>
      <c r="Y43" s="349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88"/>
      <c r="Q44" s="1478">
        <f t="shared" si="11"/>
        <v>111</v>
      </c>
      <c r="R44" s="710" t="s">
        <v>17</v>
      </c>
      <c r="S44" s="711">
        <f t="shared" si="12"/>
        <v>100</v>
      </c>
      <c r="T44" s="710" t="s">
        <v>17</v>
      </c>
      <c r="U44" s="711">
        <f t="shared" si="13"/>
        <v>100</v>
      </c>
      <c r="V44" s="710" t="s">
        <v>17</v>
      </c>
      <c r="W44" s="711">
        <f t="shared" si="14"/>
        <v>100</v>
      </c>
      <c r="X44" s="712"/>
      <c r="Y44" s="349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88"/>
      <c r="Q45" s="1487">
        <f t="shared" si="11"/>
        <v>111</v>
      </c>
      <c r="R45" s="714" t="s">
        <v>17</v>
      </c>
      <c r="S45" s="715">
        <f t="shared" si="12"/>
        <v>100</v>
      </c>
      <c r="T45" s="714" t="s">
        <v>17</v>
      </c>
      <c r="U45" s="715">
        <f t="shared" si="13"/>
        <v>100</v>
      </c>
      <c r="V45" s="714" t="s">
        <v>17</v>
      </c>
      <c r="W45" s="715">
        <f t="shared" si="14"/>
        <v>100</v>
      </c>
      <c r="X45" s="1490"/>
      <c r="Y45" s="3490"/>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89"/>
      <c r="Q46" s="1487">
        <f t="shared" si="11"/>
        <v>111</v>
      </c>
      <c r="R46" s="714" t="s">
        <v>17</v>
      </c>
      <c r="S46" s="715">
        <f t="shared" si="12"/>
        <v>100</v>
      </c>
      <c r="T46" s="714" t="s">
        <v>17</v>
      </c>
      <c r="U46" s="715">
        <f t="shared" si="13"/>
        <v>100</v>
      </c>
      <c r="V46" s="714" t="s">
        <v>17</v>
      </c>
      <c r="W46" s="715">
        <f t="shared" si="14"/>
        <v>100</v>
      </c>
      <c r="X46" s="1490"/>
      <c r="Y46" s="3491"/>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3" t="str">
        <f>A47</f>
        <v>成交单价（元/平方米）</v>
      </c>
      <c r="Q47" s="3483"/>
      <c r="R47" s="3478">
        <f>E47</f>
        <v>0</v>
      </c>
      <c r="S47" s="3478"/>
      <c r="T47" s="3478">
        <f>G47</f>
        <v>0</v>
      </c>
      <c r="U47" s="3478"/>
      <c r="V47" s="3478">
        <f>I47</f>
        <v>0</v>
      </c>
      <c r="W47" s="347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3" t="str">
        <f>A48</f>
        <v>比较价值（元/平方米）</v>
      </c>
      <c r="Q48" s="348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9852.5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6" t="s">
        <v>2226</v>
      </c>
      <c r="D4" s="3467"/>
      <c r="E4" s="3468" t="s">
        <v>2227</v>
      </c>
      <c r="F4" s="3469"/>
      <c r="G4" s="3466" t="s">
        <v>2228</v>
      </c>
      <c r="H4" s="3467"/>
      <c r="I4" s="3466" t="s">
        <v>2229</v>
      </c>
      <c r="J4" s="3467"/>
      <c r="K4" s="567" t="s">
        <v>2230</v>
      </c>
      <c r="L4" s="2894"/>
      <c r="M4" s="2895"/>
      <c r="N4" s="2895"/>
      <c r="O4" s="2895"/>
      <c r="P4" s="3500" t="s">
        <v>2231</v>
      </c>
      <c r="Q4" s="3501"/>
      <c r="R4" s="3495" t="s">
        <v>2227</v>
      </c>
      <c r="S4" s="3496"/>
      <c r="T4" s="3495" t="s">
        <v>2228</v>
      </c>
      <c r="U4" s="3496"/>
      <c r="V4" s="3504" t="s">
        <v>2229</v>
      </c>
      <c r="W4" s="3504"/>
      <c r="X4" s="2095"/>
      <c r="Y4" s="3495" t="s">
        <v>2231</v>
      </c>
      <c r="Z4" s="3496"/>
      <c r="AA4" s="3494" t="s">
        <v>2227</v>
      </c>
      <c r="AB4" s="3494" t="s">
        <v>2228</v>
      </c>
      <c r="AC4" s="3497" t="s">
        <v>2229</v>
      </c>
    </row>
    <row r="5" spans="1:29" ht="15">
      <c r="A5" s="364"/>
      <c r="B5" s="365"/>
      <c r="C5" s="3459" t="s">
        <v>2122</v>
      </c>
      <c r="D5" s="3460"/>
      <c r="E5" s="3457" t="s">
        <v>2123</v>
      </c>
      <c r="F5" s="3458"/>
      <c r="G5" s="3459" t="s">
        <v>2124</v>
      </c>
      <c r="H5" s="3460"/>
      <c r="I5" s="3459" t="s">
        <v>2125</v>
      </c>
      <c r="J5" s="3460"/>
      <c r="K5" s="567"/>
      <c r="L5" s="2894"/>
      <c r="M5" s="2895"/>
      <c r="N5" s="2895"/>
      <c r="O5" s="2895"/>
      <c r="P5" s="3502"/>
      <c r="Q5" s="3473"/>
      <c r="R5" s="3455"/>
      <c r="S5" s="3456"/>
      <c r="T5" s="3455"/>
      <c r="U5" s="3456"/>
      <c r="V5" s="3478"/>
      <c r="W5" s="3478"/>
      <c r="X5" s="1490"/>
      <c r="Y5" s="3455"/>
      <c r="Z5" s="3456"/>
      <c r="AA5" s="3449"/>
      <c r="AB5" s="3449"/>
      <c r="AC5" s="3498"/>
    </row>
    <row r="6" spans="1:29" ht="15.75" thickBot="1">
      <c r="A6" s="366"/>
      <c r="B6" s="367"/>
      <c r="C6" s="3461" t="s">
        <v>2126</v>
      </c>
      <c r="D6" s="3462"/>
      <c r="E6" s="3463" t="s">
        <v>2126</v>
      </c>
      <c r="F6" s="3464"/>
      <c r="G6" s="3461" t="s">
        <v>2126</v>
      </c>
      <c r="H6" s="3462"/>
      <c r="I6" s="3461" t="s">
        <v>2126</v>
      </c>
      <c r="J6" s="3462"/>
      <c r="K6" s="567" t="s">
        <v>2127</v>
      </c>
      <c r="L6" s="2894"/>
      <c r="M6" s="2895"/>
      <c r="N6" s="2895"/>
      <c r="O6" s="2895"/>
      <c r="P6" s="3503"/>
      <c r="Q6" s="3475"/>
      <c r="R6" s="3455"/>
      <c r="S6" s="3456"/>
      <c r="T6" s="3476"/>
      <c r="U6" s="3477"/>
      <c r="V6" s="3478"/>
      <c r="W6" s="3478"/>
      <c r="X6" s="1490"/>
      <c r="Y6" s="3476"/>
      <c r="Z6" s="3477"/>
      <c r="AA6" s="3450"/>
      <c r="AB6" s="3450"/>
      <c r="AC6" s="3499"/>
    </row>
    <row r="7" spans="1:29" s="113" customFormat="1" ht="15.75" thickBot="1">
      <c r="A7" s="368" t="s">
        <v>2128</v>
      </c>
      <c r="B7" s="369"/>
      <c r="C7" s="370">
        <f>'数据-取费表'!B2</f>
        <v>44725</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5" t="s">
        <v>2129</v>
      </c>
      <c r="Q7" s="3479"/>
      <c r="R7" s="710" t="s">
        <v>17</v>
      </c>
      <c r="S7" s="711">
        <f t="shared" ref="S7:S15" si="0">F7</f>
        <v>0</v>
      </c>
      <c r="T7" s="710" t="s">
        <v>17</v>
      </c>
      <c r="U7" s="711">
        <f t="shared" ref="U7:U15" si="1">H7</f>
        <v>0</v>
      </c>
      <c r="V7" s="710" t="s">
        <v>17</v>
      </c>
      <c r="W7" s="711">
        <f t="shared" ref="W7:W15" si="2">J7</f>
        <v>0</v>
      </c>
      <c r="X7" s="712"/>
      <c r="Y7" s="3451" t="s">
        <v>2129</v>
      </c>
      <c r="Z7" s="3452"/>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5" t="s">
        <v>2132</v>
      </c>
      <c r="Q8" s="3452"/>
      <c r="R8" s="710" t="s">
        <v>17</v>
      </c>
      <c r="S8" s="711">
        <f t="shared" si="0"/>
        <v>0</v>
      </c>
      <c r="T8" s="710" t="s">
        <v>17</v>
      </c>
      <c r="U8" s="711">
        <f t="shared" si="1"/>
        <v>0</v>
      </c>
      <c r="V8" s="710" t="s">
        <v>17</v>
      </c>
      <c r="W8" s="711">
        <f t="shared" si="2"/>
        <v>0</v>
      </c>
      <c r="X8" s="712"/>
      <c r="Y8" s="3451" t="s">
        <v>2132</v>
      </c>
      <c r="Z8" s="3452"/>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2" t="s">
        <v>2140</v>
      </c>
      <c r="Q15" s="1487" t="str">
        <f t="shared" si="6"/>
        <v>办公集聚程度</v>
      </c>
      <c r="R15" s="714" t="s">
        <v>17</v>
      </c>
      <c r="S15" s="715">
        <f t="shared" si="0"/>
        <v>100</v>
      </c>
      <c r="T15" s="714" t="s">
        <v>17</v>
      </c>
      <c r="U15" s="715">
        <f t="shared" si="1"/>
        <v>100</v>
      </c>
      <c r="V15" s="714" t="s">
        <v>17</v>
      </c>
      <c r="W15" s="715">
        <f t="shared" si="2"/>
        <v>100</v>
      </c>
      <c r="X15" s="1490"/>
      <c r="Y15" s="3485"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3"/>
      <c r="Q16" s="1487"/>
      <c r="R16" s="714"/>
      <c r="S16" s="715"/>
      <c r="T16" s="714"/>
      <c r="U16" s="715"/>
      <c r="V16" s="714"/>
      <c r="W16" s="715"/>
      <c r="X16" s="1490"/>
      <c r="Y16" s="3486"/>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3"/>
      <c r="Q17" s="1487" t="str">
        <f>B17</f>
        <v>交通便捷度</v>
      </c>
      <c r="R17" s="714" t="s">
        <v>17</v>
      </c>
      <c r="S17" s="715">
        <f>F17</f>
        <v>100</v>
      </c>
      <c r="T17" s="714" t="s">
        <v>17</v>
      </c>
      <c r="U17" s="715">
        <f>H17</f>
        <v>100</v>
      </c>
      <c r="V17" s="714" t="s">
        <v>17</v>
      </c>
      <c r="W17" s="715">
        <f>J17</f>
        <v>100</v>
      </c>
      <c r="X17" s="1490"/>
      <c r="Y17" s="348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3"/>
      <c r="Q18" s="1487"/>
      <c r="R18" s="714"/>
      <c r="S18" s="715"/>
      <c r="T18" s="714"/>
      <c r="U18" s="715"/>
      <c r="V18" s="714"/>
      <c r="W18" s="715"/>
      <c r="X18" s="1490"/>
      <c r="Y18" s="3486"/>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3"/>
      <c r="Q19" s="1487" t="str">
        <f>B19</f>
        <v>公共配套设施</v>
      </c>
      <c r="R19" s="714" t="s">
        <v>17</v>
      </c>
      <c r="S19" s="715">
        <f>F19</f>
        <v>100</v>
      </c>
      <c r="T19" s="714" t="s">
        <v>17</v>
      </c>
      <c r="U19" s="715">
        <f>H19</f>
        <v>100</v>
      </c>
      <c r="V19" s="714" t="s">
        <v>17</v>
      </c>
      <c r="W19" s="715">
        <f>J19</f>
        <v>100</v>
      </c>
      <c r="X19" s="1490"/>
      <c r="Y19" s="348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3"/>
      <c r="Q20" s="1487"/>
      <c r="R20" s="714"/>
      <c r="S20" s="715"/>
      <c r="T20" s="714"/>
      <c r="U20" s="715"/>
      <c r="V20" s="714"/>
      <c r="W20" s="715"/>
      <c r="X20" s="1490"/>
      <c r="Y20" s="3486"/>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3"/>
      <c r="Q21" s="1487" t="str">
        <f>B21</f>
        <v>基础设施水平</v>
      </c>
      <c r="R21" s="714" t="s">
        <v>17</v>
      </c>
      <c r="S21" s="715">
        <f>F21</f>
        <v>100</v>
      </c>
      <c r="T21" s="714" t="s">
        <v>17</v>
      </c>
      <c r="U21" s="715">
        <f>H21</f>
        <v>100</v>
      </c>
      <c r="V21" s="714" t="s">
        <v>17</v>
      </c>
      <c r="W21" s="715">
        <f>J21</f>
        <v>100</v>
      </c>
      <c r="X21" s="1490"/>
      <c r="Y21" s="348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3"/>
      <c r="Q22" s="1487"/>
      <c r="R22" s="714"/>
      <c r="S22" s="715"/>
      <c r="T22" s="714"/>
      <c r="U22" s="715"/>
      <c r="V22" s="714"/>
      <c r="W22" s="715"/>
      <c r="X22" s="1490"/>
      <c r="Y22" s="3486"/>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3"/>
      <c r="Q23" s="1487" t="str">
        <f>B23</f>
        <v>环境质量</v>
      </c>
      <c r="R23" s="714" t="s">
        <v>17</v>
      </c>
      <c r="S23" s="715">
        <f>F23</f>
        <v>100</v>
      </c>
      <c r="T23" s="714" t="s">
        <v>17</v>
      </c>
      <c r="U23" s="715">
        <f>H23</f>
        <v>100</v>
      </c>
      <c r="V23" s="714" t="s">
        <v>17</v>
      </c>
      <c r="W23" s="715">
        <f>J23</f>
        <v>100</v>
      </c>
      <c r="X23" s="1490"/>
      <c r="Y23" s="348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3"/>
      <c r="Q24" s="1487"/>
      <c r="R24" s="714"/>
      <c r="S24" s="715"/>
      <c r="T24" s="714"/>
      <c r="U24" s="715"/>
      <c r="V24" s="714"/>
      <c r="W24" s="715"/>
      <c r="X24" s="1490"/>
      <c r="Y24" s="3486"/>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3"/>
      <c r="Q25" s="1487" t="str">
        <f>B25</f>
        <v>毗邻道路的类型与等级</v>
      </c>
      <c r="R25" s="714" t="s">
        <v>17</v>
      </c>
      <c r="S25" s="715">
        <f>F25</f>
        <v>100</v>
      </c>
      <c r="T25" s="714" t="s">
        <v>17</v>
      </c>
      <c r="U25" s="715">
        <f>H25</f>
        <v>100</v>
      </c>
      <c r="V25" s="714" t="s">
        <v>17</v>
      </c>
      <c r="W25" s="715">
        <f>J25</f>
        <v>100</v>
      </c>
      <c r="X25" s="1490"/>
      <c r="Y25" s="348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3"/>
      <c r="Q26" s="1487"/>
      <c r="R26" s="714"/>
      <c r="S26" s="715"/>
      <c r="T26" s="714"/>
      <c r="U26" s="715"/>
      <c r="V26" s="714"/>
      <c r="W26" s="715"/>
      <c r="X26" s="1490"/>
      <c r="Y26" s="3486"/>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3"/>
      <c r="Q27" s="1487" t="str">
        <f t="shared" ref="Q27:Q47" si="11">B27</f>
        <v>楼层</v>
      </c>
      <c r="R27" s="714" t="s">
        <v>17</v>
      </c>
      <c r="S27" s="715">
        <f>F27</f>
        <v>100</v>
      </c>
      <c r="T27" s="714" t="s">
        <v>17</v>
      </c>
      <c r="U27" s="715">
        <f>H27</f>
        <v>100</v>
      </c>
      <c r="V27" s="714" t="s">
        <v>17</v>
      </c>
      <c r="W27" s="715">
        <f>J27</f>
        <v>100</v>
      </c>
      <c r="X27" s="1490"/>
      <c r="Y27" s="3486"/>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3"/>
      <c r="Q28" s="1478" t="str">
        <f t="shared" si="11"/>
        <v>朝向</v>
      </c>
      <c r="R28" s="710" t="s">
        <v>17</v>
      </c>
      <c r="S28" s="711">
        <f>F28</f>
        <v>100</v>
      </c>
      <c r="T28" s="710" t="s">
        <v>17</v>
      </c>
      <c r="U28" s="711">
        <f>H28</f>
        <v>100</v>
      </c>
      <c r="V28" s="710" t="s">
        <v>17</v>
      </c>
      <c r="W28" s="711">
        <f>J28</f>
        <v>100</v>
      </c>
      <c r="X28" s="712"/>
      <c r="Y28" s="348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3"/>
      <c r="Q29" s="1487">
        <f t="shared" si="11"/>
        <v>111</v>
      </c>
      <c r="R29" s="714" t="s">
        <v>17</v>
      </c>
      <c r="S29" s="715">
        <f t="shared" ref="S29:S47" si="12">F29</f>
        <v>100</v>
      </c>
      <c r="T29" s="714" t="s">
        <v>17</v>
      </c>
      <c r="U29" s="715">
        <f t="shared" ref="U29:U47" si="13">H29</f>
        <v>100</v>
      </c>
      <c r="V29" s="714" t="s">
        <v>17</v>
      </c>
      <c r="W29" s="715">
        <f t="shared" ref="W29:W47" si="14">J29</f>
        <v>100</v>
      </c>
      <c r="X29" s="1490"/>
      <c r="Y29" s="348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3"/>
      <c r="Q30" s="1487">
        <f t="shared" si="11"/>
        <v>111</v>
      </c>
      <c r="R30" s="714" t="s">
        <v>17</v>
      </c>
      <c r="S30" s="715">
        <f t="shared" si="12"/>
        <v>100</v>
      </c>
      <c r="T30" s="714" t="s">
        <v>17</v>
      </c>
      <c r="U30" s="715">
        <f t="shared" si="13"/>
        <v>100</v>
      </c>
      <c r="V30" s="714" t="s">
        <v>17</v>
      </c>
      <c r="W30" s="715">
        <f t="shared" si="14"/>
        <v>100</v>
      </c>
      <c r="X30" s="1490"/>
      <c r="Y30" s="348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3"/>
      <c r="Q31" s="1487">
        <f t="shared" si="11"/>
        <v>111</v>
      </c>
      <c r="R31" s="714" t="s">
        <v>17</v>
      </c>
      <c r="S31" s="715">
        <f t="shared" si="12"/>
        <v>100</v>
      </c>
      <c r="T31" s="714" t="s">
        <v>17</v>
      </c>
      <c r="U31" s="715">
        <f t="shared" si="13"/>
        <v>100</v>
      </c>
      <c r="V31" s="714" t="s">
        <v>17</v>
      </c>
      <c r="W31" s="715">
        <f t="shared" si="14"/>
        <v>100</v>
      </c>
      <c r="X31" s="1490"/>
      <c r="Y31" s="348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3"/>
      <c r="Q32" s="1487">
        <f t="shared" si="11"/>
        <v>111</v>
      </c>
      <c r="R32" s="714" t="s">
        <v>17</v>
      </c>
      <c r="S32" s="715">
        <f t="shared" si="12"/>
        <v>100</v>
      </c>
      <c r="T32" s="714" t="s">
        <v>17</v>
      </c>
      <c r="U32" s="715">
        <f t="shared" si="13"/>
        <v>100</v>
      </c>
      <c r="V32" s="714" t="s">
        <v>17</v>
      </c>
      <c r="W32" s="715">
        <f t="shared" si="14"/>
        <v>100</v>
      </c>
      <c r="X32" s="1490"/>
      <c r="Y32" s="3486"/>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7" t="s">
        <v>2145</v>
      </c>
      <c r="Q33" s="1487" t="str">
        <f t="shared" si="11"/>
        <v>建筑类型</v>
      </c>
      <c r="R33" s="714" t="s">
        <v>17</v>
      </c>
      <c r="S33" s="715">
        <f t="shared" si="12"/>
        <v>100</v>
      </c>
      <c r="T33" s="714" t="s">
        <v>17</v>
      </c>
      <c r="U33" s="715">
        <f t="shared" si="13"/>
        <v>100</v>
      </c>
      <c r="V33" s="714" t="s">
        <v>17</v>
      </c>
      <c r="W33" s="715">
        <f t="shared" si="14"/>
        <v>100</v>
      </c>
      <c r="X33" s="1490"/>
      <c r="Y33" s="3490"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88"/>
      <c r="Q34" s="716" t="str">
        <f t="shared" si="11"/>
        <v>项目建筑规模</v>
      </c>
      <c r="R34" s="717" t="s">
        <v>17</v>
      </c>
      <c r="S34" s="718" t="e">
        <f t="shared" si="12"/>
        <v>#N/A</v>
      </c>
      <c r="T34" s="717" t="s">
        <v>17</v>
      </c>
      <c r="U34" s="718" t="e">
        <f t="shared" si="13"/>
        <v>#N/A</v>
      </c>
      <c r="V34" s="717" t="s">
        <v>17</v>
      </c>
      <c r="W34" s="718" t="e">
        <f t="shared" si="14"/>
        <v>#N/A</v>
      </c>
      <c r="X34" s="719"/>
      <c r="Y34" s="3490"/>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88"/>
      <c r="Q35" s="1487" t="str">
        <f t="shared" si="11"/>
        <v>建筑结构</v>
      </c>
      <c r="R35" s="714" t="s">
        <v>17</v>
      </c>
      <c r="S35" s="715">
        <f t="shared" si="12"/>
        <v>100</v>
      </c>
      <c r="T35" s="714" t="s">
        <v>17</v>
      </c>
      <c r="U35" s="715">
        <f t="shared" si="13"/>
        <v>100</v>
      </c>
      <c r="V35" s="714" t="s">
        <v>17</v>
      </c>
      <c r="W35" s="715">
        <f t="shared" si="14"/>
        <v>100</v>
      </c>
      <c r="X35" s="1490"/>
      <c r="Y35" s="3490"/>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88"/>
      <c r="Q36" s="1487" t="str">
        <f t="shared" si="11"/>
        <v>公共部分装修</v>
      </c>
      <c r="R36" s="714" t="s">
        <v>17</v>
      </c>
      <c r="S36" s="715">
        <f t="shared" si="12"/>
        <v>100</v>
      </c>
      <c r="T36" s="714" t="s">
        <v>17</v>
      </c>
      <c r="U36" s="715">
        <f t="shared" si="13"/>
        <v>100</v>
      </c>
      <c r="V36" s="714" t="s">
        <v>17</v>
      </c>
      <c r="W36" s="715">
        <f t="shared" si="14"/>
        <v>100</v>
      </c>
      <c r="X36" s="1490"/>
      <c r="Y36" s="3490"/>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88"/>
      <c r="Q37" s="1487" t="str">
        <f t="shared" si="11"/>
        <v>成新度</v>
      </c>
      <c r="R37" s="714" t="s">
        <v>17</v>
      </c>
      <c r="S37" s="715" t="e">
        <f t="shared" si="12"/>
        <v>#N/A</v>
      </c>
      <c r="T37" s="714" t="s">
        <v>17</v>
      </c>
      <c r="U37" s="715" t="e">
        <f t="shared" si="13"/>
        <v>#N/A</v>
      </c>
      <c r="V37" s="714" t="s">
        <v>17</v>
      </c>
      <c r="W37" s="715" t="e">
        <f t="shared" si="14"/>
        <v>#N/A</v>
      </c>
      <c r="X37" s="1490"/>
      <c r="Y37" s="3490"/>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88"/>
      <c r="Q38" s="1478" t="str">
        <f t="shared" si="11"/>
        <v>写字楼等级</v>
      </c>
      <c r="R38" s="710" t="s">
        <v>17</v>
      </c>
      <c r="S38" s="711">
        <f t="shared" si="12"/>
        <v>100</v>
      </c>
      <c r="T38" s="710" t="s">
        <v>17</v>
      </c>
      <c r="U38" s="711">
        <f t="shared" si="13"/>
        <v>100</v>
      </c>
      <c r="V38" s="710" t="s">
        <v>17</v>
      </c>
      <c r="W38" s="711">
        <f t="shared" si="14"/>
        <v>100</v>
      </c>
      <c r="X38" s="712"/>
      <c r="Y38" s="3490"/>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88" t="s">
        <v>2145</v>
      </c>
      <c r="Q39" s="1487" t="str">
        <f t="shared" si="11"/>
        <v>物业管理</v>
      </c>
      <c r="R39" s="714" t="s">
        <v>17</v>
      </c>
      <c r="S39" s="715">
        <f t="shared" si="12"/>
        <v>100</v>
      </c>
      <c r="T39" s="714" t="s">
        <v>17</v>
      </c>
      <c r="U39" s="715">
        <f t="shared" si="13"/>
        <v>100</v>
      </c>
      <c r="V39" s="714" t="s">
        <v>17</v>
      </c>
      <c r="W39" s="715">
        <f t="shared" si="14"/>
        <v>100</v>
      </c>
      <c r="X39" s="1490"/>
      <c r="Y39" s="3490"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88"/>
      <c r="Q40" s="1487" t="str">
        <f t="shared" si="11"/>
        <v>市政基础设施</v>
      </c>
      <c r="R40" s="714" t="s">
        <v>17</v>
      </c>
      <c r="S40" s="715">
        <f t="shared" si="12"/>
        <v>100</v>
      </c>
      <c r="T40" s="714" t="s">
        <v>17</v>
      </c>
      <c r="U40" s="715">
        <f t="shared" si="13"/>
        <v>100</v>
      </c>
      <c r="V40" s="714" t="s">
        <v>17</v>
      </c>
      <c r="W40" s="715">
        <f t="shared" si="14"/>
        <v>100</v>
      </c>
      <c r="X40" s="1490"/>
      <c r="Y40" s="3490"/>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88"/>
      <c r="Q41" s="1487" t="str">
        <f t="shared" si="11"/>
        <v>层高</v>
      </c>
      <c r="R41" s="714" t="s">
        <v>17</v>
      </c>
      <c r="S41" s="715">
        <f t="shared" si="12"/>
        <v>100</v>
      </c>
      <c r="T41" s="714" t="s">
        <v>17</v>
      </c>
      <c r="U41" s="715">
        <f t="shared" si="13"/>
        <v>100</v>
      </c>
      <c r="V41" s="714" t="s">
        <v>17</v>
      </c>
      <c r="W41" s="715">
        <f t="shared" si="14"/>
        <v>100</v>
      </c>
      <c r="X41" s="1490"/>
      <c r="Y41" s="3490"/>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88"/>
      <c r="Q42" s="716" t="str">
        <f t="shared" si="11"/>
        <v>单套建筑面积</v>
      </c>
      <c r="R42" s="717" t="s">
        <v>17</v>
      </c>
      <c r="S42" s="718">
        <f t="shared" si="12"/>
        <v>100</v>
      </c>
      <c r="T42" s="717" t="s">
        <v>17</v>
      </c>
      <c r="U42" s="718">
        <f t="shared" si="13"/>
        <v>100</v>
      </c>
      <c r="V42" s="717" t="s">
        <v>17</v>
      </c>
      <c r="W42" s="718">
        <f t="shared" si="14"/>
        <v>100</v>
      </c>
      <c r="X42" s="719"/>
      <c r="Y42" s="3490"/>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88"/>
      <c r="Q43" s="1487" t="str">
        <f t="shared" si="11"/>
        <v>内部装修</v>
      </c>
      <c r="R43" s="714" t="s">
        <v>17</v>
      </c>
      <c r="S43" s="715">
        <f t="shared" si="12"/>
        <v>100</v>
      </c>
      <c r="T43" s="714" t="s">
        <v>17</v>
      </c>
      <c r="U43" s="715">
        <f t="shared" si="13"/>
        <v>100</v>
      </c>
      <c r="V43" s="714" t="s">
        <v>17</v>
      </c>
      <c r="W43" s="715">
        <f t="shared" si="14"/>
        <v>100</v>
      </c>
      <c r="X43" s="1490"/>
      <c r="Y43" s="3490"/>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88"/>
      <c r="Q44" s="1487" t="str">
        <f t="shared" si="11"/>
        <v>内部装修维护情况</v>
      </c>
      <c r="R44" s="714" t="s">
        <v>17</v>
      </c>
      <c r="S44" s="715">
        <f t="shared" si="12"/>
        <v>100</v>
      </c>
      <c r="T44" s="714" t="s">
        <v>17</v>
      </c>
      <c r="U44" s="715">
        <f t="shared" si="13"/>
        <v>100</v>
      </c>
      <c r="V44" s="714" t="s">
        <v>17</v>
      </c>
      <c r="W44" s="715">
        <f t="shared" si="14"/>
        <v>100</v>
      </c>
      <c r="X44" s="1490"/>
      <c r="Y44" s="3490"/>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88"/>
      <c r="Q45" s="1478">
        <f t="shared" si="11"/>
        <v>111</v>
      </c>
      <c r="R45" s="710" t="s">
        <v>17</v>
      </c>
      <c r="S45" s="711">
        <f t="shared" si="12"/>
        <v>100</v>
      </c>
      <c r="T45" s="710" t="s">
        <v>17</v>
      </c>
      <c r="U45" s="711">
        <f t="shared" si="13"/>
        <v>100</v>
      </c>
      <c r="V45" s="710" t="s">
        <v>17</v>
      </c>
      <c r="W45" s="711">
        <f t="shared" si="14"/>
        <v>100</v>
      </c>
      <c r="X45" s="712"/>
      <c r="Y45" s="3490"/>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88"/>
      <c r="Q46" s="1487">
        <f t="shared" si="11"/>
        <v>111</v>
      </c>
      <c r="R46" s="714" t="s">
        <v>17</v>
      </c>
      <c r="S46" s="715">
        <f t="shared" si="12"/>
        <v>100</v>
      </c>
      <c r="T46" s="714" t="s">
        <v>17</v>
      </c>
      <c r="U46" s="715">
        <f t="shared" si="13"/>
        <v>100</v>
      </c>
      <c r="V46" s="714" t="s">
        <v>17</v>
      </c>
      <c r="W46" s="715">
        <f t="shared" si="14"/>
        <v>100</v>
      </c>
      <c r="X46" s="1490"/>
      <c r="Y46" s="3490"/>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89"/>
      <c r="Q47" s="1487">
        <f t="shared" si="11"/>
        <v>111</v>
      </c>
      <c r="R47" s="714" t="s">
        <v>17</v>
      </c>
      <c r="S47" s="715">
        <f t="shared" si="12"/>
        <v>100</v>
      </c>
      <c r="T47" s="714" t="s">
        <v>17</v>
      </c>
      <c r="U47" s="715">
        <f t="shared" si="13"/>
        <v>100</v>
      </c>
      <c r="V47" s="714" t="s">
        <v>17</v>
      </c>
      <c r="W47" s="715">
        <f t="shared" si="14"/>
        <v>100</v>
      </c>
      <c r="X47" s="1490"/>
      <c r="Y47" s="3491"/>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5" t="str">
        <f>A48</f>
        <v>成交单价（元/平方米）</v>
      </c>
      <c r="Q48" s="3483"/>
      <c r="R48" s="3484">
        <f>E48</f>
        <v>0</v>
      </c>
      <c r="S48" s="3484"/>
      <c r="T48" s="3484">
        <f>G48</f>
        <v>0</v>
      </c>
      <c r="U48" s="3484"/>
      <c r="V48" s="3484">
        <f>I48</f>
        <v>0</v>
      </c>
      <c r="W48" s="3484"/>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5" t="str">
        <f>A49</f>
        <v>比较价值（元/平方米）</v>
      </c>
      <c r="Q49" s="3483"/>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6" t="str">
        <f>A50</f>
        <v>估价对象XX用房的比较价值（楼面单价，元/平方米）</v>
      </c>
      <c r="Q50" s="3507"/>
      <c r="R50" s="3508" t="e">
        <f>IF(F1="售价",ROUND(IF(D49="简单平均",AVERAGE(R49:V49),R49*F49+T49*H49+V49*J49),0),ROUND(IF(D49="简单平均",AVERAGE(R49:V49),R49*F49+T49*H49+V49*J49),1))</f>
        <v>#DIV/0!</v>
      </c>
      <c r="S50" s="3508"/>
      <c r="T50" s="3508"/>
      <c r="U50" s="3508"/>
      <c r="V50" s="3508"/>
      <c r="W50" s="3508"/>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9852.5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6" t="s">
        <v>2226</v>
      </c>
      <c r="D4" s="3467"/>
      <c r="E4" s="3468" t="s">
        <v>2227</v>
      </c>
      <c r="F4" s="3469"/>
      <c r="G4" s="3466" t="s">
        <v>2228</v>
      </c>
      <c r="H4" s="3467"/>
      <c r="I4" s="3466" t="s">
        <v>2229</v>
      </c>
      <c r="J4" s="3467"/>
      <c r="K4" s="567" t="s">
        <v>2230</v>
      </c>
      <c r="L4" s="1025"/>
      <c r="M4" s="1026"/>
      <c r="N4" s="1026"/>
      <c r="O4" s="1026"/>
      <c r="P4" s="3470" t="s">
        <v>2231</v>
      </c>
      <c r="Q4" s="3471"/>
      <c r="R4" s="3453" t="s">
        <v>2227</v>
      </c>
      <c r="S4" s="3454"/>
      <c r="T4" s="3453" t="s">
        <v>2228</v>
      </c>
      <c r="U4" s="3454"/>
      <c r="V4" s="3478" t="s">
        <v>2229</v>
      </c>
      <c r="W4" s="3478"/>
      <c r="X4" s="1490"/>
      <c r="Y4" s="3453" t="s">
        <v>2231</v>
      </c>
      <c r="Z4" s="3454"/>
      <c r="AA4" s="3448" t="s">
        <v>2227</v>
      </c>
      <c r="AB4" s="3449" t="s">
        <v>2228</v>
      </c>
      <c r="AC4" s="3448" t="s">
        <v>2229</v>
      </c>
    </row>
    <row r="5" spans="1:29" ht="15">
      <c r="A5" s="364"/>
      <c r="B5" s="365"/>
      <c r="C5" s="3459" t="s">
        <v>2122</v>
      </c>
      <c r="D5" s="3460"/>
      <c r="E5" s="3457" t="s">
        <v>2123</v>
      </c>
      <c r="F5" s="3458"/>
      <c r="G5" s="3459" t="s">
        <v>2124</v>
      </c>
      <c r="H5" s="3460"/>
      <c r="I5" s="3459" t="s">
        <v>2125</v>
      </c>
      <c r="J5" s="3460"/>
      <c r="K5" s="567"/>
      <c r="L5" s="1025"/>
      <c r="M5" s="1026"/>
      <c r="N5" s="1026"/>
      <c r="O5" s="1026"/>
      <c r="P5" s="3472"/>
      <c r="Q5" s="3473"/>
      <c r="R5" s="3455"/>
      <c r="S5" s="3456"/>
      <c r="T5" s="3455"/>
      <c r="U5" s="3456"/>
      <c r="V5" s="3478"/>
      <c r="W5" s="3478"/>
      <c r="X5" s="1490"/>
      <c r="Y5" s="3455"/>
      <c r="Z5" s="3456"/>
      <c r="AA5" s="3449"/>
      <c r="AB5" s="3449"/>
      <c r="AC5" s="3449"/>
    </row>
    <row r="6" spans="1:29" ht="15.75" thickBot="1">
      <c r="A6" s="366"/>
      <c r="B6" s="367"/>
      <c r="C6" s="3461" t="s">
        <v>2126</v>
      </c>
      <c r="D6" s="3462"/>
      <c r="E6" s="3463" t="s">
        <v>2126</v>
      </c>
      <c r="F6" s="3464"/>
      <c r="G6" s="3461" t="s">
        <v>2126</v>
      </c>
      <c r="H6" s="3462"/>
      <c r="I6" s="3461" t="s">
        <v>2126</v>
      </c>
      <c r="J6" s="3462"/>
      <c r="K6" s="567" t="s">
        <v>2127</v>
      </c>
      <c r="L6" s="1025"/>
      <c r="M6" s="1026"/>
      <c r="N6" s="1026"/>
      <c r="O6" s="1026"/>
      <c r="P6" s="3474"/>
      <c r="Q6" s="3475"/>
      <c r="R6" s="3455"/>
      <c r="S6" s="3456"/>
      <c r="T6" s="3476"/>
      <c r="U6" s="3477"/>
      <c r="V6" s="3478"/>
      <c r="W6" s="3478"/>
      <c r="X6" s="1490"/>
      <c r="Y6" s="3476"/>
      <c r="Z6" s="3477"/>
      <c r="AA6" s="3450"/>
      <c r="AB6" s="3450"/>
      <c r="AC6" s="3450"/>
    </row>
    <row r="7" spans="1:29" s="113" customFormat="1" ht="15.75" thickBot="1">
      <c r="A7" s="368" t="s">
        <v>2128</v>
      </c>
      <c r="B7" s="369"/>
      <c r="C7" s="370">
        <f>'数据-取费表'!B2</f>
        <v>44725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1" t="s">
        <v>2129</v>
      </c>
      <c r="Q7" s="3479"/>
      <c r="R7" s="710" t="s">
        <v>17</v>
      </c>
      <c r="S7" s="711">
        <f t="shared" ref="S7:S15" si="0">F7</f>
        <v>0</v>
      </c>
      <c r="T7" s="710" t="s">
        <v>17</v>
      </c>
      <c r="U7" s="711">
        <f t="shared" ref="U7:U15" si="1">H7</f>
        <v>0</v>
      </c>
      <c r="V7" s="710" t="s">
        <v>17</v>
      </c>
      <c r="W7" s="711">
        <f t="shared" ref="W7:W15" si="2">J7</f>
        <v>0</v>
      </c>
      <c r="X7" s="712"/>
      <c r="Y7" s="3451" t="s">
        <v>2129</v>
      </c>
      <c r="Z7" s="345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1" t="s">
        <v>2132</v>
      </c>
      <c r="Q8" s="3452"/>
      <c r="R8" s="710" t="s">
        <v>17</v>
      </c>
      <c r="S8" s="711">
        <f t="shared" si="0"/>
        <v>0</v>
      </c>
      <c r="T8" s="710" t="s">
        <v>17</v>
      </c>
      <c r="U8" s="711">
        <f t="shared" si="1"/>
        <v>0</v>
      </c>
      <c r="V8" s="710" t="s">
        <v>17</v>
      </c>
      <c r="W8" s="711">
        <f t="shared" si="2"/>
        <v>0</v>
      </c>
      <c r="X8" s="712"/>
      <c r="Y8" s="3451" t="s">
        <v>2132</v>
      </c>
      <c r="Z8" s="345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3"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3"/>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3"/>
      <c r="Q11" s="1478"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3"/>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3"/>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3"/>
      <c r="Q14" s="1478">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5" t="s">
        <v>2140</v>
      </c>
      <c r="Q15" s="1487" t="str">
        <f t="shared" si="6"/>
        <v>产业集聚程度</v>
      </c>
      <c r="R15" s="714" t="s">
        <v>17</v>
      </c>
      <c r="S15" s="715">
        <f t="shared" si="0"/>
        <v>100</v>
      </c>
      <c r="T15" s="714" t="s">
        <v>17</v>
      </c>
      <c r="U15" s="715">
        <f t="shared" si="1"/>
        <v>100</v>
      </c>
      <c r="V15" s="714" t="s">
        <v>17</v>
      </c>
      <c r="W15" s="715">
        <f t="shared" si="2"/>
        <v>100</v>
      </c>
      <c r="X15" s="1490"/>
      <c r="Y15" s="3485"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6"/>
      <c r="Q16" s="1487"/>
      <c r="R16" s="714"/>
      <c r="S16" s="715"/>
      <c r="T16" s="714"/>
      <c r="U16" s="715"/>
      <c r="V16" s="714"/>
      <c r="W16" s="715"/>
      <c r="X16" s="1490"/>
      <c r="Y16" s="3486"/>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6"/>
      <c r="Q17" s="1487" t="str">
        <f>B17</f>
        <v>交通便捷度</v>
      </c>
      <c r="R17" s="714" t="s">
        <v>17</v>
      </c>
      <c r="S17" s="715">
        <f>F17</f>
        <v>100</v>
      </c>
      <c r="T17" s="714" t="s">
        <v>17</v>
      </c>
      <c r="U17" s="715">
        <f>H17</f>
        <v>100</v>
      </c>
      <c r="V17" s="714" t="s">
        <v>17</v>
      </c>
      <c r="W17" s="715">
        <f>J17</f>
        <v>100</v>
      </c>
      <c r="X17" s="1490"/>
      <c r="Y17" s="348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6"/>
      <c r="Q18" s="1487"/>
      <c r="R18" s="714"/>
      <c r="S18" s="715"/>
      <c r="T18" s="714"/>
      <c r="U18" s="715"/>
      <c r="V18" s="714"/>
      <c r="W18" s="715"/>
      <c r="X18" s="1490"/>
      <c r="Y18" s="3486"/>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6"/>
      <c r="Q19" s="1487" t="str">
        <f>B19</f>
        <v>公共配套设施</v>
      </c>
      <c r="R19" s="714" t="s">
        <v>17</v>
      </c>
      <c r="S19" s="715">
        <f>F19</f>
        <v>100</v>
      </c>
      <c r="T19" s="714" t="s">
        <v>17</v>
      </c>
      <c r="U19" s="715">
        <f>H19</f>
        <v>100</v>
      </c>
      <c r="V19" s="714" t="s">
        <v>17</v>
      </c>
      <c r="W19" s="715">
        <f>J19</f>
        <v>100</v>
      </c>
      <c r="X19" s="1490"/>
      <c r="Y19" s="348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6"/>
      <c r="Q20" s="1487"/>
      <c r="R20" s="714"/>
      <c r="S20" s="715"/>
      <c r="T20" s="714"/>
      <c r="U20" s="715"/>
      <c r="V20" s="714"/>
      <c r="W20" s="715"/>
      <c r="X20" s="1490"/>
      <c r="Y20" s="3486"/>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6"/>
      <c r="Q21" s="1487" t="str">
        <f>B21</f>
        <v>基础设施水平</v>
      </c>
      <c r="R21" s="714" t="s">
        <v>17</v>
      </c>
      <c r="S21" s="715">
        <f>F21</f>
        <v>100</v>
      </c>
      <c r="T21" s="714" t="s">
        <v>17</v>
      </c>
      <c r="U21" s="715">
        <f>H21</f>
        <v>100</v>
      </c>
      <c r="V21" s="714" t="s">
        <v>17</v>
      </c>
      <c r="W21" s="715">
        <f>J21</f>
        <v>100</v>
      </c>
      <c r="X21" s="1490"/>
      <c r="Y21" s="348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6"/>
      <c r="Q22" s="1487"/>
      <c r="R22" s="714"/>
      <c r="S22" s="715"/>
      <c r="T22" s="714"/>
      <c r="U22" s="715"/>
      <c r="V22" s="714"/>
      <c r="W22" s="715"/>
      <c r="X22" s="1490"/>
      <c r="Y22" s="3486"/>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6"/>
      <c r="Q23" s="1487" t="str">
        <f>B23</f>
        <v>环境质量</v>
      </c>
      <c r="R23" s="714" t="s">
        <v>17</v>
      </c>
      <c r="S23" s="715">
        <f>F23</f>
        <v>100</v>
      </c>
      <c r="T23" s="714" t="s">
        <v>17</v>
      </c>
      <c r="U23" s="715">
        <f>H23</f>
        <v>100</v>
      </c>
      <c r="V23" s="714" t="s">
        <v>17</v>
      </c>
      <c r="W23" s="715">
        <f>J23</f>
        <v>100</v>
      </c>
      <c r="X23" s="1490"/>
      <c r="Y23" s="348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6"/>
      <c r="Q24" s="1487"/>
      <c r="R24" s="714"/>
      <c r="S24" s="715"/>
      <c r="T24" s="714"/>
      <c r="U24" s="715"/>
      <c r="V24" s="714"/>
      <c r="W24" s="715"/>
      <c r="X24" s="1490"/>
      <c r="Y24" s="348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6"/>
      <c r="Q25" s="1487">
        <f>B25</f>
        <v>111</v>
      </c>
      <c r="R25" s="714" t="s">
        <v>17</v>
      </c>
      <c r="S25" s="715">
        <f>F25</f>
        <v>100</v>
      </c>
      <c r="T25" s="714" t="s">
        <v>17</v>
      </c>
      <c r="U25" s="715">
        <f>H25</f>
        <v>100</v>
      </c>
      <c r="V25" s="714" t="s">
        <v>17</v>
      </c>
      <c r="W25" s="715">
        <f>J25</f>
        <v>100</v>
      </c>
      <c r="X25" s="1490"/>
      <c r="Y25" s="348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6"/>
      <c r="Q26" s="1487">
        <f t="shared" ref="Q26:Q40" si="11">B26</f>
        <v>111</v>
      </c>
      <c r="R26" s="714" t="s">
        <v>17</v>
      </c>
      <c r="S26" s="715">
        <f>F26</f>
        <v>100</v>
      </c>
      <c r="T26" s="714" t="s">
        <v>17</v>
      </c>
      <c r="U26" s="715">
        <f>H26</f>
        <v>100</v>
      </c>
      <c r="V26" s="714" t="s">
        <v>17</v>
      </c>
      <c r="W26" s="715">
        <f>J26</f>
        <v>100</v>
      </c>
      <c r="X26" s="1490"/>
      <c r="Y26" s="348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6"/>
      <c r="Q27" s="1478">
        <f t="shared" si="11"/>
        <v>111</v>
      </c>
      <c r="R27" s="710" t="s">
        <v>17</v>
      </c>
      <c r="S27" s="711">
        <f>F27</f>
        <v>100</v>
      </c>
      <c r="T27" s="710" t="s">
        <v>17</v>
      </c>
      <c r="U27" s="711">
        <f>H27</f>
        <v>100</v>
      </c>
      <c r="V27" s="710" t="s">
        <v>17</v>
      </c>
      <c r="W27" s="711">
        <f>J27</f>
        <v>100</v>
      </c>
      <c r="X27" s="712"/>
      <c r="Y27" s="348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6"/>
      <c r="Q28" s="1487">
        <f t="shared" si="11"/>
        <v>111</v>
      </c>
      <c r="R28" s="714" t="s">
        <v>17</v>
      </c>
      <c r="S28" s="715">
        <f t="shared" ref="S28:S40" si="12">F28</f>
        <v>100</v>
      </c>
      <c r="T28" s="714" t="s">
        <v>17</v>
      </c>
      <c r="U28" s="715">
        <f t="shared" ref="U28:U40" si="13">H28</f>
        <v>100</v>
      </c>
      <c r="V28" s="714" t="s">
        <v>17</v>
      </c>
      <c r="W28" s="715">
        <f t="shared" ref="W28:W40" si="14">J28</f>
        <v>100</v>
      </c>
      <c r="X28" s="1490"/>
      <c r="Y28" s="3486"/>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09" t="s">
        <v>2145</v>
      </c>
      <c r="Q29" s="1487" t="str">
        <f t="shared" si="11"/>
        <v>建筑类型</v>
      </c>
      <c r="R29" s="714" t="s">
        <v>17</v>
      </c>
      <c r="S29" s="715">
        <f t="shared" si="12"/>
        <v>100</v>
      </c>
      <c r="T29" s="714" t="s">
        <v>17</v>
      </c>
      <c r="U29" s="715">
        <f t="shared" si="13"/>
        <v>100</v>
      </c>
      <c r="V29" s="714" t="s">
        <v>17</v>
      </c>
      <c r="W29" s="715">
        <f t="shared" si="14"/>
        <v>100</v>
      </c>
      <c r="X29" s="1490"/>
      <c r="Y29" s="349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0"/>
      <c r="Q30" s="716" t="str">
        <f t="shared" si="11"/>
        <v>项目建筑规模</v>
      </c>
      <c r="R30" s="717" t="s">
        <v>17</v>
      </c>
      <c r="S30" s="718" t="e">
        <f t="shared" si="12"/>
        <v>#N/A</v>
      </c>
      <c r="T30" s="717" t="s">
        <v>17</v>
      </c>
      <c r="U30" s="718" t="e">
        <f t="shared" si="13"/>
        <v>#N/A</v>
      </c>
      <c r="V30" s="717" t="s">
        <v>17</v>
      </c>
      <c r="W30" s="718" t="e">
        <f t="shared" si="14"/>
        <v>#N/A</v>
      </c>
      <c r="X30" s="719"/>
      <c r="Y30" s="349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0"/>
      <c r="Q31" s="1487" t="str">
        <f t="shared" si="11"/>
        <v>建筑结构</v>
      </c>
      <c r="R31" s="714" t="s">
        <v>17</v>
      </c>
      <c r="S31" s="715">
        <f t="shared" si="12"/>
        <v>100</v>
      </c>
      <c r="T31" s="714" t="s">
        <v>17</v>
      </c>
      <c r="U31" s="715">
        <f t="shared" si="13"/>
        <v>100</v>
      </c>
      <c r="V31" s="714" t="s">
        <v>17</v>
      </c>
      <c r="W31" s="715">
        <f t="shared" si="14"/>
        <v>100</v>
      </c>
      <c r="X31" s="1490"/>
      <c r="Y31" s="349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0"/>
      <c r="Q32" s="1487" t="str">
        <f t="shared" si="11"/>
        <v>公共部分装修</v>
      </c>
      <c r="R32" s="714" t="s">
        <v>17</v>
      </c>
      <c r="S32" s="715">
        <f t="shared" si="12"/>
        <v>100</v>
      </c>
      <c r="T32" s="714" t="s">
        <v>17</v>
      </c>
      <c r="U32" s="715">
        <f t="shared" si="13"/>
        <v>100</v>
      </c>
      <c r="V32" s="714" t="s">
        <v>17</v>
      </c>
      <c r="W32" s="715">
        <f t="shared" si="14"/>
        <v>100</v>
      </c>
      <c r="X32" s="1490"/>
      <c r="Y32" s="349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0"/>
      <c r="Q33" s="1487" t="str">
        <f t="shared" si="11"/>
        <v>成新度</v>
      </c>
      <c r="R33" s="714" t="s">
        <v>17</v>
      </c>
      <c r="S33" s="715" t="e">
        <f t="shared" si="12"/>
        <v>#N/A</v>
      </c>
      <c r="T33" s="714" t="s">
        <v>17</v>
      </c>
      <c r="U33" s="715" t="e">
        <f t="shared" si="13"/>
        <v>#N/A</v>
      </c>
      <c r="V33" s="714" t="s">
        <v>17</v>
      </c>
      <c r="W33" s="715" t="e">
        <f t="shared" si="14"/>
        <v>#N/A</v>
      </c>
      <c r="X33" s="1490"/>
      <c r="Y33" s="349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0"/>
      <c r="Q34" s="1478" t="str">
        <f t="shared" si="11"/>
        <v>物业管理</v>
      </c>
      <c r="R34" s="710" t="s">
        <v>17</v>
      </c>
      <c r="S34" s="711">
        <f t="shared" si="12"/>
        <v>100</v>
      </c>
      <c r="T34" s="710" t="s">
        <v>17</v>
      </c>
      <c r="U34" s="711">
        <f t="shared" si="13"/>
        <v>100</v>
      </c>
      <c r="V34" s="710" t="s">
        <v>17</v>
      </c>
      <c r="W34" s="711">
        <f t="shared" si="14"/>
        <v>100</v>
      </c>
      <c r="X34" s="712"/>
      <c r="Y34" s="349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0" t="s">
        <v>2145</v>
      </c>
      <c r="Q35" s="1487" t="str">
        <f t="shared" si="11"/>
        <v>市政基础设施</v>
      </c>
      <c r="R35" s="714" t="s">
        <v>17</v>
      </c>
      <c r="S35" s="715">
        <f t="shared" si="12"/>
        <v>100</v>
      </c>
      <c r="T35" s="714" t="s">
        <v>17</v>
      </c>
      <c r="U35" s="715">
        <f t="shared" si="13"/>
        <v>100</v>
      </c>
      <c r="V35" s="714" t="s">
        <v>17</v>
      </c>
      <c r="W35" s="715">
        <f t="shared" si="14"/>
        <v>100</v>
      </c>
      <c r="X35" s="1490"/>
      <c r="Y35" s="349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0"/>
      <c r="Q36" s="1487" t="str">
        <f t="shared" si="11"/>
        <v>内部装修</v>
      </c>
      <c r="R36" s="714" t="s">
        <v>17</v>
      </c>
      <c r="S36" s="715">
        <f t="shared" si="12"/>
        <v>100</v>
      </c>
      <c r="T36" s="714" t="s">
        <v>17</v>
      </c>
      <c r="U36" s="715">
        <f t="shared" si="13"/>
        <v>100</v>
      </c>
      <c r="V36" s="714" t="s">
        <v>17</v>
      </c>
      <c r="W36" s="715">
        <f t="shared" si="14"/>
        <v>100</v>
      </c>
      <c r="X36" s="1490"/>
      <c r="Y36" s="349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0"/>
      <c r="Q37" s="1487" t="str">
        <f t="shared" si="11"/>
        <v>内部装修状况</v>
      </c>
      <c r="R37" s="714" t="s">
        <v>17</v>
      </c>
      <c r="S37" s="715">
        <f t="shared" si="12"/>
        <v>100</v>
      </c>
      <c r="T37" s="714" t="s">
        <v>17</v>
      </c>
      <c r="U37" s="715">
        <f t="shared" si="13"/>
        <v>100</v>
      </c>
      <c r="V37" s="714" t="s">
        <v>17</v>
      </c>
      <c r="W37" s="715">
        <f t="shared" si="14"/>
        <v>100</v>
      </c>
      <c r="X37" s="1490"/>
      <c r="Y37" s="349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0"/>
      <c r="Q38" s="716">
        <f t="shared" si="11"/>
        <v>111</v>
      </c>
      <c r="R38" s="717" t="s">
        <v>17</v>
      </c>
      <c r="S38" s="718">
        <f t="shared" si="12"/>
        <v>100</v>
      </c>
      <c r="T38" s="717" t="s">
        <v>17</v>
      </c>
      <c r="U38" s="718">
        <f t="shared" si="13"/>
        <v>100</v>
      </c>
      <c r="V38" s="717" t="s">
        <v>17</v>
      </c>
      <c r="W38" s="718">
        <f t="shared" si="14"/>
        <v>100</v>
      </c>
      <c r="X38" s="719"/>
      <c r="Y38" s="349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0"/>
      <c r="Q39" s="1487">
        <f t="shared" si="11"/>
        <v>111</v>
      </c>
      <c r="R39" s="714" t="s">
        <v>17</v>
      </c>
      <c r="S39" s="715">
        <f t="shared" si="12"/>
        <v>100</v>
      </c>
      <c r="T39" s="714" t="s">
        <v>17</v>
      </c>
      <c r="U39" s="715">
        <f t="shared" si="13"/>
        <v>100</v>
      </c>
      <c r="V39" s="714" t="s">
        <v>17</v>
      </c>
      <c r="W39" s="715">
        <f t="shared" si="14"/>
        <v>100</v>
      </c>
      <c r="X39" s="1490"/>
      <c r="Y39" s="3490"/>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1"/>
      <c r="Q40" s="1487">
        <f t="shared" si="11"/>
        <v>111</v>
      </c>
      <c r="R40" s="714" t="s">
        <v>17</v>
      </c>
      <c r="S40" s="715">
        <f t="shared" si="12"/>
        <v>100</v>
      </c>
      <c r="T40" s="714" t="s">
        <v>17</v>
      </c>
      <c r="U40" s="715">
        <f t="shared" si="13"/>
        <v>100</v>
      </c>
      <c r="V40" s="714" t="s">
        <v>17</v>
      </c>
      <c r="W40" s="715">
        <f t="shared" si="14"/>
        <v>100</v>
      </c>
      <c r="X40" s="1490"/>
      <c r="Y40" s="3491"/>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3" t="str">
        <f>A41</f>
        <v>成交单价（元/平方米）</v>
      </c>
      <c r="Q41" s="3483"/>
      <c r="R41" s="3484">
        <f>E41</f>
        <v>0</v>
      </c>
      <c r="S41" s="3484"/>
      <c r="T41" s="3484">
        <f>G41</f>
        <v>0</v>
      </c>
      <c r="U41" s="3484"/>
      <c r="V41" s="3484">
        <f>I41</f>
        <v>0</v>
      </c>
      <c r="W41" s="3484"/>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3" t="str">
        <f>A42</f>
        <v>比较价值（元/平方米）</v>
      </c>
      <c r="Q42" s="3483"/>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6" t="s">
        <v>2226</v>
      </c>
      <c r="D4" s="3467"/>
      <c r="E4" s="3468" t="s">
        <v>2227</v>
      </c>
      <c r="F4" s="3469"/>
      <c r="G4" s="3466" t="s">
        <v>2228</v>
      </c>
      <c r="H4" s="3467"/>
      <c r="I4" s="3466" t="s">
        <v>2229</v>
      </c>
      <c r="J4" s="3467"/>
      <c r="K4" s="567" t="s">
        <v>2230</v>
      </c>
      <c r="L4" s="2894"/>
      <c r="M4" s="2895"/>
      <c r="N4" s="2895"/>
      <c r="O4" s="2895"/>
      <c r="P4" s="3470" t="s">
        <v>2231</v>
      </c>
      <c r="Q4" s="3471"/>
      <c r="R4" s="3453" t="s">
        <v>2227</v>
      </c>
      <c r="S4" s="3454"/>
      <c r="T4" s="3453" t="s">
        <v>2228</v>
      </c>
      <c r="U4" s="3454"/>
      <c r="V4" s="3478" t="s">
        <v>2229</v>
      </c>
      <c r="W4" s="3478"/>
      <c r="X4" s="1490"/>
      <c r="Y4" s="3453" t="s">
        <v>2231</v>
      </c>
      <c r="Z4" s="3454"/>
      <c r="AA4" s="3448" t="s">
        <v>2227</v>
      </c>
      <c r="AB4" s="3449" t="s">
        <v>2228</v>
      </c>
      <c r="AC4" s="3448" t="s">
        <v>2229</v>
      </c>
    </row>
    <row r="5" spans="1:29" ht="15">
      <c r="A5" s="364"/>
      <c r="B5" s="365"/>
      <c r="C5" s="3459" t="s">
        <v>2122</v>
      </c>
      <c r="D5" s="3460"/>
      <c r="E5" s="3457" t="s">
        <v>2123</v>
      </c>
      <c r="F5" s="3458"/>
      <c r="G5" s="3459" t="s">
        <v>2124</v>
      </c>
      <c r="H5" s="3460"/>
      <c r="I5" s="3459" t="s">
        <v>2125</v>
      </c>
      <c r="J5" s="3460"/>
      <c r="K5" s="567"/>
      <c r="L5" s="2894"/>
      <c r="M5" s="2895"/>
      <c r="N5" s="2895"/>
      <c r="O5" s="2895"/>
      <c r="P5" s="3472"/>
      <c r="Q5" s="3473"/>
      <c r="R5" s="3455"/>
      <c r="S5" s="3456"/>
      <c r="T5" s="3455"/>
      <c r="U5" s="3456"/>
      <c r="V5" s="3478"/>
      <c r="W5" s="3478"/>
      <c r="X5" s="1490"/>
      <c r="Y5" s="3455"/>
      <c r="Z5" s="3456"/>
      <c r="AA5" s="3449"/>
      <c r="AB5" s="3449"/>
      <c r="AC5" s="3449"/>
    </row>
    <row r="6" spans="1:29" ht="15.75" thickBot="1">
      <c r="A6" s="366"/>
      <c r="B6" s="367"/>
      <c r="C6" s="3461" t="s">
        <v>2126</v>
      </c>
      <c r="D6" s="3462"/>
      <c r="E6" s="3463" t="s">
        <v>2126</v>
      </c>
      <c r="F6" s="3464"/>
      <c r="G6" s="3461" t="s">
        <v>2126</v>
      </c>
      <c r="H6" s="3462"/>
      <c r="I6" s="3461" t="s">
        <v>2126</v>
      </c>
      <c r="J6" s="3462"/>
      <c r="K6" s="567" t="s">
        <v>2127</v>
      </c>
      <c r="L6" s="2894"/>
      <c r="M6" s="2895"/>
      <c r="N6" s="2895"/>
      <c r="O6" s="2895"/>
      <c r="P6" s="3474"/>
      <c r="Q6" s="3475"/>
      <c r="R6" s="3455"/>
      <c r="S6" s="3456"/>
      <c r="T6" s="3476"/>
      <c r="U6" s="3477"/>
      <c r="V6" s="3478"/>
      <c r="W6" s="3478"/>
      <c r="X6" s="1490"/>
      <c r="Y6" s="3476"/>
      <c r="Z6" s="3477"/>
      <c r="AA6" s="3450"/>
      <c r="AB6" s="3450"/>
      <c r="AC6" s="3450"/>
    </row>
    <row r="7" spans="1:29" s="113" customFormat="1" ht="15.75" thickBot="1">
      <c r="A7" s="368" t="s">
        <v>2128</v>
      </c>
      <c r="B7" s="369"/>
      <c r="C7" s="370">
        <f>'数据-取费表'!B2</f>
        <v>44725</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1" t="s">
        <v>2129</v>
      </c>
      <c r="Q7" s="3479"/>
      <c r="R7" s="710" t="s">
        <v>17</v>
      </c>
      <c r="S7" s="711">
        <f t="shared" ref="S7:S14" si="0">F7</f>
        <v>0</v>
      </c>
      <c r="T7" s="710" t="s">
        <v>17</v>
      </c>
      <c r="U7" s="711">
        <f t="shared" ref="U7:U14" si="1">H7</f>
        <v>0</v>
      </c>
      <c r="V7" s="710" t="s">
        <v>17</v>
      </c>
      <c r="W7" s="711">
        <f t="shared" ref="W7:W14" si="2">J7</f>
        <v>0</v>
      </c>
      <c r="X7" s="712"/>
      <c r="Y7" s="3451" t="s">
        <v>2129</v>
      </c>
      <c r="Z7" s="345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1" t="s">
        <v>2132</v>
      </c>
      <c r="Q8" s="3452"/>
      <c r="R8" s="710" t="s">
        <v>17</v>
      </c>
      <c r="S8" s="711">
        <f t="shared" si="0"/>
        <v>0</v>
      </c>
      <c r="T8" s="710" t="s">
        <v>17</v>
      </c>
      <c r="U8" s="711">
        <f t="shared" si="1"/>
        <v>0</v>
      </c>
      <c r="V8" s="710" t="s">
        <v>17</v>
      </c>
      <c r="W8" s="711">
        <f t="shared" si="2"/>
        <v>0</v>
      </c>
      <c r="X8" s="712"/>
      <c r="Y8" s="3451" t="s">
        <v>2132</v>
      </c>
      <c r="Z8" s="345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3" t="s">
        <v>2135</v>
      </c>
      <c r="Q9" s="1478" t="str">
        <f t="shared" ref="Q9:Q14" si="6">B9</f>
        <v>用途</v>
      </c>
      <c r="R9" s="710" t="s">
        <v>17</v>
      </c>
      <c r="S9" s="711">
        <f t="shared" si="0"/>
        <v>100</v>
      </c>
      <c r="T9" s="710" t="s">
        <v>17</v>
      </c>
      <c r="U9" s="711">
        <f t="shared" si="1"/>
        <v>100</v>
      </c>
      <c r="V9" s="710" t="s">
        <v>17</v>
      </c>
      <c r="W9" s="711">
        <f t="shared" si="2"/>
        <v>100</v>
      </c>
      <c r="X9" s="712"/>
      <c r="Y9" s="339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3"/>
      <c r="Q11" s="1478">
        <f t="shared" si="6"/>
        <v>111</v>
      </c>
      <c r="R11" s="710" t="s">
        <v>17</v>
      </c>
      <c r="S11" s="711">
        <f t="shared" si="0"/>
        <v>100</v>
      </c>
      <c r="T11" s="710" t="s">
        <v>17</v>
      </c>
      <c r="U11" s="711">
        <f t="shared" si="1"/>
        <v>100</v>
      </c>
      <c r="V11" s="710" t="s">
        <v>17</v>
      </c>
      <c r="W11" s="711">
        <f t="shared" si="2"/>
        <v>100</v>
      </c>
      <c r="X11" s="712"/>
      <c r="Y11" s="339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5" t="s">
        <v>2140</v>
      </c>
      <c r="Q14" s="1487" t="str">
        <f t="shared" si="6"/>
        <v>交通便捷度</v>
      </c>
      <c r="R14" s="714" t="s">
        <v>17</v>
      </c>
      <c r="S14" s="715">
        <f t="shared" si="0"/>
        <v>100</v>
      </c>
      <c r="T14" s="714" t="s">
        <v>17</v>
      </c>
      <c r="U14" s="715">
        <f t="shared" si="1"/>
        <v>100</v>
      </c>
      <c r="V14" s="714" t="s">
        <v>17</v>
      </c>
      <c r="W14" s="715">
        <f t="shared" si="2"/>
        <v>100</v>
      </c>
      <c r="X14" s="1490"/>
      <c r="Y14" s="348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6"/>
      <c r="Q15" s="1487"/>
      <c r="R15" s="714"/>
      <c r="S15" s="715"/>
      <c r="T15" s="714"/>
      <c r="U15" s="715"/>
      <c r="V15" s="714"/>
      <c r="W15" s="715"/>
      <c r="X15" s="1490"/>
      <c r="Y15" s="3486"/>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6"/>
      <c r="Q16" s="1487" t="str">
        <f>B16</f>
        <v>公共配套设施</v>
      </c>
      <c r="R16" s="714" t="s">
        <v>17</v>
      </c>
      <c r="S16" s="715">
        <f>F16</f>
        <v>100</v>
      </c>
      <c r="T16" s="714" t="s">
        <v>17</v>
      </c>
      <c r="U16" s="715">
        <f>H16</f>
        <v>100</v>
      </c>
      <c r="V16" s="714" t="s">
        <v>17</v>
      </c>
      <c r="W16" s="715">
        <f>J16</f>
        <v>100</v>
      </c>
      <c r="X16" s="1490"/>
      <c r="Y16" s="348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6"/>
      <c r="Q17" s="1487"/>
      <c r="R17" s="714"/>
      <c r="S17" s="715"/>
      <c r="T17" s="714"/>
      <c r="U17" s="715"/>
      <c r="V17" s="714"/>
      <c r="W17" s="715"/>
      <c r="X17" s="1490"/>
      <c r="Y17" s="3486"/>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6"/>
      <c r="Q18" s="1487" t="str">
        <f>B18</f>
        <v>基础设施水平</v>
      </c>
      <c r="R18" s="714" t="s">
        <v>17</v>
      </c>
      <c r="S18" s="715">
        <f>F18</f>
        <v>100</v>
      </c>
      <c r="T18" s="714" t="s">
        <v>17</v>
      </c>
      <c r="U18" s="715">
        <f>H18</f>
        <v>100</v>
      </c>
      <c r="V18" s="714" t="s">
        <v>17</v>
      </c>
      <c r="W18" s="715">
        <f>J18</f>
        <v>100</v>
      </c>
      <c r="X18" s="1490"/>
      <c r="Y18" s="348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6"/>
      <c r="Q19" s="1487"/>
      <c r="R19" s="714"/>
      <c r="S19" s="715"/>
      <c r="T19" s="714"/>
      <c r="U19" s="715"/>
      <c r="V19" s="714"/>
      <c r="W19" s="715"/>
      <c r="X19" s="1490"/>
      <c r="Y19" s="3486"/>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6"/>
      <c r="Q20" s="1487" t="str">
        <f>B20</f>
        <v>自然及人文环境</v>
      </c>
      <c r="R20" s="714" t="s">
        <v>17</v>
      </c>
      <c r="S20" s="715">
        <f>F20</f>
        <v>100</v>
      </c>
      <c r="T20" s="714" t="s">
        <v>17</v>
      </c>
      <c r="U20" s="715">
        <f>H20</f>
        <v>100</v>
      </c>
      <c r="V20" s="714" t="s">
        <v>17</v>
      </c>
      <c r="W20" s="715">
        <f>J20</f>
        <v>100</v>
      </c>
      <c r="X20" s="1490"/>
      <c r="Y20" s="348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6"/>
      <c r="Q21" s="1487"/>
      <c r="R21" s="714"/>
      <c r="S21" s="715"/>
      <c r="T21" s="714"/>
      <c r="U21" s="715"/>
      <c r="V21" s="714"/>
      <c r="W21" s="715"/>
      <c r="X21" s="1490"/>
      <c r="Y21" s="348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6"/>
      <c r="Q22" s="1487" t="str">
        <f>B22</f>
        <v>楼层</v>
      </c>
      <c r="R22" s="714" t="s">
        <v>17</v>
      </c>
      <c r="S22" s="715">
        <f>F22</f>
        <v>100</v>
      </c>
      <c r="T22" s="714" t="s">
        <v>17</v>
      </c>
      <c r="U22" s="715">
        <f>H22</f>
        <v>100</v>
      </c>
      <c r="V22" s="714" t="s">
        <v>17</v>
      </c>
      <c r="W22" s="715">
        <f>J22</f>
        <v>100</v>
      </c>
      <c r="X22" s="1490"/>
      <c r="Y22" s="348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6"/>
      <c r="Q23" s="1487">
        <f>B23</f>
        <v>111</v>
      </c>
      <c r="R23" s="714" t="s">
        <v>17</v>
      </c>
      <c r="S23" s="715">
        <f>F23</f>
        <v>100</v>
      </c>
      <c r="T23" s="714" t="s">
        <v>17</v>
      </c>
      <c r="U23" s="715">
        <f>H23</f>
        <v>100</v>
      </c>
      <c r="V23" s="714" t="s">
        <v>17</v>
      </c>
      <c r="W23" s="715">
        <f>J23</f>
        <v>100</v>
      </c>
      <c r="X23" s="1490"/>
      <c r="Y23" s="348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6"/>
      <c r="Q24" s="1487">
        <f t="shared" ref="Q24:Q36" si="11">B24</f>
        <v>111</v>
      </c>
      <c r="R24" s="714" t="s">
        <v>17</v>
      </c>
      <c r="S24" s="715">
        <f>F24</f>
        <v>100</v>
      </c>
      <c r="T24" s="714" t="s">
        <v>17</v>
      </c>
      <c r="U24" s="715">
        <f>H24</f>
        <v>100</v>
      </c>
      <c r="V24" s="714" t="s">
        <v>17</v>
      </c>
      <c r="W24" s="715">
        <f>J24</f>
        <v>100</v>
      </c>
      <c r="X24" s="1490"/>
      <c r="Y24" s="348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6"/>
      <c r="Q25" s="1478">
        <f t="shared" si="11"/>
        <v>111</v>
      </c>
      <c r="R25" s="710" t="s">
        <v>17</v>
      </c>
      <c r="S25" s="711">
        <f>F25</f>
        <v>100</v>
      </c>
      <c r="T25" s="710" t="s">
        <v>17</v>
      </c>
      <c r="U25" s="711">
        <f>H25</f>
        <v>100</v>
      </c>
      <c r="V25" s="710" t="s">
        <v>17</v>
      </c>
      <c r="W25" s="711">
        <f>J25</f>
        <v>100</v>
      </c>
      <c r="X25" s="712"/>
      <c r="Y25" s="3486"/>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0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0"/>
      <c r="Q27" s="716" t="str">
        <f t="shared" si="11"/>
        <v>项目停车位配比</v>
      </c>
      <c r="R27" s="717" t="s">
        <v>17</v>
      </c>
      <c r="S27" s="718">
        <f t="shared" si="12"/>
        <v>100</v>
      </c>
      <c r="T27" s="717" t="s">
        <v>17</v>
      </c>
      <c r="U27" s="718">
        <f t="shared" si="13"/>
        <v>100</v>
      </c>
      <c r="V27" s="717" t="s">
        <v>17</v>
      </c>
      <c r="W27" s="718">
        <f t="shared" si="14"/>
        <v>100</v>
      </c>
      <c r="X27" s="719"/>
      <c r="Y27" s="349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0"/>
      <c r="Q28" s="1487" t="str">
        <f t="shared" si="11"/>
        <v>公共部分装修</v>
      </c>
      <c r="R28" s="714" t="s">
        <v>17</v>
      </c>
      <c r="S28" s="715">
        <f t="shared" si="12"/>
        <v>100</v>
      </c>
      <c r="T28" s="714" t="s">
        <v>17</v>
      </c>
      <c r="U28" s="715">
        <f t="shared" si="13"/>
        <v>100</v>
      </c>
      <c r="V28" s="714" t="s">
        <v>17</v>
      </c>
      <c r="W28" s="715">
        <f t="shared" si="14"/>
        <v>100</v>
      </c>
      <c r="X28" s="1490"/>
      <c r="Y28" s="349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0"/>
      <c r="Q29" s="1487" t="str">
        <f t="shared" si="11"/>
        <v>成新率</v>
      </c>
      <c r="R29" s="714" t="s">
        <v>17</v>
      </c>
      <c r="S29" s="715" t="e">
        <f t="shared" si="12"/>
        <v>#N/A</v>
      </c>
      <c r="T29" s="714" t="s">
        <v>17</v>
      </c>
      <c r="U29" s="715" t="e">
        <f t="shared" si="13"/>
        <v>#N/A</v>
      </c>
      <c r="V29" s="714" t="s">
        <v>17</v>
      </c>
      <c r="W29" s="715" t="e">
        <f t="shared" si="14"/>
        <v>#N/A</v>
      </c>
      <c r="X29" s="1490"/>
      <c r="Y29" s="349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0"/>
      <c r="Q30" s="1487" t="str">
        <f t="shared" si="11"/>
        <v>物业等级</v>
      </c>
      <c r="R30" s="714" t="s">
        <v>17</v>
      </c>
      <c r="S30" s="715">
        <f t="shared" si="12"/>
        <v>100</v>
      </c>
      <c r="T30" s="714" t="s">
        <v>17</v>
      </c>
      <c r="U30" s="715">
        <f t="shared" si="13"/>
        <v>100</v>
      </c>
      <c r="V30" s="714" t="s">
        <v>17</v>
      </c>
      <c r="W30" s="715">
        <f t="shared" si="14"/>
        <v>100</v>
      </c>
      <c r="X30" s="1490"/>
      <c r="Y30" s="349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0"/>
      <c r="Q31" s="1478" t="str">
        <f t="shared" si="11"/>
        <v>停车位面积</v>
      </c>
      <c r="R31" s="710" t="s">
        <v>17</v>
      </c>
      <c r="S31" s="711" t="e">
        <f t="shared" si="12"/>
        <v>#N/A</v>
      </c>
      <c r="T31" s="710" t="s">
        <v>17</v>
      </c>
      <c r="U31" s="711" t="e">
        <f t="shared" si="13"/>
        <v>#N/A</v>
      </c>
      <c r="V31" s="710" t="s">
        <v>17</v>
      </c>
      <c r="W31" s="711" t="e">
        <f t="shared" si="14"/>
        <v>#N/A</v>
      </c>
      <c r="X31" s="712"/>
      <c r="Y31" s="349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0" t="s">
        <v>2145</v>
      </c>
      <c r="Q32" s="1487" t="str">
        <f t="shared" si="11"/>
        <v>车位类型</v>
      </c>
      <c r="R32" s="714" t="s">
        <v>17</v>
      </c>
      <c r="S32" s="715">
        <f t="shared" si="12"/>
        <v>100</v>
      </c>
      <c r="T32" s="714" t="s">
        <v>17</v>
      </c>
      <c r="U32" s="715">
        <f t="shared" si="13"/>
        <v>100</v>
      </c>
      <c r="V32" s="714" t="s">
        <v>17</v>
      </c>
      <c r="W32" s="715">
        <f t="shared" si="14"/>
        <v>100</v>
      </c>
      <c r="X32" s="1490"/>
      <c r="Y32" s="349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0"/>
      <c r="Q33" s="1487" t="str">
        <f t="shared" si="11"/>
        <v>是否直接入户</v>
      </c>
      <c r="R33" s="714" t="s">
        <v>17</v>
      </c>
      <c r="S33" s="715">
        <f t="shared" si="12"/>
        <v>100</v>
      </c>
      <c r="T33" s="714" t="s">
        <v>17</v>
      </c>
      <c r="U33" s="715">
        <f t="shared" si="13"/>
        <v>100</v>
      </c>
      <c r="V33" s="714" t="s">
        <v>17</v>
      </c>
      <c r="W33" s="715">
        <f t="shared" si="14"/>
        <v>100</v>
      </c>
      <c r="X33" s="1490"/>
      <c r="Y33" s="349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0"/>
      <c r="Q34" s="1487">
        <f t="shared" si="11"/>
        <v>111</v>
      </c>
      <c r="R34" s="714" t="s">
        <v>17</v>
      </c>
      <c r="S34" s="715">
        <f t="shared" si="12"/>
        <v>100</v>
      </c>
      <c r="T34" s="714" t="s">
        <v>17</v>
      </c>
      <c r="U34" s="715">
        <f t="shared" si="13"/>
        <v>100</v>
      </c>
      <c r="V34" s="714" t="s">
        <v>17</v>
      </c>
      <c r="W34" s="715">
        <f t="shared" si="14"/>
        <v>100</v>
      </c>
      <c r="X34" s="1490"/>
      <c r="Y34" s="349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0"/>
      <c r="Q35" s="716">
        <f t="shared" si="11"/>
        <v>111</v>
      </c>
      <c r="R35" s="717" t="s">
        <v>17</v>
      </c>
      <c r="S35" s="718">
        <f t="shared" si="12"/>
        <v>100</v>
      </c>
      <c r="T35" s="717" t="s">
        <v>17</v>
      </c>
      <c r="U35" s="718">
        <f t="shared" si="13"/>
        <v>100</v>
      </c>
      <c r="V35" s="717" t="s">
        <v>17</v>
      </c>
      <c r="W35" s="718">
        <f t="shared" si="14"/>
        <v>100</v>
      </c>
      <c r="X35" s="719"/>
      <c r="Y35" s="349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0"/>
      <c r="Q36" s="1487">
        <f t="shared" si="11"/>
        <v>111</v>
      </c>
      <c r="R36" s="714" t="s">
        <v>17</v>
      </c>
      <c r="S36" s="715">
        <f t="shared" si="12"/>
        <v>100</v>
      </c>
      <c r="T36" s="714" t="s">
        <v>17</v>
      </c>
      <c r="U36" s="715">
        <f t="shared" si="13"/>
        <v>100</v>
      </c>
      <c r="V36" s="714" t="s">
        <v>17</v>
      </c>
      <c r="W36" s="715">
        <f t="shared" si="14"/>
        <v>100</v>
      </c>
      <c r="X36" s="1490"/>
      <c r="Y36" s="3490"/>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3" t="str">
        <f>A37</f>
        <v>成交单价</v>
      </c>
      <c r="Q37" s="3483"/>
      <c r="R37" s="3484">
        <f>E37</f>
        <v>0</v>
      </c>
      <c r="S37" s="3484"/>
      <c r="T37" s="3484">
        <f>G37</f>
        <v>0</v>
      </c>
      <c r="U37" s="3484"/>
      <c r="V37" s="3484">
        <f>I37</f>
        <v>0</v>
      </c>
      <c r="W37" s="3484"/>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3" t="str">
        <f>A38</f>
        <v>比较价值（元/平方米）</v>
      </c>
      <c r="Q38" s="3483"/>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0" t="str">
        <f>A39</f>
        <v>估价对象XX用房的比较价值（楼面单价，元/平方米）</v>
      </c>
      <c r="Q39" s="3481"/>
      <c r="R39" s="3510" t="e">
        <f>IF(F1="售价",ROUND(IF(D38="简单平均",AVERAGE(R38:W38),R38*F38+T38*H38+V38*J38),0),ROUND(IF(D38="简单平均",AVERAGE(R38:V38),R38*F38+T38*H38+V38*J38),1))</f>
        <v>#DIV/0!</v>
      </c>
      <c r="S39" s="3510"/>
      <c r="T39" s="3510"/>
      <c r="U39" s="3510"/>
      <c r="V39" s="3510"/>
      <c r="W39" s="3510"/>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6" t="s">
        <v>2226</v>
      </c>
      <c r="D4" s="3467"/>
      <c r="E4" s="3468" t="s">
        <v>2227</v>
      </c>
      <c r="F4" s="3469"/>
      <c r="G4" s="3466" t="s">
        <v>2228</v>
      </c>
      <c r="H4" s="3467"/>
      <c r="I4" s="3466" t="s">
        <v>2229</v>
      </c>
      <c r="J4" s="3467"/>
      <c r="K4" s="567" t="s">
        <v>2230</v>
      </c>
      <c r="L4" s="2894"/>
      <c r="M4" s="2895"/>
      <c r="N4" s="2895"/>
      <c r="O4" s="2895"/>
      <c r="P4" s="3470" t="s">
        <v>2231</v>
      </c>
      <c r="Q4" s="3471"/>
      <c r="R4" s="3453" t="s">
        <v>2227</v>
      </c>
      <c r="S4" s="3454"/>
      <c r="T4" s="3453" t="s">
        <v>2228</v>
      </c>
      <c r="U4" s="3454"/>
      <c r="V4" s="3478" t="s">
        <v>2229</v>
      </c>
      <c r="W4" s="3478"/>
      <c r="X4" s="1490"/>
      <c r="Y4" s="3453" t="s">
        <v>2231</v>
      </c>
      <c r="Z4" s="3454"/>
      <c r="AA4" s="3448" t="s">
        <v>2227</v>
      </c>
      <c r="AB4" s="3449" t="s">
        <v>2228</v>
      </c>
      <c r="AC4" s="3448" t="s">
        <v>2229</v>
      </c>
    </row>
    <row r="5" spans="1:29" ht="15">
      <c r="A5" s="364"/>
      <c r="B5" s="365"/>
      <c r="C5" s="3459" t="s">
        <v>2122</v>
      </c>
      <c r="D5" s="3460"/>
      <c r="E5" s="3457" t="s">
        <v>2123</v>
      </c>
      <c r="F5" s="3458"/>
      <c r="G5" s="3459" t="s">
        <v>2124</v>
      </c>
      <c r="H5" s="3460"/>
      <c r="I5" s="3459" t="s">
        <v>2125</v>
      </c>
      <c r="J5" s="3460"/>
      <c r="K5" s="567"/>
      <c r="L5" s="2894"/>
      <c r="M5" s="2895"/>
      <c r="N5" s="2895"/>
      <c r="O5" s="2895"/>
      <c r="P5" s="3472"/>
      <c r="Q5" s="3473"/>
      <c r="R5" s="3455"/>
      <c r="S5" s="3456"/>
      <c r="T5" s="3455"/>
      <c r="U5" s="3456"/>
      <c r="V5" s="3478"/>
      <c r="W5" s="3478"/>
      <c r="X5" s="1490"/>
      <c r="Y5" s="3455"/>
      <c r="Z5" s="3456"/>
      <c r="AA5" s="3449"/>
      <c r="AB5" s="3449"/>
      <c r="AC5" s="3449"/>
    </row>
    <row r="6" spans="1:29" ht="15.75" thickBot="1">
      <c r="A6" s="366"/>
      <c r="B6" s="367"/>
      <c r="C6" s="3461" t="s">
        <v>2126</v>
      </c>
      <c r="D6" s="3462"/>
      <c r="E6" s="3463" t="s">
        <v>2126</v>
      </c>
      <c r="F6" s="3464"/>
      <c r="G6" s="3461" t="s">
        <v>2126</v>
      </c>
      <c r="H6" s="3462"/>
      <c r="I6" s="3461" t="s">
        <v>2126</v>
      </c>
      <c r="J6" s="3462"/>
      <c r="K6" s="567" t="s">
        <v>2127</v>
      </c>
      <c r="L6" s="2894"/>
      <c r="M6" s="2895"/>
      <c r="N6" s="2895"/>
      <c r="O6" s="2895"/>
      <c r="P6" s="3474"/>
      <c r="Q6" s="3475"/>
      <c r="R6" s="3455"/>
      <c r="S6" s="3456"/>
      <c r="T6" s="3476"/>
      <c r="U6" s="3477"/>
      <c r="V6" s="3478"/>
      <c r="W6" s="3478"/>
      <c r="X6" s="1490"/>
      <c r="Y6" s="3476"/>
      <c r="Z6" s="3477"/>
      <c r="AA6" s="3450"/>
      <c r="AB6" s="3450"/>
      <c r="AC6" s="3450"/>
    </row>
    <row r="7" spans="1:29" s="113" customFormat="1" ht="15.75" thickBot="1">
      <c r="A7" s="368" t="s">
        <v>2128</v>
      </c>
      <c r="B7" s="369"/>
      <c r="C7" s="370">
        <f>'数据-取费表'!B2</f>
        <v>44725</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1" t="s">
        <v>2129</v>
      </c>
      <c r="Q7" s="3479"/>
      <c r="R7" s="710" t="s">
        <v>17</v>
      </c>
      <c r="S7" s="711">
        <f t="shared" ref="S7:S14" si="0">F7</f>
        <v>0</v>
      </c>
      <c r="T7" s="710" t="s">
        <v>17</v>
      </c>
      <c r="U7" s="711">
        <f t="shared" ref="U7:U14" si="1">H7</f>
        <v>0</v>
      </c>
      <c r="V7" s="710" t="s">
        <v>17</v>
      </c>
      <c r="W7" s="711">
        <f t="shared" ref="W7:W14" si="2">J7</f>
        <v>0</v>
      </c>
      <c r="X7" s="712"/>
      <c r="Y7" s="3451" t="s">
        <v>2129</v>
      </c>
      <c r="Z7" s="345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1" t="s">
        <v>2132</v>
      </c>
      <c r="Q8" s="3452"/>
      <c r="R8" s="710" t="s">
        <v>17</v>
      </c>
      <c r="S8" s="711">
        <f t="shared" si="0"/>
        <v>0</v>
      </c>
      <c r="T8" s="710" t="s">
        <v>17</v>
      </c>
      <c r="U8" s="711">
        <f t="shared" si="1"/>
        <v>0</v>
      </c>
      <c r="V8" s="710" t="s">
        <v>17</v>
      </c>
      <c r="W8" s="711">
        <f t="shared" si="2"/>
        <v>0</v>
      </c>
      <c r="X8" s="712"/>
      <c r="Y8" s="3451" t="s">
        <v>2132</v>
      </c>
      <c r="Z8" s="345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3" t="s">
        <v>2135</v>
      </c>
      <c r="Q9" s="1478" t="str">
        <f t="shared" ref="Q9:Q14" si="6">B9</f>
        <v>用途</v>
      </c>
      <c r="R9" s="710" t="s">
        <v>17</v>
      </c>
      <c r="S9" s="711">
        <f t="shared" si="0"/>
        <v>100</v>
      </c>
      <c r="T9" s="710" t="s">
        <v>17</v>
      </c>
      <c r="U9" s="711">
        <f t="shared" si="1"/>
        <v>100</v>
      </c>
      <c r="V9" s="710" t="s">
        <v>17</v>
      </c>
      <c r="W9" s="711">
        <f t="shared" si="2"/>
        <v>100</v>
      </c>
      <c r="X9" s="712"/>
      <c r="Y9" s="339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3"/>
      <c r="Q10" s="1478"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3"/>
      <c r="Q11" s="1478">
        <f t="shared" si="6"/>
        <v>111</v>
      </c>
      <c r="R11" s="710" t="s">
        <v>17</v>
      </c>
      <c r="S11" s="711">
        <f t="shared" si="0"/>
        <v>100</v>
      </c>
      <c r="T11" s="710" t="s">
        <v>17</v>
      </c>
      <c r="U11" s="711">
        <f t="shared" si="1"/>
        <v>100</v>
      </c>
      <c r="V11" s="710" t="s">
        <v>17</v>
      </c>
      <c r="W11" s="711">
        <f t="shared" si="2"/>
        <v>100</v>
      </c>
      <c r="X11" s="712"/>
      <c r="Y11" s="339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3"/>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3"/>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5" t="s">
        <v>2140</v>
      </c>
      <c r="Q14" s="1487" t="str">
        <f t="shared" si="6"/>
        <v>交通便捷度</v>
      </c>
      <c r="R14" s="714" t="s">
        <v>17</v>
      </c>
      <c r="S14" s="715">
        <f t="shared" si="0"/>
        <v>100</v>
      </c>
      <c r="T14" s="714" t="s">
        <v>17</v>
      </c>
      <c r="U14" s="715">
        <f t="shared" si="1"/>
        <v>100</v>
      </c>
      <c r="V14" s="714" t="s">
        <v>17</v>
      </c>
      <c r="W14" s="715">
        <f t="shared" si="2"/>
        <v>100</v>
      </c>
      <c r="X14" s="1490"/>
      <c r="Y14" s="348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6"/>
      <c r="Q15" s="1487"/>
      <c r="R15" s="714"/>
      <c r="S15" s="715"/>
      <c r="T15" s="714"/>
      <c r="U15" s="715"/>
      <c r="V15" s="714"/>
      <c r="W15" s="715"/>
      <c r="X15" s="1490"/>
      <c r="Y15" s="3486"/>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6"/>
      <c r="Q16" s="1487" t="str">
        <f>B16</f>
        <v>公共配套设施</v>
      </c>
      <c r="R16" s="714" t="s">
        <v>17</v>
      </c>
      <c r="S16" s="715">
        <f>F16</f>
        <v>100</v>
      </c>
      <c r="T16" s="714" t="s">
        <v>17</v>
      </c>
      <c r="U16" s="715">
        <f>H16</f>
        <v>100</v>
      </c>
      <c r="V16" s="714" t="s">
        <v>17</v>
      </c>
      <c r="W16" s="715">
        <f>J16</f>
        <v>100</v>
      </c>
      <c r="X16" s="1490"/>
      <c r="Y16" s="348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6"/>
      <c r="Q17" s="1487"/>
      <c r="R17" s="714"/>
      <c r="S17" s="715"/>
      <c r="T17" s="714"/>
      <c r="U17" s="715"/>
      <c r="V17" s="714"/>
      <c r="W17" s="715"/>
      <c r="X17" s="1490"/>
      <c r="Y17" s="3486"/>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6"/>
      <c r="Q18" s="1487" t="str">
        <f>B18</f>
        <v>基础设施水平</v>
      </c>
      <c r="R18" s="714" t="s">
        <v>17</v>
      </c>
      <c r="S18" s="715">
        <f>F18</f>
        <v>100</v>
      </c>
      <c r="T18" s="714" t="s">
        <v>17</v>
      </c>
      <c r="U18" s="715">
        <f>H18</f>
        <v>100</v>
      </c>
      <c r="V18" s="714" t="s">
        <v>17</v>
      </c>
      <c r="W18" s="715">
        <f>J18</f>
        <v>100</v>
      </c>
      <c r="X18" s="1490"/>
      <c r="Y18" s="348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6"/>
      <c r="Q19" s="1487"/>
      <c r="R19" s="714"/>
      <c r="S19" s="715"/>
      <c r="T19" s="714"/>
      <c r="U19" s="715"/>
      <c r="V19" s="714"/>
      <c r="W19" s="715"/>
      <c r="X19" s="1490"/>
      <c r="Y19" s="3486"/>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6"/>
      <c r="Q20" s="1487" t="str">
        <f>B20</f>
        <v>自然及人文环境</v>
      </c>
      <c r="R20" s="714" t="s">
        <v>17</v>
      </c>
      <c r="S20" s="715">
        <f>F20</f>
        <v>100</v>
      </c>
      <c r="T20" s="714" t="s">
        <v>17</v>
      </c>
      <c r="U20" s="715">
        <f>H20</f>
        <v>100</v>
      </c>
      <c r="V20" s="714" t="s">
        <v>17</v>
      </c>
      <c r="W20" s="715">
        <f>J20</f>
        <v>100</v>
      </c>
      <c r="X20" s="1490"/>
      <c r="Y20" s="348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6"/>
      <c r="Q21" s="1487"/>
      <c r="R21" s="714"/>
      <c r="S21" s="715"/>
      <c r="T21" s="714"/>
      <c r="U21" s="715"/>
      <c r="V21" s="714"/>
      <c r="W21" s="715"/>
      <c r="X21" s="1490"/>
      <c r="Y21" s="348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6"/>
      <c r="Q22" s="1487" t="str">
        <f>B22</f>
        <v>楼层</v>
      </c>
      <c r="R22" s="714" t="s">
        <v>17</v>
      </c>
      <c r="S22" s="715">
        <f>F22</f>
        <v>100</v>
      </c>
      <c r="T22" s="714" t="s">
        <v>17</v>
      </c>
      <c r="U22" s="715">
        <f>H22</f>
        <v>100</v>
      </c>
      <c r="V22" s="714" t="s">
        <v>17</v>
      </c>
      <c r="W22" s="715">
        <f>J22</f>
        <v>100</v>
      </c>
      <c r="X22" s="1490"/>
      <c r="Y22" s="348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6"/>
      <c r="Q23" s="1487">
        <f>B23</f>
        <v>111</v>
      </c>
      <c r="R23" s="714" t="s">
        <v>17</v>
      </c>
      <c r="S23" s="715">
        <f>F23</f>
        <v>100</v>
      </c>
      <c r="T23" s="714" t="s">
        <v>17</v>
      </c>
      <c r="U23" s="715">
        <f>H23</f>
        <v>100</v>
      </c>
      <c r="V23" s="714" t="s">
        <v>17</v>
      </c>
      <c r="W23" s="715">
        <f>J23</f>
        <v>100</v>
      </c>
      <c r="X23" s="1490"/>
      <c r="Y23" s="348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6"/>
      <c r="Q24" s="1487">
        <f t="shared" ref="Q24:Q34" si="11">B24</f>
        <v>111</v>
      </c>
      <c r="R24" s="714" t="s">
        <v>17</v>
      </c>
      <c r="S24" s="715">
        <f>F24</f>
        <v>100</v>
      </c>
      <c r="T24" s="714" t="s">
        <v>17</v>
      </c>
      <c r="U24" s="715">
        <f>H24</f>
        <v>100</v>
      </c>
      <c r="V24" s="714" t="s">
        <v>17</v>
      </c>
      <c r="W24" s="715">
        <f>J24</f>
        <v>100</v>
      </c>
      <c r="X24" s="1490"/>
      <c r="Y24" s="348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6"/>
      <c r="Q25" s="1478">
        <f t="shared" si="11"/>
        <v>111</v>
      </c>
      <c r="R25" s="710" t="s">
        <v>17</v>
      </c>
      <c r="S25" s="711">
        <f>F25</f>
        <v>100</v>
      </c>
      <c r="T25" s="710" t="s">
        <v>17</v>
      </c>
      <c r="U25" s="711">
        <f>H25</f>
        <v>100</v>
      </c>
      <c r="V25" s="710" t="s">
        <v>17</v>
      </c>
      <c r="W25" s="711">
        <f>J25</f>
        <v>100</v>
      </c>
      <c r="X25" s="712"/>
      <c r="Y25" s="3486"/>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0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0"/>
      <c r="Q27" s="716" t="str">
        <f t="shared" si="11"/>
        <v>成新率</v>
      </c>
      <c r="R27" s="717" t="s">
        <v>17</v>
      </c>
      <c r="S27" s="718" t="e">
        <f t="shared" si="12"/>
        <v>#N/A</v>
      </c>
      <c r="T27" s="717" t="s">
        <v>17</v>
      </c>
      <c r="U27" s="718" t="e">
        <f t="shared" si="13"/>
        <v>#N/A</v>
      </c>
      <c r="V27" s="717" t="s">
        <v>17</v>
      </c>
      <c r="W27" s="718" t="e">
        <f t="shared" si="14"/>
        <v>#N/A</v>
      </c>
      <c r="X27" s="719"/>
      <c r="Y27" s="349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0"/>
      <c r="Q28" s="1487" t="str">
        <f t="shared" si="11"/>
        <v>物业等级</v>
      </c>
      <c r="R28" s="714" t="s">
        <v>17</v>
      </c>
      <c r="S28" s="715">
        <f t="shared" si="12"/>
        <v>100</v>
      </c>
      <c r="T28" s="714" t="s">
        <v>17</v>
      </c>
      <c r="U28" s="715">
        <f t="shared" si="13"/>
        <v>100</v>
      </c>
      <c r="V28" s="714" t="s">
        <v>17</v>
      </c>
      <c r="W28" s="715">
        <f t="shared" si="14"/>
        <v>100</v>
      </c>
      <c r="X28" s="1490"/>
      <c r="Y28" s="349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0"/>
      <c r="Q29" s="1487" t="str">
        <f t="shared" si="11"/>
        <v>有无电梯</v>
      </c>
      <c r="R29" s="714" t="s">
        <v>17</v>
      </c>
      <c r="S29" s="715">
        <f t="shared" si="12"/>
        <v>100</v>
      </c>
      <c r="T29" s="714" t="s">
        <v>17</v>
      </c>
      <c r="U29" s="715">
        <f t="shared" si="13"/>
        <v>100</v>
      </c>
      <c r="V29" s="714" t="s">
        <v>17</v>
      </c>
      <c r="W29" s="715">
        <f t="shared" si="14"/>
        <v>100</v>
      </c>
      <c r="X29" s="1490"/>
      <c r="Y29" s="349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0"/>
      <c r="Q30" s="1487" t="str">
        <f t="shared" si="11"/>
        <v>建筑面积</v>
      </c>
      <c r="R30" s="714" t="s">
        <v>17</v>
      </c>
      <c r="S30" s="715" t="e">
        <f t="shared" si="12"/>
        <v>#N/A</v>
      </c>
      <c r="T30" s="714" t="s">
        <v>17</v>
      </c>
      <c r="U30" s="715" t="e">
        <f t="shared" si="13"/>
        <v>#N/A</v>
      </c>
      <c r="V30" s="714" t="s">
        <v>17</v>
      </c>
      <c r="W30" s="715" t="e">
        <f t="shared" si="14"/>
        <v>#N/A</v>
      </c>
      <c r="X30" s="1490"/>
      <c r="Y30" s="349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0"/>
      <c r="Q31" s="1478" t="str">
        <f t="shared" si="11"/>
        <v>是否封闭</v>
      </c>
      <c r="R31" s="710" t="s">
        <v>17</v>
      </c>
      <c r="S31" s="711">
        <f t="shared" si="12"/>
        <v>100</v>
      </c>
      <c r="T31" s="710" t="s">
        <v>17</v>
      </c>
      <c r="U31" s="711">
        <f t="shared" si="13"/>
        <v>100</v>
      </c>
      <c r="V31" s="710" t="s">
        <v>17</v>
      </c>
      <c r="W31" s="711">
        <f t="shared" si="14"/>
        <v>100</v>
      </c>
      <c r="X31" s="712"/>
      <c r="Y31" s="349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0" t="s">
        <v>2145</v>
      </c>
      <c r="Q32" s="1487">
        <f t="shared" si="11"/>
        <v>111</v>
      </c>
      <c r="R32" s="714" t="s">
        <v>17</v>
      </c>
      <c r="S32" s="715">
        <f t="shared" si="12"/>
        <v>100</v>
      </c>
      <c r="T32" s="714" t="s">
        <v>17</v>
      </c>
      <c r="U32" s="715">
        <f t="shared" si="13"/>
        <v>100</v>
      </c>
      <c r="V32" s="714" t="s">
        <v>17</v>
      </c>
      <c r="W32" s="715">
        <f t="shared" si="14"/>
        <v>100</v>
      </c>
      <c r="X32" s="1490"/>
      <c r="Y32" s="3490"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0"/>
      <c r="Q33" s="1487">
        <f t="shared" si="11"/>
        <v>111</v>
      </c>
      <c r="R33" s="714" t="s">
        <v>17</v>
      </c>
      <c r="S33" s="715">
        <f t="shared" si="12"/>
        <v>100</v>
      </c>
      <c r="T33" s="714" t="s">
        <v>17</v>
      </c>
      <c r="U33" s="715">
        <f t="shared" si="13"/>
        <v>100</v>
      </c>
      <c r="V33" s="714" t="s">
        <v>17</v>
      </c>
      <c r="W33" s="715">
        <f t="shared" si="14"/>
        <v>100</v>
      </c>
      <c r="X33" s="1490"/>
      <c r="Y33" s="3490"/>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0"/>
      <c r="Q34" s="1487">
        <f t="shared" si="11"/>
        <v>111</v>
      </c>
      <c r="R34" s="714" t="s">
        <v>17</v>
      </c>
      <c r="S34" s="715">
        <f t="shared" si="12"/>
        <v>100</v>
      </c>
      <c r="T34" s="714" t="s">
        <v>17</v>
      </c>
      <c r="U34" s="715">
        <f t="shared" si="13"/>
        <v>100</v>
      </c>
      <c r="V34" s="714" t="s">
        <v>17</v>
      </c>
      <c r="W34" s="715">
        <f t="shared" si="14"/>
        <v>100</v>
      </c>
      <c r="X34" s="1490"/>
      <c r="Y34" s="3490"/>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3" t="str">
        <f>A35</f>
        <v>成交单价（元/平方米）</v>
      </c>
      <c r="Q35" s="3483"/>
      <c r="R35" s="3484">
        <f>E35</f>
        <v>0</v>
      </c>
      <c r="S35" s="3484"/>
      <c r="T35" s="3484">
        <f>G35</f>
        <v>0</v>
      </c>
      <c r="U35" s="3484"/>
      <c r="V35" s="3484">
        <f>I35</f>
        <v>0</v>
      </c>
      <c r="W35" s="3484"/>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3" t="str">
        <f>A36</f>
        <v>比较价值（元/平方米）</v>
      </c>
      <c r="Q36" s="3483"/>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0" t="str">
        <f>A37</f>
        <v>估价对象XX用房的比较价值（楼面单价，元/平方米）</v>
      </c>
      <c r="Q37" s="3481"/>
      <c r="R37" s="3510" t="e">
        <f>IF(F1="售价",ROUND(IF(D36="简单平均",AVERAGE(R36:W36),R36*F36+T36*H36+V36*J36),0),ROUND(IF(D36="简单平均",AVERAGE(R36:V36),R36*F36+T36*H36+V36*J36),1))</f>
        <v>#DIV/0!</v>
      </c>
      <c r="S37" s="3510"/>
      <c r="T37" s="3510"/>
      <c r="U37" s="3510"/>
      <c r="V37" s="3510"/>
      <c r="W37" s="3510"/>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6" t="s">
        <v>2226</v>
      </c>
      <c r="D4" s="3467"/>
      <c r="E4" s="3468" t="s">
        <v>2227</v>
      </c>
      <c r="F4" s="3469"/>
      <c r="G4" s="3466" t="s">
        <v>2228</v>
      </c>
      <c r="H4" s="3467"/>
      <c r="I4" s="3466" t="s">
        <v>2229</v>
      </c>
      <c r="J4" s="3467"/>
      <c r="K4" s="567" t="s">
        <v>2230</v>
      </c>
      <c r="L4" s="2894"/>
      <c r="M4" s="2895"/>
      <c r="N4" s="2895"/>
      <c r="O4" s="2895"/>
      <c r="P4" s="3470" t="s">
        <v>2231</v>
      </c>
      <c r="Q4" s="3471"/>
      <c r="R4" s="3453" t="s">
        <v>2227</v>
      </c>
      <c r="S4" s="3454"/>
      <c r="T4" s="3453" t="s">
        <v>2228</v>
      </c>
      <c r="U4" s="3454"/>
      <c r="V4" s="3478" t="s">
        <v>2229</v>
      </c>
      <c r="W4" s="3478"/>
      <c r="X4" s="1490"/>
      <c r="Y4" s="3453" t="s">
        <v>2231</v>
      </c>
      <c r="Z4" s="3454"/>
      <c r="AA4" s="3448" t="s">
        <v>2227</v>
      </c>
      <c r="AB4" s="3449" t="s">
        <v>2228</v>
      </c>
      <c r="AC4" s="3448" t="s">
        <v>2229</v>
      </c>
    </row>
    <row r="5" spans="1:30" ht="15">
      <c r="A5" s="364"/>
      <c r="B5" s="365"/>
      <c r="C5" s="3459" t="s">
        <v>2122</v>
      </c>
      <c r="D5" s="3460"/>
      <c r="E5" s="3457" t="s">
        <v>2123</v>
      </c>
      <c r="F5" s="3458"/>
      <c r="G5" s="3459" t="s">
        <v>2124</v>
      </c>
      <c r="H5" s="3460"/>
      <c r="I5" s="3459" t="s">
        <v>2125</v>
      </c>
      <c r="J5" s="3460"/>
      <c r="K5" s="567"/>
      <c r="L5" s="2894"/>
      <c r="M5" s="2895"/>
      <c r="N5" s="2895"/>
      <c r="O5" s="2895"/>
      <c r="P5" s="3472"/>
      <c r="Q5" s="3473"/>
      <c r="R5" s="3455"/>
      <c r="S5" s="3456"/>
      <c r="T5" s="3455"/>
      <c r="U5" s="3456"/>
      <c r="V5" s="3478"/>
      <c r="W5" s="3478"/>
      <c r="X5" s="1490"/>
      <c r="Y5" s="3455"/>
      <c r="Z5" s="3456"/>
      <c r="AA5" s="3449"/>
      <c r="AB5" s="3449"/>
      <c r="AC5" s="3449"/>
    </row>
    <row r="6" spans="1:30" ht="15.75" thickBot="1">
      <c r="A6" s="366"/>
      <c r="B6" s="367"/>
      <c r="C6" s="3461" t="s">
        <v>2126</v>
      </c>
      <c r="D6" s="3462"/>
      <c r="E6" s="3463" t="s">
        <v>2126</v>
      </c>
      <c r="F6" s="3464"/>
      <c r="G6" s="3461" t="s">
        <v>2126</v>
      </c>
      <c r="H6" s="3462"/>
      <c r="I6" s="3461" t="s">
        <v>2126</v>
      </c>
      <c r="J6" s="3462"/>
      <c r="K6" s="567" t="s">
        <v>2127</v>
      </c>
      <c r="L6" s="2894"/>
      <c r="M6" s="2895"/>
      <c r="N6" s="2895"/>
      <c r="O6" s="2895"/>
      <c r="P6" s="3474"/>
      <c r="Q6" s="3475"/>
      <c r="R6" s="3455"/>
      <c r="S6" s="3456"/>
      <c r="T6" s="3476"/>
      <c r="U6" s="3477"/>
      <c r="V6" s="3478"/>
      <c r="W6" s="3478"/>
      <c r="X6" s="1490"/>
      <c r="Y6" s="3476"/>
      <c r="Z6" s="3477"/>
      <c r="AA6" s="3450"/>
      <c r="AB6" s="3450"/>
      <c r="AC6" s="3450"/>
    </row>
    <row r="7" spans="1:30" s="113" customFormat="1" ht="15.75" thickBot="1">
      <c r="A7" s="368" t="s">
        <v>2128</v>
      </c>
      <c r="B7" s="369"/>
      <c r="C7" s="370">
        <f>'数据-取费表'!B2</f>
        <v>44725</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1" t="s">
        <v>2129</v>
      </c>
      <c r="Q7" s="3479"/>
      <c r="R7" s="710" t="s">
        <v>17</v>
      </c>
      <c r="S7" s="711">
        <f t="shared" ref="S7:S15" si="0">F7</f>
        <v>0</v>
      </c>
      <c r="T7" s="710" t="s">
        <v>17</v>
      </c>
      <c r="U7" s="711">
        <f t="shared" ref="U7:U15" si="1">H7</f>
        <v>0</v>
      </c>
      <c r="V7" s="710" t="s">
        <v>17</v>
      </c>
      <c r="W7" s="711">
        <f t="shared" ref="W7:W15" si="2">J7</f>
        <v>0</v>
      </c>
      <c r="X7" s="712"/>
      <c r="Y7" s="3451" t="s">
        <v>2129</v>
      </c>
      <c r="Z7" s="345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1" t="s">
        <v>2132</v>
      </c>
      <c r="Q8" s="3452"/>
      <c r="R8" s="710" t="s">
        <v>17</v>
      </c>
      <c r="S8" s="711">
        <f t="shared" si="0"/>
        <v>0</v>
      </c>
      <c r="T8" s="710" t="s">
        <v>17</v>
      </c>
      <c r="U8" s="711">
        <f t="shared" si="1"/>
        <v>0</v>
      </c>
      <c r="V8" s="710" t="s">
        <v>17</v>
      </c>
      <c r="W8" s="711">
        <f t="shared" si="2"/>
        <v>0</v>
      </c>
      <c r="X8" s="712"/>
      <c r="Y8" s="3451" t="s">
        <v>2132</v>
      </c>
      <c r="Z8" s="3452"/>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3"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163</v>
      </c>
      <c r="G10" s="422"/>
      <c r="H10" s="132">
        <f>ROUND(100/'数据-取费表'!G16,0)</f>
        <v>163</v>
      </c>
      <c r="I10" s="422"/>
      <c r="J10" s="132">
        <f>ROUND(100/'数据-取费表'!G16,0)</f>
        <v>163</v>
      </c>
      <c r="K10" s="628"/>
      <c r="L10" s="2898"/>
      <c r="M10" s="2899"/>
      <c r="N10" s="2899"/>
      <c r="O10" s="2952"/>
      <c r="P10" s="3483"/>
      <c r="Q10" s="1478" t="str">
        <f t="shared" si="6"/>
        <v>土地使用年限（年）</v>
      </c>
      <c r="R10" s="710" t="s">
        <v>17</v>
      </c>
      <c r="S10" s="711">
        <f t="shared" si="0"/>
        <v>163</v>
      </c>
      <c r="T10" s="710" t="s">
        <v>17</v>
      </c>
      <c r="U10" s="711">
        <f t="shared" si="1"/>
        <v>163</v>
      </c>
      <c r="V10" s="710" t="s">
        <v>17</v>
      </c>
      <c r="W10" s="711">
        <f t="shared" si="2"/>
        <v>163</v>
      </c>
      <c r="X10" s="712"/>
      <c r="Y10" s="3395"/>
      <c r="Z10" s="55" t="str">
        <f t="shared" si="7"/>
        <v>土地使用年限（年）</v>
      </c>
      <c r="AA10" s="713">
        <f t="shared" si="3"/>
        <v>0.61349693251533743</v>
      </c>
      <c r="AB10" s="713">
        <f t="shared" si="4"/>
        <v>0.61349693251533743</v>
      </c>
      <c r="AC10" s="713">
        <f t="shared" si="5"/>
        <v>0.61349693251533743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3"/>
      <c r="Q11" s="1478"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3"/>
      <c r="Q12" s="1478" t="str">
        <f t="shared" si="6"/>
        <v>配建</v>
      </c>
      <c r="R12" s="710" t="s">
        <v>17</v>
      </c>
      <c r="S12" s="711">
        <f t="shared" si="0"/>
        <v>100</v>
      </c>
      <c r="T12" s="710" t="s">
        <v>17</v>
      </c>
      <c r="U12" s="711">
        <f t="shared" si="1"/>
        <v>100</v>
      </c>
      <c r="V12" s="710" t="s">
        <v>17</v>
      </c>
      <c r="W12" s="711">
        <f t="shared" si="2"/>
        <v>100</v>
      </c>
      <c r="X12" s="712"/>
      <c r="Y12" s="339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3"/>
      <c r="Q13" s="1478">
        <f t="shared" si="6"/>
        <v>111</v>
      </c>
      <c r="R13" s="710" t="s">
        <v>17</v>
      </c>
      <c r="S13" s="711">
        <f t="shared" si="0"/>
        <v>100</v>
      </c>
      <c r="T13" s="710" t="s">
        <v>17</v>
      </c>
      <c r="U13" s="711">
        <f t="shared" si="1"/>
        <v>100</v>
      </c>
      <c r="V13" s="710" t="s">
        <v>17</v>
      </c>
      <c r="W13" s="711">
        <f t="shared" si="2"/>
        <v>100</v>
      </c>
      <c r="X13" s="712"/>
      <c r="Y13" s="3395"/>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3"/>
      <c r="Q14" s="1478">
        <f t="shared" si="6"/>
        <v>111</v>
      </c>
      <c r="R14" s="710" t="s">
        <v>17</v>
      </c>
      <c r="S14" s="711">
        <f t="shared" si="0"/>
        <v>100</v>
      </c>
      <c r="T14" s="710" t="s">
        <v>17</v>
      </c>
      <c r="U14" s="711">
        <f t="shared" si="1"/>
        <v>100</v>
      </c>
      <c r="V14" s="710" t="s">
        <v>17</v>
      </c>
      <c r="W14" s="711">
        <f t="shared" si="2"/>
        <v>100</v>
      </c>
      <c r="X14" s="712"/>
      <c r="Y14" s="3395"/>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5" t="s">
        <v>2140</v>
      </c>
      <c r="Q15" s="1487" t="str">
        <f t="shared" si="6"/>
        <v>居住社区成熟度</v>
      </c>
      <c r="R15" s="714" t="s">
        <v>17</v>
      </c>
      <c r="S15" s="715">
        <f t="shared" si="0"/>
        <v>100</v>
      </c>
      <c r="T15" s="714" t="s">
        <v>17</v>
      </c>
      <c r="U15" s="715">
        <f t="shared" si="1"/>
        <v>100</v>
      </c>
      <c r="V15" s="714" t="s">
        <v>17</v>
      </c>
      <c r="W15" s="715">
        <f t="shared" si="2"/>
        <v>100</v>
      </c>
      <c r="X15" s="1490"/>
      <c r="Y15" s="3485"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6"/>
      <c r="Q16" s="1487"/>
      <c r="R16" s="714"/>
      <c r="S16" s="715"/>
      <c r="T16" s="714"/>
      <c r="U16" s="715"/>
      <c r="V16" s="714"/>
      <c r="W16" s="715"/>
      <c r="X16" s="1490"/>
      <c r="Y16" s="3486"/>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6"/>
      <c r="Q17" s="1487" t="str">
        <f>B17</f>
        <v>商业繁华度</v>
      </c>
      <c r="R17" s="714" t="s">
        <v>17</v>
      </c>
      <c r="S17" s="715">
        <f>F17</f>
        <v>100</v>
      </c>
      <c r="T17" s="714" t="s">
        <v>17</v>
      </c>
      <c r="U17" s="715">
        <f>H17</f>
        <v>100</v>
      </c>
      <c r="V17" s="714" t="s">
        <v>17</v>
      </c>
      <c r="W17" s="715">
        <f>J17</f>
        <v>100</v>
      </c>
      <c r="X17" s="1490"/>
      <c r="Y17" s="348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6"/>
      <c r="Q18" s="1487"/>
      <c r="R18" s="714"/>
      <c r="S18" s="715"/>
      <c r="T18" s="714"/>
      <c r="U18" s="715"/>
      <c r="V18" s="714"/>
      <c r="W18" s="715"/>
      <c r="X18" s="1490"/>
      <c r="Y18" s="3486"/>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6"/>
      <c r="Q19" s="1487" t="str">
        <f>B19</f>
        <v>办公集聚程度</v>
      </c>
      <c r="R19" s="714" t="s">
        <v>17</v>
      </c>
      <c r="S19" s="715">
        <f>F19</f>
        <v>100</v>
      </c>
      <c r="T19" s="714" t="s">
        <v>17</v>
      </c>
      <c r="U19" s="715">
        <f>H19</f>
        <v>100</v>
      </c>
      <c r="V19" s="714" t="s">
        <v>17</v>
      </c>
      <c r="W19" s="715">
        <f>J19</f>
        <v>100</v>
      </c>
      <c r="X19" s="1490"/>
      <c r="Y19" s="348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6"/>
      <c r="Q20" s="1487"/>
      <c r="R20" s="714"/>
      <c r="S20" s="715"/>
      <c r="T20" s="714"/>
      <c r="U20" s="715"/>
      <c r="V20" s="714"/>
      <c r="W20" s="715"/>
      <c r="X20" s="1490"/>
      <c r="Y20" s="3486"/>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6"/>
      <c r="Q21" s="1487" t="str">
        <f>B21</f>
        <v>交通便捷度</v>
      </c>
      <c r="R21" s="714" t="s">
        <v>17</v>
      </c>
      <c r="S21" s="715">
        <f>F21</f>
        <v>100</v>
      </c>
      <c r="T21" s="714" t="s">
        <v>17</v>
      </c>
      <c r="U21" s="715">
        <f>H21</f>
        <v>100</v>
      </c>
      <c r="V21" s="714" t="s">
        <v>17</v>
      </c>
      <c r="W21" s="715">
        <f>J21</f>
        <v>100</v>
      </c>
      <c r="X21" s="1490"/>
      <c r="Y21" s="348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6"/>
      <c r="Q22" s="1487"/>
      <c r="R22" s="714"/>
      <c r="S22" s="715"/>
      <c r="T22" s="714"/>
      <c r="U22" s="715"/>
      <c r="V22" s="714"/>
      <c r="W22" s="715"/>
      <c r="X22" s="1490"/>
      <c r="Y22" s="3486"/>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6"/>
      <c r="Q23" s="1487" t="str">
        <f t="shared" ref="Q23:Q37" si="8">B23</f>
        <v>区域土地利用方向</v>
      </c>
      <c r="R23" s="714" t="s">
        <v>17</v>
      </c>
      <c r="S23" s="715">
        <f>F23</f>
        <v>100</v>
      </c>
      <c r="T23" s="714" t="s">
        <v>17</v>
      </c>
      <c r="U23" s="715">
        <f>H23</f>
        <v>100</v>
      </c>
      <c r="V23" s="714" t="s">
        <v>17</v>
      </c>
      <c r="W23" s="715">
        <f>J23</f>
        <v>100</v>
      </c>
      <c r="X23" s="1490"/>
      <c r="Y23" s="348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6"/>
      <c r="Q24" s="1487"/>
      <c r="R24" s="714"/>
      <c r="S24" s="715"/>
      <c r="T24" s="714"/>
      <c r="U24" s="715"/>
      <c r="V24" s="714"/>
      <c r="W24" s="715"/>
      <c r="X24" s="1490"/>
      <c r="Y24" s="3486"/>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6"/>
      <c r="Q25" s="1487" t="str">
        <f t="shared" si="8"/>
        <v>自然及人文环境状况</v>
      </c>
      <c r="R25" s="714" t="s">
        <v>17</v>
      </c>
      <c r="S25" s="715">
        <f>F25</f>
        <v>100</v>
      </c>
      <c r="T25" s="714" t="s">
        <v>17</v>
      </c>
      <c r="U25" s="715">
        <f>H25</f>
        <v>100</v>
      </c>
      <c r="V25" s="714" t="s">
        <v>17</v>
      </c>
      <c r="W25" s="715">
        <f>J25</f>
        <v>100</v>
      </c>
      <c r="X25" s="1490"/>
      <c r="Y25" s="348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6"/>
      <c r="Q26" s="1487"/>
      <c r="R26" s="714"/>
      <c r="S26" s="715"/>
      <c r="T26" s="714"/>
      <c r="U26" s="715"/>
      <c r="V26" s="714"/>
      <c r="W26" s="715"/>
      <c r="X26" s="1490"/>
      <c r="Y26" s="3486"/>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6"/>
      <c r="Q27" s="1478" t="str">
        <f t="shared" si="8"/>
        <v>公共配套设施</v>
      </c>
      <c r="R27" s="710" t="s">
        <v>17</v>
      </c>
      <c r="S27" s="711">
        <f>F27</f>
        <v>100</v>
      </c>
      <c r="T27" s="710" t="s">
        <v>17</v>
      </c>
      <c r="U27" s="711">
        <f>H27</f>
        <v>100</v>
      </c>
      <c r="V27" s="710" t="s">
        <v>17</v>
      </c>
      <c r="W27" s="711">
        <f>J27</f>
        <v>100</v>
      </c>
      <c r="X27" s="712"/>
      <c r="Y27" s="348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6"/>
      <c r="Q28" s="1478"/>
      <c r="R28" s="710"/>
      <c r="S28" s="711"/>
      <c r="T28" s="710"/>
      <c r="U28" s="711"/>
      <c r="V28" s="710"/>
      <c r="W28" s="711"/>
      <c r="X28" s="712"/>
      <c r="Y28" s="3486"/>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6"/>
      <c r="Q29" s="1478" t="str">
        <f t="shared" ref="Q29" si="9">B29</f>
        <v>基础设施水平</v>
      </c>
      <c r="R29" s="710" t="s">
        <v>17</v>
      </c>
      <c r="S29" s="711">
        <f>F29</f>
        <v>100</v>
      </c>
      <c r="T29" s="710" t="s">
        <v>17</v>
      </c>
      <c r="U29" s="711">
        <f>H29</f>
        <v>100</v>
      </c>
      <c r="V29" s="710" t="s">
        <v>17</v>
      </c>
      <c r="W29" s="711">
        <f>J29</f>
        <v>100</v>
      </c>
      <c r="X29" s="712"/>
      <c r="Y29" s="348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6"/>
      <c r="Q30" s="1478"/>
      <c r="R30" s="710"/>
      <c r="S30" s="711"/>
      <c r="T30" s="710"/>
      <c r="U30" s="711"/>
      <c r="V30" s="710"/>
      <c r="W30" s="711"/>
      <c r="X30" s="712"/>
      <c r="Y30" s="348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6"/>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6"/>
      <c r="Q32" s="1487" t="str">
        <f t="shared" si="8"/>
        <v>毗邻道路的类型与等级</v>
      </c>
      <c r="R32" s="714" t="s">
        <v>17</v>
      </c>
      <c r="S32" s="715">
        <f t="shared" si="10"/>
        <v>100</v>
      </c>
      <c r="T32" s="714" t="s">
        <v>17</v>
      </c>
      <c r="U32" s="715">
        <f t="shared" si="11"/>
        <v>100</v>
      </c>
      <c r="V32" s="714" t="s">
        <v>17</v>
      </c>
      <c r="W32" s="715">
        <f t="shared" si="12"/>
        <v>100</v>
      </c>
      <c r="X32" s="1490"/>
      <c r="Y32" s="348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6"/>
      <c r="Q33" s="1487"/>
      <c r="R33" s="714"/>
      <c r="S33" s="715"/>
      <c r="T33" s="714"/>
      <c r="U33" s="715"/>
      <c r="V33" s="714"/>
      <c r="W33" s="715"/>
      <c r="X33" s="1490"/>
      <c r="Y33" s="348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6"/>
      <c r="Q34" s="1487" t="str">
        <f t="shared" si="8"/>
        <v>土地级别</v>
      </c>
      <c r="R34" s="714" t="s">
        <v>17</v>
      </c>
      <c r="S34" s="715">
        <f t="shared" si="10"/>
        <v>100</v>
      </c>
      <c r="T34" s="714" t="s">
        <v>17</v>
      </c>
      <c r="U34" s="715">
        <f t="shared" si="11"/>
        <v>100</v>
      </c>
      <c r="V34" s="714" t="s">
        <v>17</v>
      </c>
      <c r="W34" s="715">
        <f t="shared" si="12"/>
        <v>100</v>
      </c>
      <c r="X34" s="1490"/>
      <c r="Y34" s="348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6"/>
      <c r="Q35" s="1487">
        <f t="shared" si="8"/>
        <v>111</v>
      </c>
      <c r="R35" s="714" t="s">
        <v>17</v>
      </c>
      <c r="S35" s="715">
        <f t="shared" si="10"/>
        <v>100</v>
      </c>
      <c r="T35" s="714" t="s">
        <v>17</v>
      </c>
      <c r="U35" s="715">
        <f t="shared" si="11"/>
        <v>100</v>
      </c>
      <c r="V35" s="714" t="s">
        <v>17</v>
      </c>
      <c r="W35" s="715">
        <f t="shared" si="12"/>
        <v>100</v>
      </c>
      <c r="X35" s="1490"/>
      <c r="Y35" s="348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09" t="s">
        <v>2145</v>
      </c>
      <c r="Q36" s="1487">
        <f t="shared" si="8"/>
        <v>111</v>
      </c>
      <c r="R36" s="714" t="s">
        <v>17</v>
      </c>
      <c r="S36" s="715">
        <f t="shared" si="10"/>
        <v>100</v>
      </c>
      <c r="T36" s="714" t="s">
        <v>17</v>
      </c>
      <c r="U36" s="715">
        <f t="shared" si="11"/>
        <v>100</v>
      </c>
      <c r="V36" s="714" t="s">
        <v>17</v>
      </c>
      <c r="W36" s="715">
        <f t="shared" si="12"/>
        <v>100</v>
      </c>
      <c r="X36" s="1490"/>
      <c r="Y36" s="3490"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0"/>
      <c r="Q37" s="1487">
        <f t="shared" si="8"/>
        <v>111</v>
      </c>
      <c r="R37" s="717" t="s">
        <v>17</v>
      </c>
      <c r="S37" s="718">
        <f t="shared" si="10"/>
        <v>100</v>
      </c>
      <c r="T37" s="717" t="s">
        <v>17</v>
      </c>
      <c r="U37" s="718">
        <f t="shared" si="11"/>
        <v>100</v>
      </c>
      <c r="V37" s="717" t="s">
        <v>17</v>
      </c>
      <c r="W37" s="718">
        <f t="shared" si="12"/>
        <v>100</v>
      </c>
      <c r="X37" s="719"/>
      <c r="Y37" s="3490"/>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0"/>
      <c r="Q38" s="1487" t="str">
        <f>B38</f>
        <v>宗地面积</v>
      </c>
      <c r="R38" s="714" t="s">
        <v>17</v>
      </c>
      <c r="S38" s="715" t="e">
        <f t="shared" si="10"/>
        <v>#N/A</v>
      </c>
      <c r="T38" s="714" t="s">
        <v>17</v>
      </c>
      <c r="U38" s="715" t="e">
        <f t="shared" si="11"/>
        <v>#N/A</v>
      </c>
      <c r="V38" s="714" t="s">
        <v>17</v>
      </c>
      <c r="W38" s="715" t="e">
        <f t="shared" si="12"/>
        <v>#N/A</v>
      </c>
      <c r="X38" s="1490"/>
      <c r="Y38" s="3490"/>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0"/>
      <c r="Q39" s="1487" t="str">
        <f t="shared" ref="Q39:Q45" si="14">B39</f>
        <v>宗地形状</v>
      </c>
      <c r="R39" s="714" t="s">
        <v>17</v>
      </c>
      <c r="S39" s="715">
        <f t="shared" si="10"/>
        <v>100</v>
      </c>
      <c r="T39" s="714" t="s">
        <v>17</v>
      </c>
      <c r="U39" s="715">
        <f t="shared" si="11"/>
        <v>100</v>
      </c>
      <c r="V39" s="714" t="s">
        <v>17</v>
      </c>
      <c r="W39" s="715">
        <f t="shared" si="12"/>
        <v>100</v>
      </c>
      <c r="X39" s="1490"/>
      <c r="Y39" s="3490"/>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0"/>
      <c r="Q40" s="1487" t="str">
        <f t="shared" si="14"/>
        <v>临街宽度及深度</v>
      </c>
      <c r="R40" s="714" t="s">
        <v>17</v>
      </c>
      <c r="S40" s="715">
        <f t="shared" si="10"/>
        <v>100</v>
      </c>
      <c r="T40" s="714" t="s">
        <v>17</v>
      </c>
      <c r="U40" s="715">
        <f t="shared" si="11"/>
        <v>100</v>
      </c>
      <c r="V40" s="714" t="s">
        <v>17</v>
      </c>
      <c r="W40" s="715">
        <f t="shared" si="12"/>
        <v>100</v>
      </c>
      <c r="X40" s="1490"/>
      <c r="Y40" s="3490"/>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0"/>
      <c r="Q41" s="1487" t="str">
        <f t="shared" si="14"/>
        <v>宗地开发程度</v>
      </c>
      <c r="R41" s="710" t="s">
        <v>17</v>
      </c>
      <c r="S41" s="711">
        <f t="shared" si="10"/>
        <v>100</v>
      </c>
      <c r="T41" s="710" t="s">
        <v>17</v>
      </c>
      <c r="U41" s="711">
        <f t="shared" si="11"/>
        <v>100</v>
      </c>
      <c r="V41" s="710" t="s">
        <v>17</v>
      </c>
      <c r="W41" s="711">
        <f t="shared" si="12"/>
        <v>100</v>
      </c>
      <c r="X41" s="712"/>
      <c r="Y41" s="3490"/>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0" t="s">
        <v>2145</v>
      </c>
      <c r="Q42" s="1487" t="str">
        <f t="shared" si="14"/>
        <v>工程地质条件</v>
      </c>
      <c r="R42" s="714" t="s">
        <v>17</v>
      </c>
      <c r="S42" s="715">
        <f t="shared" si="10"/>
        <v>100</v>
      </c>
      <c r="T42" s="714" t="s">
        <v>17</v>
      </c>
      <c r="U42" s="715">
        <f t="shared" si="11"/>
        <v>100</v>
      </c>
      <c r="V42" s="714" t="s">
        <v>17</v>
      </c>
      <c r="W42" s="715">
        <f t="shared" si="12"/>
        <v>100</v>
      </c>
      <c r="X42" s="1490"/>
      <c r="Y42" s="349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0"/>
      <c r="Q43" s="1487">
        <f t="shared" si="14"/>
        <v>111</v>
      </c>
      <c r="R43" s="714" t="s">
        <v>17</v>
      </c>
      <c r="S43" s="715">
        <f t="shared" si="10"/>
        <v>100</v>
      </c>
      <c r="T43" s="714" t="s">
        <v>17</v>
      </c>
      <c r="U43" s="715">
        <f t="shared" si="11"/>
        <v>100</v>
      </c>
      <c r="V43" s="714" t="s">
        <v>17</v>
      </c>
      <c r="W43" s="715">
        <f t="shared" si="12"/>
        <v>100</v>
      </c>
      <c r="X43" s="1490"/>
      <c r="Y43" s="349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0"/>
      <c r="Q44" s="1487">
        <f t="shared" si="14"/>
        <v>111</v>
      </c>
      <c r="R44" s="714" t="s">
        <v>17</v>
      </c>
      <c r="S44" s="715">
        <f t="shared" si="10"/>
        <v>100</v>
      </c>
      <c r="T44" s="714" t="s">
        <v>17</v>
      </c>
      <c r="U44" s="715">
        <f t="shared" si="11"/>
        <v>100</v>
      </c>
      <c r="V44" s="714" t="s">
        <v>17</v>
      </c>
      <c r="W44" s="715">
        <f t="shared" si="12"/>
        <v>100</v>
      </c>
      <c r="X44" s="1490"/>
      <c r="Y44" s="3490"/>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0"/>
      <c r="Q45" s="1487">
        <f t="shared" si="14"/>
        <v>111</v>
      </c>
      <c r="R45" s="717" t="s">
        <v>17</v>
      </c>
      <c r="S45" s="718">
        <f t="shared" si="10"/>
        <v>100</v>
      </c>
      <c r="T45" s="717" t="s">
        <v>17</v>
      </c>
      <c r="U45" s="718">
        <f t="shared" si="11"/>
        <v>100</v>
      </c>
      <c r="V45" s="717" t="s">
        <v>17</v>
      </c>
      <c r="W45" s="718">
        <f t="shared" si="12"/>
        <v>100</v>
      </c>
      <c r="X45" s="719"/>
      <c r="Y45" s="3490"/>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3" t="str">
        <f>A46</f>
        <v>成交单价</v>
      </c>
      <c r="Q46" s="3483"/>
      <c r="R46" s="3478">
        <f>E46</f>
        <v>0</v>
      </c>
      <c r="S46" s="3478"/>
      <c r="T46" s="3478">
        <f>G46</f>
        <v>0</v>
      </c>
      <c r="U46" s="3478"/>
      <c r="V46" s="3478">
        <f>I46</f>
        <v>0</v>
      </c>
      <c r="W46" s="347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3" t="str">
        <f>A47</f>
        <v>比较价值（元/平方米）</v>
      </c>
      <c r="Q47" s="3483"/>
      <c r="R47" s="3511" t="e">
        <f>ROUND(PRODUCT(R46,AA7:AA45),0)</f>
        <v>#DIV/0!</v>
      </c>
      <c r="S47" s="3511"/>
      <c r="T47" s="3511" t="e">
        <f>ROUND(PRODUCT(T46,AB7:AB45),0)</f>
        <v>#DIV/0!</v>
      </c>
      <c r="U47" s="3511"/>
      <c r="V47" s="3511" t="e">
        <f>ROUND(PRODUCT(V46,AC7:AC45),0)</f>
        <v>#DIV/0!</v>
      </c>
      <c r="W47" s="351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0" t="str">
        <f>A48</f>
        <v>估价对象XX用房的比较价值（楼面单价，元/平方米）</v>
      </c>
      <c r="Q48" s="3481"/>
      <c r="R48" s="3512" t="e">
        <f>ROUND(IF(D47="简单平均",AVERAGE(R47:W47),R47*F47+T47*H47+V47*J47),0)</f>
        <v>#DIV/0!</v>
      </c>
      <c r="S48" s="3512"/>
      <c r="T48" s="3512"/>
      <c r="U48" s="3512"/>
      <c r="V48" s="3512"/>
      <c r="W48" s="3512"/>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6" t="s">
        <v>2344</v>
      </c>
      <c r="H55" s="3513"/>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9097.7000000000007</v>
      </c>
      <c r="F56" s="998" t="e">
        <f t="shared" ref="F56:F64" si="15">ROUND(B56*E56/10000,0)</f>
        <v>#DIV/0!</v>
      </c>
      <c r="G56" s="3465"/>
      <c r="H56" s="3483"/>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7" t="s">
        <v>2349</v>
      </c>
      <c r="H57" s="999" t="str">
        <f>项目基本情况!B37</f>
        <v>二级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8"/>
      <c r="H58" s="999" t="str">
        <f>项目基本情况!B37</f>
        <v>二级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8"/>
      <c r="H59" s="999" t="str">
        <f>项目基本情况!B37</f>
        <v>二级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9097.7000000000007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29"/>
      <c r="B4" s="3234" t="s">
        <v>1354</v>
      </c>
      <c r="C4" s="3234"/>
      <c r="D4" s="3234"/>
      <c r="E4" s="1629"/>
    </row>
    <row r="5" spans="1:5" ht="16.5" thickTop="1">
      <c r="A5" s="1627"/>
      <c r="B5" s="3232" t="s">
        <v>1346</v>
      </c>
      <c r="C5" s="1630" t="s">
        <v>1347</v>
      </c>
      <c r="D5" s="940">
        <f ca="1">结果表!H101</f>
        <v>30153</v>
      </c>
      <c r="E5" s="1627"/>
    </row>
    <row r="6" spans="1:5" ht="15.75">
      <c r="A6" s="1627"/>
      <c r="B6" s="3232"/>
      <c r="C6" s="1630" t="s">
        <v>1348</v>
      </c>
      <c r="D6" s="940" t="str">
        <f ca="1">NUMBERSTRING(INT(D5*10000),2)&amp;"元整"</f>
        <v>叁亿零壹佰伍拾叁万元整</v>
      </c>
      <c r="E6" s="1627"/>
    </row>
    <row r="7" spans="1:5" ht="15.75">
      <c r="A7" s="1627"/>
      <c r="B7" s="3237"/>
      <c r="C7" s="1631" t="s">
        <v>1349</v>
      </c>
      <c r="D7" s="941">
        <f ca="1">结果表!H102</f>
        <v>30604</v>
      </c>
      <c r="E7" s="1627"/>
    </row>
    <row r="8" spans="1:5" ht="15.75">
      <c r="A8" s="1627"/>
      <c r="B8" s="3238" t="str">
        <f>结果表!E103</f>
        <v>2.估价师知悉的法定优先受偿款</v>
      </c>
      <c r="C8" s="1632" t="s">
        <v>1350</v>
      </c>
      <c r="D8" s="941">
        <f>结果表!H103</f>
        <v>0</v>
      </c>
      <c r="E8" s="1627"/>
    </row>
    <row r="9" spans="1:5" ht="15.75">
      <c r="A9" s="1627"/>
      <c r="B9" s="324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1" t="str">
        <f>结果表!E107</f>
        <v>3.房地产抵押价值</v>
      </c>
      <c r="C13" s="1635" t="s">
        <v>1347</v>
      </c>
      <c r="D13" s="943">
        <f ca="1">结果表!H107</f>
        <v>30153</v>
      </c>
      <c r="E13" s="1627"/>
    </row>
    <row r="14" spans="1:5" ht="15.75">
      <c r="A14" s="1627"/>
      <c r="B14" s="3232"/>
      <c r="C14" s="1630" t="s">
        <v>1348</v>
      </c>
      <c r="D14" s="940" t="str">
        <f ca="1">NUMBERSTRING(INT(D13*10000),2)&amp;"元整"</f>
        <v>叁亿零壹佰伍拾叁万元整</v>
      </c>
      <c r="E14" s="1627"/>
    </row>
    <row r="15" spans="1:5" ht="15">
      <c r="A15" s="1627"/>
      <c r="B15" s="3237"/>
      <c r="C15" s="1631" t="s">
        <v>1358</v>
      </c>
      <c r="D15" s="949">
        <f ca="1">结果表!H108</f>
        <v>30604</v>
      </c>
      <c r="E15" s="1627"/>
    </row>
    <row r="16" spans="1:5" ht="15">
      <c r="A16" s="1627"/>
      <c r="B16" s="3238" t="str">
        <f>结果表!E109</f>
        <v>——</v>
      </c>
      <c r="C16" s="1635" t="s">
        <v>1359</v>
      </c>
      <c r="D16" s="1636" t="str">
        <f>结果表!H109</f>
        <v>——</v>
      </c>
      <c r="E16" s="1627"/>
    </row>
    <row r="17" spans="1:5" ht="15.75">
      <c r="A17" s="1627"/>
      <c r="B17" s="3239"/>
      <c r="C17" s="1630" t="s">
        <v>1360</v>
      </c>
      <c r="D17" s="940" t="e">
        <f>NUMBERSTRING(INT(D16*10000),2)&amp;"元整"</f>
        <v>#VALUE!</v>
      </c>
      <c r="E17" s="1627"/>
    </row>
    <row r="18" spans="1:5" ht="15">
      <c r="A18" s="1627"/>
      <c r="B18" s="3240"/>
      <c r="C18" s="1631" t="s">
        <v>1349</v>
      </c>
      <c r="D18" s="949" t="str">
        <f>结果表!H110</f>
        <v>——</v>
      </c>
      <c r="E18" s="1627"/>
    </row>
    <row r="19" spans="1:5" ht="15.75">
      <c r="A19" s="1627"/>
      <c r="B19" s="3231" t="str">
        <f>结果表!E111</f>
        <v>4.抵押净值</v>
      </c>
      <c r="C19" s="1635" t="s">
        <v>1347</v>
      </c>
      <c r="D19" s="941">
        <f ca="1">结果表!H111</f>
        <v>12784</v>
      </c>
      <c r="E19" s="1627"/>
    </row>
    <row r="20" spans="1:5" ht="15.75">
      <c r="A20" s="1627"/>
      <c r="B20" s="3232"/>
      <c r="C20" s="1630" t="s">
        <v>1360</v>
      </c>
      <c r="D20" s="940" t="str">
        <f ca="1">NUMBERSTRING(INT(D19*10000),2)&amp;"元整"</f>
        <v>壹亿贰仟柒佰捌拾肆万元整</v>
      </c>
      <c r="E20" s="1627"/>
    </row>
    <row r="21" spans="1:5" ht="15.75" thickBot="1">
      <c r="A21" s="1627"/>
      <c r="B21" s="3233"/>
      <c r="C21" s="1637" t="s">
        <v>1358</v>
      </c>
      <c r="D21" s="950">
        <f ca="1">结果表!H112</f>
        <v>12975</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6" t="s">
        <v>2226</v>
      </c>
      <c r="D4" s="3467"/>
      <c r="E4" s="3468" t="s">
        <v>2227</v>
      </c>
      <c r="F4" s="3469"/>
      <c r="G4" s="3466" t="s">
        <v>2228</v>
      </c>
      <c r="H4" s="3467"/>
      <c r="I4" s="3466" t="s">
        <v>2229</v>
      </c>
      <c r="J4" s="3467"/>
      <c r="K4" s="567" t="s">
        <v>2230</v>
      </c>
      <c r="L4" s="2894"/>
      <c r="M4" s="2895"/>
      <c r="N4" s="2895"/>
      <c r="O4" s="2895"/>
      <c r="P4" s="3470" t="s">
        <v>2231</v>
      </c>
      <c r="Q4" s="3471"/>
      <c r="R4" s="3453" t="s">
        <v>2227</v>
      </c>
      <c r="S4" s="3454"/>
      <c r="T4" s="3453" t="s">
        <v>2228</v>
      </c>
      <c r="U4" s="3454"/>
      <c r="V4" s="3478" t="s">
        <v>2229</v>
      </c>
      <c r="W4" s="3478"/>
      <c r="X4" s="1490"/>
      <c r="Y4" s="3453" t="s">
        <v>2231</v>
      </c>
      <c r="Z4" s="3454"/>
      <c r="AA4" s="3448" t="s">
        <v>2227</v>
      </c>
      <c r="AB4" s="3449" t="s">
        <v>2228</v>
      </c>
      <c r="AC4" s="3448" t="s">
        <v>2229</v>
      </c>
    </row>
    <row r="5" spans="1:29" ht="15">
      <c r="A5" s="364"/>
      <c r="B5" s="365"/>
      <c r="C5" s="3459" t="s">
        <v>2122</v>
      </c>
      <c r="D5" s="3460"/>
      <c r="E5" s="3457" t="s">
        <v>2123</v>
      </c>
      <c r="F5" s="3458"/>
      <c r="G5" s="3459" t="s">
        <v>2124</v>
      </c>
      <c r="H5" s="3460"/>
      <c r="I5" s="3459" t="s">
        <v>2125</v>
      </c>
      <c r="J5" s="3460"/>
      <c r="K5" s="567"/>
      <c r="L5" s="2894"/>
      <c r="M5" s="2895"/>
      <c r="N5" s="2895"/>
      <c r="O5" s="2895"/>
      <c r="P5" s="3472"/>
      <c r="Q5" s="3473"/>
      <c r="R5" s="3455"/>
      <c r="S5" s="3456"/>
      <c r="T5" s="3455"/>
      <c r="U5" s="3456"/>
      <c r="V5" s="3478"/>
      <c r="W5" s="3478"/>
      <c r="X5" s="1490"/>
      <c r="Y5" s="3455"/>
      <c r="Z5" s="3456"/>
      <c r="AA5" s="3449"/>
      <c r="AB5" s="3449"/>
      <c r="AC5" s="3449"/>
    </row>
    <row r="6" spans="1:29" ht="15.75" thickBot="1">
      <c r="A6" s="366"/>
      <c r="B6" s="367"/>
      <c r="C6" s="3514" t="s">
        <v>2376</v>
      </c>
      <c r="D6" s="3515"/>
      <c r="E6" s="3516" t="s">
        <v>2376</v>
      </c>
      <c r="F6" s="3517"/>
      <c r="G6" s="3514" t="s">
        <v>2376</v>
      </c>
      <c r="H6" s="3515"/>
      <c r="I6" s="3514" t="s">
        <v>2376</v>
      </c>
      <c r="J6" s="3515"/>
      <c r="K6" s="567" t="s">
        <v>2127</v>
      </c>
      <c r="L6" s="2894"/>
      <c r="M6" s="2895"/>
      <c r="N6" s="2895"/>
      <c r="O6" s="2895"/>
      <c r="P6" s="3474"/>
      <c r="Q6" s="3475"/>
      <c r="R6" s="3455"/>
      <c r="S6" s="3456"/>
      <c r="T6" s="3476"/>
      <c r="U6" s="3477"/>
      <c r="V6" s="3478"/>
      <c r="W6" s="3478"/>
      <c r="X6" s="1490"/>
      <c r="Y6" s="3476"/>
      <c r="Z6" s="3477"/>
      <c r="AA6" s="3450"/>
      <c r="AB6" s="3450"/>
      <c r="AC6" s="3450"/>
    </row>
    <row r="7" spans="1:29" s="113" customFormat="1" ht="15.75" thickBot="1">
      <c r="A7" s="368" t="s">
        <v>2128</v>
      </c>
      <c r="B7" s="369"/>
      <c r="C7" s="370">
        <f>'数据-取费表'!B2</f>
        <v>44725</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1" t="s">
        <v>2129</v>
      </c>
      <c r="Q7" s="3479"/>
      <c r="R7" s="710" t="s">
        <v>17</v>
      </c>
      <c r="S7" s="711">
        <f t="shared" ref="S7:S15" si="0">F7</f>
        <v>0</v>
      </c>
      <c r="T7" s="710" t="s">
        <v>17</v>
      </c>
      <c r="U7" s="711">
        <f t="shared" ref="U7:U15" si="1">H7</f>
        <v>0</v>
      </c>
      <c r="V7" s="710" t="s">
        <v>17</v>
      </c>
      <c r="W7" s="711">
        <f t="shared" ref="W7:W15" si="2">J7</f>
        <v>0</v>
      </c>
      <c r="X7" s="712"/>
      <c r="Y7" s="3451" t="s">
        <v>2129</v>
      </c>
      <c r="Z7" s="345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1" t="s">
        <v>2132</v>
      </c>
      <c r="Q8" s="3452"/>
      <c r="R8" s="710" t="s">
        <v>17</v>
      </c>
      <c r="S8" s="711">
        <f t="shared" si="0"/>
        <v>0</v>
      </c>
      <c r="T8" s="710" t="s">
        <v>17</v>
      </c>
      <c r="U8" s="711">
        <f t="shared" si="1"/>
        <v>0</v>
      </c>
      <c r="V8" s="710" t="s">
        <v>17</v>
      </c>
      <c r="W8" s="711">
        <f t="shared" si="2"/>
        <v>0</v>
      </c>
      <c r="X8" s="712"/>
      <c r="Y8" s="3451" t="s">
        <v>2132</v>
      </c>
      <c r="Z8" s="3452"/>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3" t="s">
        <v>2135</v>
      </c>
      <c r="Q9" s="1478" t="str">
        <f t="shared" ref="Q9:Q15" si="6">B9</f>
        <v>用途</v>
      </c>
      <c r="R9" s="710" t="s">
        <v>17</v>
      </c>
      <c r="S9" s="711">
        <f t="shared" si="0"/>
        <v>100</v>
      </c>
      <c r="T9" s="710" t="s">
        <v>17</v>
      </c>
      <c r="U9" s="711">
        <f t="shared" si="1"/>
        <v>100</v>
      </c>
      <c r="V9" s="710" t="s">
        <v>17</v>
      </c>
      <c r="W9" s="711">
        <f t="shared" si="2"/>
        <v>100</v>
      </c>
      <c r="X9" s="712"/>
      <c r="Y9" s="3395"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163</v>
      </c>
      <c r="G10" s="391"/>
      <c r="H10" s="132">
        <f>ROUND(100/'数据-取费表'!G16,0)</f>
        <v>163</v>
      </c>
      <c r="I10" s="391"/>
      <c r="J10" s="132">
        <f>ROUND(100/'数据-取费表'!G16,0)</f>
        <v>163</v>
      </c>
      <c r="K10" s="628"/>
      <c r="L10" s="2898"/>
      <c r="M10" s="2899"/>
      <c r="N10" s="2899"/>
      <c r="O10" s="2952"/>
      <c r="P10" s="3483"/>
      <c r="Q10" s="1478" t="str">
        <f t="shared" si="6"/>
        <v>土地使用年限（年）</v>
      </c>
      <c r="R10" s="710" t="s">
        <v>17</v>
      </c>
      <c r="S10" s="711">
        <f t="shared" si="0"/>
        <v>163</v>
      </c>
      <c r="T10" s="710" t="s">
        <v>17</v>
      </c>
      <c r="U10" s="711">
        <f t="shared" si="1"/>
        <v>163</v>
      </c>
      <c r="V10" s="710" t="s">
        <v>17</v>
      </c>
      <c r="W10" s="711">
        <f t="shared" si="2"/>
        <v>163</v>
      </c>
      <c r="X10" s="712"/>
      <c r="Y10" s="3395"/>
      <c r="Z10" s="55" t="str">
        <f t="shared" si="7"/>
        <v>土地使用年限（年）</v>
      </c>
      <c r="AA10" s="713">
        <f t="shared" si="3"/>
        <v>0.61349693251533743</v>
      </c>
      <c r="AB10" s="713">
        <f t="shared" si="4"/>
        <v>0.61349693251533743</v>
      </c>
      <c r="AC10" s="713">
        <f t="shared" si="5"/>
        <v>0.61349693251533743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3"/>
      <c r="Q11" s="1478"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3"/>
      <c r="Q12" s="1478">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3"/>
      <c r="Q13" s="1478">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3"/>
      <c r="Q14" s="1478">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5" t="s">
        <v>2140</v>
      </c>
      <c r="Q15" s="1487" t="str">
        <f t="shared" si="6"/>
        <v>产业集聚程度</v>
      </c>
      <c r="R15" s="714" t="s">
        <v>17</v>
      </c>
      <c r="S15" s="715">
        <f t="shared" si="0"/>
        <v>100</v>
      </c>
      <c r="T15" s="714" t="s">
        <v>17</v>
      </c>
      <c r="U15" s="715">
        <f t="shared" si="1"/>
        <v>100</v>
      </c>
      <c r="V15" s="714" t="s">
        <v>17</v>
      </c>
      <c r="W15" s="715">
        <f t="shared" si="2"/>
        <v>100</v>
      </c>
      <c r="X15" s="1490"/>
      <c r="Y15" s="3485"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6"/>
      <c r="Q16" s="1487"/>
      <c r="R16" s="714"/>
      <c r="S16" s="715"/>
      <c r="T16" s="714"/>
      <c r="U16" s="715"/>
      <c r="V16" s="714"/>
      <c r="W16" s="715"/>
      <c r="X16" s="1490"/>
      <c r="Y16" s="3486"/>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6"/>
      <c r="Q17" s="1487" t="str">
        <f>B17</f>
        <v>交通便捷度</v>
      </c>
      <c r="R17" s="714" t="s">
        <v>17</v>
      </c>
      <c r="S17" s="715">
        <f>F17</f>
        <v>100</v>
      </c>
      <c r="T17" s="714" t="s">
        <v>17</v>
      </c>
      <c r="U17" s="715">
        <f>H17</f>
        <v>100</v>
      </c>
      <c r="V17" s="714" t="s">
        <v>17</v>
      </c>
      <c r="W17" s="715">
        <f>J17</f>
        <v>100</v>
      </c>
      <c r="X17" s="1490"/>
      <c r="Y17" s="348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6"/>
      <c r="Q18" s="1487"/>
      <c r="R18" s="714"/>
      <c r="S18" s="715"/>
      <c r="T18" s="714"/>
      <c r="U18" s="715"/>
      <c r="V18" s="714"/>
      <c r="W18" s="715"/>
      <c r="X18" s="1490"/>
      <c r="Y18" s="3486"/>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6"/>
      <c r="Q19" s="1487" t="str">
        <f t="shared" ref="Q19:Q33" si="8">B19</f>
        <v>区域土地利用方向</v>
      </c>
      <c r="R19" s="714" t="s">
        <v>17</v>
      </c>
      <c r="S19" s="715">
        <f>F19</f>
        <v>100</v>
      </c>
      <c r="T19" s="714" t="s">
        <v>17</v>
      </c>
      <c r="U19" s="715">
        <f>H19</f>
        <v>100</v>
      </c>
      <c r="V19" s="714" t="s">
        <v>17</v>
      </c>
      <c r="W19" s="715">
        <f>J19</f>
        <v>100</v>
      </c>
      <c r="X19" s="1490"/>
      <c r="Y19" s="348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6"/>
      <c r="Q20" s="1487"/>
      <c r="R20" s="714"/>
      <c r="S20" s="715"/>
      <c r="T20" s="714"/>
      <c r="U20" s="715"/>
      <c r="V20" s="714"/>
      <c r="W20" s="715"/>
      <c r="X20" s="1490"/>
      <c r="Y20" s="3486"/>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6"/>
      <c r="Q21" s="1487" t="str">
        <f t="shared" si="8"/>
        <v>环境状况</v>
      </c>
      <c r="R21" s="714" t="s">
        <v>17</v>
      </c>
      <c r="S21" s="715">
        <f>F21</f>
        <v>100</v>
      </c>
      <c r="T21" s="714" t="s">
        <v>17</v>
      </c>
      <c r="U21" s="715">
        <f>H21</f>
        <v>100</v>
      </c>
      <c r="V21" s="714" t="s">
        <v>17</v>
      </c>
      <c r="W21" s="715">
        <f>J21</f>
        <v>100</v>
      </c>
      <c r="X21" s="1490"/>
      <c r="Y21" s="348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6"/>
      <c r="Q22" s="1487"/>
      <c r="R22" s="714"/>
      <c r="S22" s="715"/>
      <c r="T22" s="714"/>
      <c r="U22" s="715"/>
      <c r="V22" s="714"/>
      <c r="W22" s="715"/>
      <c r="X22" s="1490"/>
      <c r="Y22" s="3486"/>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6"/>
      <c r="Q23" s="1478" t="str">
        <f t="shared" si="8"/>
        <v>公共配套设施</v>
      </c>
      <c r="R23" s="710" t="s">
        <v>17</v>
      </c>
      <c r="S23" s="711">
        <f>F23</f>
        <v>100</v>
      </c>
      <c r="T23" s="710" t="s">
        <v>17</v>
      </c>
      <c r="U23" s="711">
        <f>H23</f>
        <v>100</v>
      </c>
      <c r="V23" s="710" t="s">
        <v>17</v>
      </c>
      <c r="W23" s="711">
        <f>J23</f>
        <v>100</v>
      </c>
      <c r="X23" s="712"/>
      <c r="Y23" s="348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6"/>
      <c r="Q24" s="1478"/>
      <c r="R24" s="710"/>
      <c r="S24" s="711"/>
      <c r="T24" s="710"/>
      <c r="U24" s="711"/>
      <c r="V24" s="710"/>
      <c r="W24" s="711"/>
      <c r="X24" s="712"/>
      <c r="Y24" s="3486"/>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6"/>
      <c r="Q25" s="1478" t="str">
        <f t="shared" ref="Q25" si="9">B25</f>
        <v>基础设施水平</v>
      </c>
      <c r="R25" s="710" t="s">
        <v>17</v>
      </c>
      <c r="S25" s="711">
        <f>F25</f>
        <v>100</v>
      </c>
      <c r="T25" s="710" t="s">
        <v>17</v>
      </c>
      <c r="U25" s="711">
        <f>H25</f>
        <v>100</v>
      </c>
      <c r="V25" s="710" t="s">
        <v>17</v>
      </c>
      <c r="W25" s="711">
        <f>J25</f>
        <v>100</v>
      </c>
      <c r="X25" s="712"/>
      <c r="Y25" s="348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6"/>
      <c r="Q26" s="1478"/>
      <c r="R26" s="710"/>
      <c r="S26" s="711"/>
      <c r="T26" s="710"/>
      <c r="U26" s="711"/>
      <c r="V26" s="710"/>
      <c r="W26" s="711"/>
      <c r="X26" s="712"/>
      <c r="Y26" s="3486"/>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6"/>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6"/>
      <c r="Q28" s="1487" t="str">
        <f t="shared" si="8"/>
        <v>毗邻道路的类型与等级</v>
      </c>
      <c r="R28" s="714" t="s">
        <v>17</v>
      </c>
      <c r="S28" s="715">
        <f t="shared" si="10"/>
        <v>100</v>
      </c>
      <c r="T28" s="714" t="s">
        <v>17</v>
      </c>
      <c r="U28" s="715">
        <f t="shared" si="11"/>
        <v>100</v>
      </c>
      <c r="V28" s="714" t="s">
        <v>17</v>
      </c>
      <c r="W28" s="715">
        <f t="shared" si="12"/>
        <v>100</v>
      </c>
      <c r="X28" s="1490"/>
      <c r="Y28" s="348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6"/>
      <c r="Q29" s="1487"/>
      <c r="R29" s="714"/>
      <c r="S29" s="715"/>
      <c r="T29" s="714"/>
      <c r="U29" s="715"/>
      <c r="V29" s="714"/>
      <c r="W29" s="715"/>
      <c r="X29" s="1490"/>
      <c r="Y29" s="3486"/>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6"/>
      <c r="Q30" s="1487" t="str">
        <f t="shared" si="8"/>
        <v>土地级别</v>
      </c>
      <c r="R30" s="714" t="s">
        <v>17</v>
      </c>
      <c r="S30" s="715">
        <f t="shared" si="10"/>
        <v>100</v>
      </c>
      <c r="T30" s="714" t="s">
        <v>17</v>
      </c>
      <c r="U30" s="715">
        <f t="shared" si="11"/>
        <v>100</v>
      </c>
      <c r="V30" s="714" t="s">
        <v>17</v>
      </c>
      <c r="W30" s="715">
        <f t="shared" si="12"/>
        <v>100</v>
      </c>
      <c r="X30" s="1490"/>
      <c r="Y30" s="348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6"/>
      <c r="Q31" s="1487">
        <f t="shared" si="8"/>
        <v>111</v>
      </c>
      <c r="R31" s="714" t="s">
        <v>17</v>
      </c>
      <c r="S31" s="715">
        <f t="shared" si="10"/>
        <v>100</v>
      </c>
      <c r="T31" s="714" t="s">
        <v>17</v>
      </c>
      <c r="U31" s="715">
        <f t="shared" si="11"/>
        <v>100</v>
      </c>
      <c r="V31" s="714" t="s">
        <v>17</v>
      </c>
      <c r="W31" s="715">
        <f t="shared" si="12"/>
        <v>100</v>
      </c>
      <c r="X31" s="1490"/>
      <c r="Y31" s="348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09" t="s">
        <v>2145</v>
      </c>
      <c r="Q32" s="1487">
        <f t="shared" si="8"/>
        <v>111</v>
      </c>
      <c r="R32" s="714" t="s">
        <v>17</v>
      </c>
      <c r="S32" s="715">
        <f t="shared" si="10"/>
        <v>100</v>
      </c>
      <c r="T32" s="714" t="s">
        <v>17</v>
      </c>
      <c r="U32" s="715">
        <f t="shared" si="11"/>
        <v>100</v>
      </c>
      <c r="V32" s="714" t="s">
        <v>17</v>
      </c>
      <c r="W32" s="715">
        <f t="shared" si="12"/>
        <v>100</v>
      </c>
      <c r="X32" s="1490"/>
      <c r="Y32" s="3490"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0"/>
      <c r="Q33" s="1487">
        <f t="shared" si="8"/>
        <v>111</v>
      </c>
      <c r="R33" s="717" t="s">
        <v>17</v>
      </c>
      <c r="S33" s="718">
        <f t="shared" si="10"/>
        <v>100</v>
      </c>
      <c r="T33" s="717" t="s">
        <v>17</v>
      </c>
      <c r="U33" s="718">
        <f t="shared" si="11"/>
        <v>100</v>
      </c>
      <c r="V33" s="717" t="s">
        <v>17</v>
      </c>
      <c r="W33" s="718">
        <f t="shared" si="12"/>
        <v>100</v>
      </c>
      <c r="X33" s="719"/>
      <c r="Y33" s="349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0"/>
      <c r="Q34" s="1487" t="str">
        <f>B34</f>
        <v>宗地面积</v>
      </c>
      <c r="R34" s="714" t="s">
        <v>17</v>
      </c>
      <c r="S34" s="715" t="e">
        <f t="shared" si="10"/>
        <v>#N/A</v>
      </c>
      <c r="T34" s="714" t="s">
        <v>17</v>
      </c>
      <c r="U34" s="715" t="e">
        <f t="shared" si="11"/>
        <v>#N/A</v>
      </c>
      <c r="V34" s="714" t="s">
        <v>17</v>
      </c>
      <c r="W34" s="715" t="e">
        <f t="shared" si="12"/>
        <v>#N/A</v>
      </c>
      <c r="X34" s="1490"/>
      <c r="Y34" s="3490"/>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0"/>
      <c r="Q35" s="1487" t="str">
        <f t="shared" ref="Q35:Q40" si="14">B35</f>
        <v>宗地形状</v>
      </c>
      <c r="R35" s="714" t="s">
        <v>17</v>
      </c>
      <c r="S35" s="715">
        <f t="shared" si="10"/>
        <v>100</v>
      </c>
      <c r="T35" s="714" t="s">
        <v>17</v>
      </c>
      <c r="U35" s="715">
        <f t="shared" si="11"/>
        <v>100</v>
      </c>
      <c r="V35" s="714" t="s">
        <v>17</v>
      </c>
      <c r="W35" s="715">
        <f t="shared" si="12"/>
        <v>100</v>
      </c>
      <c r="X35" s="1490"/>
      <c r="Y35" s="3490"/>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0"/>
      <c r="Q36" s="1487" t="str">
        <f t="shared" si="14"/>
        <v>宗地开发程度</v>
      </c>
      <c r="R36" s="710" t="s">
        <v>17</v>
      </c>
      <c r="S36" s="711">
        <f t="shared" si="10"/>
        <v>100</v>
      </c>
      <c r="T36" s="710" t="s">
        <v>17</v>
      </c>
      <c r="U36" s="711">
        <f t="shared" si="11"/>
        <v>100</v>
      </c>
      <c r="V36" s="710" t="s">
        <v>17</v>
      </c>
      <c r="W36" s="711">
        <f t="shared" si="12"/>
        <v>100</v>
      </c>
      <c r="X36" s="712"/>
      <c r="Y36" s="3490"/>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0" t="s">
        <v>2145</v>
      </c>
      <c r="Q37" s="1487" t="str">
        <f t="shared" si="14"/>
        <v>工程地质条件</v>
      </c>
      <c r="R37" s="714" t="s">
        <v>17</v>
      </c>
      <c r="S37" s="715">
        <f t="shared" si="10"/>
        <v>100</v>
      </c>
      <c r="T37" s="714" t="s">
        <v>17</v>
      </c>
      <c r="U37" s="715">
        <f t="shared" si="11"/>
        <v>100</v>
      </c>
      <c r="V37" s="714" t="s">
        <v>17</v>
      </c>
      <c r="W37" s="715">
        <f t="shared" si="12"/>
        <v>100</v>
      </c>
      <c r="X37" s="1490"/>
      <c r="Y37" s="349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0"/>
      <c r="Q38" s="1487">
        <f t="shared" si="14"/>
        <v>111</v>
      </c>
      <c r="R38" s="714" t="s">
        <v>17</v>
      </c>
      <c r="S38" s="715">
        <f t="shared" si="10"/>
        <v>100</v>
      </c>
      <c r="T38" s="714" t="s">
        <v>17</v>
      </c>
      <c r="U38" s="715">
        <f t="shared" si="11"/>
        <v>100</v>
      </c>
      <c r="V38" s="714" t="s">
        <v>17</v>
      </c>
      <c r="W38" s="715">
        <f t="shared" si="12"/>
        <v>100</v>
      </c>
      <c r="X38" s="1490"/>
      <c r="Y38" s="349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0"/>
      <c r="Q39" s="1487">
        <f t="shared" si="14"/>
        <v>111</v>
      </c>
      <c r="R39" s="714" t="s">
        <v>17</v>
      </c>
      <c r="S39" s="715">
        <f t="shared" si="10"/>
        <v>100</v>
      </c>
      <c r="T39" s="714" t="s">
        <v>17</v>
      </c>
      <c r="U39" s="715">
        <f t="shared" si="11"/>
        <v>100</v>
      </c>
      <c r="V39" s="714" t="s">
        <v>17</v>
      </c>
      <c r="W39" s="715">
        <f t="shared" si="12"/>
        <v>100</v>
      </c>
      <c r="X39" s="1490"/>
      <c r="Y39" s="3490"/>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0"/>
      <c r="Q40" s="1487">
        <f t="shared" si="14"/>
        <v>111</v>
      </c>
      <c r="R40" s="717" t="s">
        <v>17</v>
      </c>
      <c r="S40" s="718">
        <f t="shared" si="10"/>
        <v>100</v>
      </c>
      <c r="T40" s="717" t="s">
        <v>17</v>
      </c>
      <c r="U40" s="718">
        <f t="shared" si="11"/>
        <v>100</v>
      </c>
      <c r="V40" s="717" t="s">
        <v>17</v>
      </c>
      <c r="W40" s="718">
        <f t="shared" si="12"/>
        <v>100</v>
      </c>
      <c r="X40" s="719"/>
      <c r="Y40" s="3490"/>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3" t="str">
        <f>A41</f>
        <v>成交单价</v>
      </c>
      <c r="Q41" s="3483"/>
      <c r="R41" s="3478">
        <f>E41</f>
        <v>0</v>
      </c>
      <c r="S41" s="3478"/>
      <c r="T41" s="3478">
        <f>G41</f>
        <v>0</v>
      </c>
      <c r="U41" s="3478"/>
      <c r="V41" s="3478">
        <f>I41</f>
        <v>0</v>
      </c>
      <c r="W41" s="347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3" t="str">
        <f>A42</f>
        <v>比较价值（元/平方米）</v>
      </c>
      <c r="Q42" s="3483"/>
      <c r="R42" s="3511" t="e">
        <f>ROUND(PRODUCT(R41,AA7:AA40),0)</f>
        <v>#DIV/0!</v>
      </c>
      <c r="S42" s="3511"/>
      <c r="T42" s="3511" t="e">
        <f>ROUND(PRODUCT(T41,AB7:AB40),0)</f>
        <v>#DIV/0!</v>
      </c>
      <c r="U42" s="3511"/>
      <c r="V42" s="3511" t="e">
        <f>ROUND(PRODUCT(V41,AC7:AC40),0)</f>
        <v>#DIV/0!</v>
      </c>
      <c r="W42" s="351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0" t="str">
        <f>A43</f>
        <v>估价对象XX用房的比较价值（楼面单价，元/平方米）</v>
      </c>
      <c r="Q43" s="3481"/>
      <c r="R43" s="3512" t="e">
        <f>ROUND(IF(D42="简单平均",AVERAGE(R42:W42),R42*F42+T42*H42+V42*J42),0)</f>
        <v>#DIV/0!</v>
      </c>
      <c r="S43" s="3512"/>
      <c r="T43" s="3512"/>
      <c r="U43" s="3512"/>
      <c r="V43" s="3512"/>
      <c r="W43" s="3512"/>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6" t="s">
        <v>2344</v>
      </c>
      <c r="H50" s="3513"/>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9097.7000000000007</v>
      </c>
      <c r="F51" s="647" t="e">
        <f t="shared" ref="F51:F60" si="15">ROUND(B51*E51/10000,0)</f>
        <v>#DIV/0!</v>
      </c>
      <c r="G51" s="3465"/>
      <c r="H51" s="3483"/>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7" t="s">
        <v>2349</v>
      </c>
      <c r="H52" s="999" t="str">
        <f>项目基本情况!B37</f>
        <v>二级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8"/>
      <c r="H53" s="999" t="str">
        <f>项目基本情况!B37</f>
        <v>二级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8"/>
      <c r="H54" s="999" t="str">
        <f>项目基本情况!B37</f>
        <v>二级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29"/>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3500.6</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2.66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7"/>
      <c r="B4" s="3538"/>
      <c r="C4" s="3538"/>
      <c r="D4" s="3539"/>
      <c r="E4" s="3539"/>
      <c r="F4" s="3539"/>
      <c r="G4" s="3539"/>
      <c r="H4" s="3539"/>
      <c r="I4" s="3539"/>
      <c r="J4" s="354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1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2.66</v>
      </c>
      <c r="AA7" s="1331"/>
      <c r="AB7" s="1331"/>
      <c r="AC7" s="1332"/>
      <c r="AD7" s="1333"/>
      <c r="AE7" s="1333"/>
      <c r="AF7" s="1333"/>
      <c r="AG7" s="1333"/>
      <c r="AH7" s="1333"/>
      <c r="AI7" s="1333"/>
      <c r="AJ7" s="1334"/>
    </row>
    <row r="8" spans="1:36" ht="15">
      <c r="A8" s="354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4" t="s">
        <v>2419</v>
      </c>
      <c r="X8" s="353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6" t="s">
        <v>2443</v>
      </c>
      <c r="X11" s="1339" t="s">
        <v>2444</v>
      </c>
      <c r="Y11" s="1340">
        <f>$G$3</f>
        <v>2.66</v>
      </c>
      <c r="Z11" s="1340">
        <f t="shared" ref="Z11:AJ11" si="3">$G$3</f>
        <v>2.66</v>
      </c>
      <c r="AA11" s="1340">
        <f t="shared" si="3"/>
        <v>2.66</v>
      </c>
      <c r="AB11" s="1340">
        <f t="shared" si="3"/>
        <v>2.66</v>
      </c>
      <c r="AC11" s="1340">
        <f t="shared" si="3"/>
        <v>2.66</v>
      </c>
      <c r="AD11" s="1340">
        <f t="shared" si="3"/>
        <v>2.66</v>
      </c>
      <c r="AE11" s="1340">
        <f t="shared" si="3"/>
        <v>2.66</v>
      </c>
      <c r="AF11" s="1340">
        <f t="shared" si="3"/>
        <v>2.66</v>
      </c>
      <c r="AG11" s="1340">
        <f t="shared" si="3"/>
        <v>2.66</v>
      </c>
      <c r="AH11" s="1340">
        <f t="shared" si="3"/>
        <v>2.66</v>
      </c>
      <c r="AI11" s="1340">
        <f t="shared" si="3"/>
        <v>2.66</v>
      </c>
      <c r="AJ11" s="1340">
        <f t="shared" si="3"/>
        <v>2.66</v>
      </c>
    </row>
    <row r="12" spans="1:36" ht="25.5" thickBot="1">
      <c r="A12" s="351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6"/>
      <c r="X13" s="1341"/>
      <c r="Y13" s="1338">
        <f>(-0.163*(Y12^2)-0.59*Y12+7617)*(10^(-4))/Y11</f>
        <v>0.28635338345864664</v>
      </c>
      <c r="Z13" s="1338">
        <f t="shared" ref="Z13:AJ13" si="5">(-0.163*(Z12^2)-0.59*Z12+7617)*(10^(-4))/Z11</f>
        <v>0.28635338345864664</v>
      </c>
      <c r="AA13" s="1338">
        <f t="shared" si="5"/>
        <v>0.28635338345864664</v>
      </c>
      <c r="AB13" s="1338">
        <f t="shared" si="5"/>
        <v>0.28635338345864664</v>
      </c>
      <c r="AC13" s="1338">
        <f t="shared" si="5"/>
        <v>0.28635338345864664</v>
      </c>
      <c r="AD13" s="1338">
        <f t="shared" si="5"/>
        <v>0.28635338345864664</v>
      </c>
      <c r="AE13" s="1338">
        <f t="shared" si="5"/>
        <v>0.28635338345864664</v>
      </c>
      <c r="AF13" s="1338">
        <f t="shared" si="5"/>
        <v>0.28635338345864664</v>
      </c>
      <c r="AG13" s="1338">
        <f t="shared" si="5"/>
        <v>0.28635338345864664</v>
      </c>
      <c r="AH13" s="1338">
        <f t="shared" si="5"/>
        <v>0.28635338345864664</v>
      </c>
      <c r="AI13" s="1338">
        <f t="shared" si="5"/>
        <v>0.28635338345864664</v>
      </c>
      <c r="AJ13" s="1338">
        <f t="shared" si="5"/>
        <v>0.28635338345864664</v>
      </c>
    </row>
    <row r="14" spans="1:36" ht="15">
      <c r="A14" s="354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18" t="s">
        <v>2462</v>
      </c>
      <c r="B16" s="2160" t="s">
        <v>2463</v>
      </c>
      <c r="C16" s="2322" t="e">
        <f>ROUND(IF(F17="与级别开发程度一致",0,(G17-E17)/C17),0)</f>
        <v>#DIV/0!</v>
      </c>
      <c r="D16" s="3531" t="s">
        <v>2467</v>
      </c>
      <c r="E16" s="3532"/>
      <c r="F16" s="3531" t="s">
        <v>2464</v>
      </c>
      <c r="G16" s="353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1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44725</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2.6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2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2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2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2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2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0" t="s">
        <v>2550</v>
      </c>
      <c r="B90" s="3520"/>
      <c r="C90" s="3520"/>
      <c r="D90" s="3520"/>
      <c r="E90" s="3520"/>
      <c r="F90" s="3520"/>
      <c r="G90" s="3520"/>
      <c r="H90" s="3520"/>
      <c r="I90" s="3520"/>
      <c r="J90" s="3520"/>
      <c r="K90" s="2294"/>
      <c r="L90" s="2294"/>
      <c r="M90" s="2294"/>
      <c r="N90" s="2294"/>
    </row>
    <row r="91" spans="1:37">
      <c r="A91" s="3522" t="s">
        <v>2551</v>
      </c>
      <c r="B91" s="3522" t="s">
        <v>2552</v>
      </c>
      <c r="C91" s="2248" t="s">
        <v>2553</v>
      </c>
      <c r="D91" s="2249"/>
      <c r="E91" s="2249"/>
      <c r="F91" s="2249"/>
      <c r="G91" s="2249"/>
      <c r="H91" s="2249"/>
      <c r="I91" s="2249"/>
      <c r="J91" s="2295"/>
      <c r="K91" s="2296"/>
      <c r="L91" s="2296"/>
      <c r="M91" s="2296"/>
      <c r="N91" s="2296"/>
    </row>
    <row r="92" spans="1:37">
      <c r="A92" s="3522"/>
      <c r="B92" s="352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3" t="s">
        <v>2555</v>
      </c>
      <c r="B101" s="2301" t="s">
        <v>2556</v>
      </c>
      <c r="C101" s="2302">
        <f>$G$3</f>
        <v>2.66</v>
      </c>
      <c r="D101" s="2302">
        <f t="shared" ref="D101:N101" si="31">$G$3</f>
        <v>2.66</v>
      </c>
      <c r="E101" s="2302">
        <f t="shared" si="31"/>
        <v>2.66</v>
      </c>
      <c r="F101" s="2302">
        <f t="shared" si="31"/>
        <v>2.66</v>
      </c>
      <c r="G101" s="2302">
        <f t="shared" si="31"/>
        <v>2.66</v>
      </c>
      <c r="H101" s="2302">
        <f t="shared" si="31"/>
        <v>2.66</v>
      </c>
      <c r="I101" s="2302">
        <f t="shared" si="31"/>
        <v>2.66</v>
      </c>
      <c r="J101" s="2302">
        <f t="shared" si="31"/>
        <v>2.66</v>
      </c>
      <c r="K101" s="2302">
        <f t="shared" si="31"/>
        <v>2.66</v>
      </c>
      <c r="L101" s="2302">
        <f t="shared" si="31"/>
        <v>2.66</v>
      </c>
      <c r="M101" s="2302">
        <f t="shared" si="31"/>
        <v>2.66</v>
      </c>
      <c r="N101" s="2302">
        <f t="shared" si="31"/>
        <v>2.66</v>
      </c>
    </row>
    <row r="102" spans="1:14">
      <c r="A102" s="3524"/>
      <c r="B102" s="2297">
        <v>1</v>
      </c>
      <c r="C102" s="2298">
        <f>1.9362/C101</f>
        <v>0.72789473684210515</v>
      </c>
      <c r="D102" s="2298">
        <f>1.9362/D101</f>
        <v>0.72789473684210515</v>
      </c>
      <c r="E102" s="2298">
        <f>1.8629/E101</f>
        <v>0.70033834586466159</v>
      </c>
      <c r="F102" s="2298">
        <f>1.8629/F101</f>
        <v>0.70033834586466159</v>
      </c>
      <c r="G102" s="2298">
        <f>1.8629/G101</f>
        <v>0.70033834586466159</v>
      </c>
      <c r="H102" s="2298">
        <f>1.8629/H101</f>
        <v>0.70033834586466159</v>
      </c>
      <c r="I102" s="2298">
        <f>1.8629/I101</f>
        <v>0.70033834586466159</v>
      </c>
      <c r="J102" s="2298">
        <f>1.942/J101</f>
        <v>0.73007518796992477</v>
      </c>
      <c r="K102" s="2298">
        <f>1.942/K101</f>
        <v>0.73007518796992477</v>
      </c>
      <c r="L102" s="2298">
        <f>1.942/L101</f>
        <v>0.73007518796992477</v>
      </c>
      <c r="M102" s="2298">
        <f>1.942/M101</f>
        <v>0.73007518796992477</v>
      </c>
      <c r="N102" s="2298">
        <f>1.942/N101</f>
        <v>0.73007518796992477</v>
      </c>
    </row>
    <row r="103" spans="1:14">
      <c r="A103" s="3524"/>
      <c r="B103" s="2297">
        <v>2</v>
      </c>
      <c r="C103" s="2298">
        <f>1.4198/C101</f>
        <v>0.53375939849624054</v>
      </c>
      <c r="D103" s="2298">
        <f>1.4198/D101</f>
        <v>0.53375939849624054</v>
      </c>
      <c r="E103" s="2298">
        <f>1.3372/E101</f>
        <v>0.50270676691729321</v>
      </c>
      <c r="F103" s="2298">
        <f>1.3372/F101</f>
        <v>0.50270676691729321</v>
      </c>
      <c r="G103" s="2298">
        <f>1.3372/G101</f>
        <v>0.50270676691729321</v>
      </c>
      <c r="H103" s="2298">
        <f>1.3372/H101</f>
        <v>0.50270676691729321</v>
      </c>
      <c r="I103" s="2298">
        <f>1.3372/I101</f>
        <v>0.50270676691729321</v>
      </c>
      <c r="J103" s="2298">
        <f>1.2799/J101</f>
        <v>0.48116541353383457</v>
      </c>
      <c r="K103" s="2298">
        <f>1.2799/K101</f>
        <v>0.48116541353383457</v>
      </c>
      <c r="L103" s="2298">
        <f>1.2799/L101</f>
        <v>0.48116541353383457</v>
      </c>
      <c r="M103" s="2298">
        <f>1.2799/M101</f>
        <v>0.48116541353383457</v>
      </c>
      <c r="N103" s="2298">
        <f>1.2799/N101</f>
        <v>0.48116541353383457</v>
      </c>
    </row>
    <row r="104" spans="1:14">
      <c r="A104" s="3524"/>
      <c r="B104" s="2297">
        <v>3</v>
      </c>
      <c r="C104" s="2298">
        <f>1.1594/C101</f>
        <v>0.43586466165413529</v>
      </c>
      <c r="D104" s="2298">
        <f>1.1594/D101</f>
        <v>0.43586466165413529</v>
      </c>
      <c r="E104" s="2298">
        <f>1.0788/E101</f>
        <v>0.40556390977443607</v>
      </c>
      <c r="F104" s="2298">
        <f>1.0788/F101</f>
        <v>0.40556390977443607</v>
      </c>
      <c r="G104" s="2298">
        <f>1.0788/G101</f>
        <v>0.40556390977443607</v>
      </c>
      <c r="H104" s="2298">
        <f>1.0788/H101</f>
        <v>0.40556390977443607</v>
      </c>
      <c r="I104" s="2298">
        <f>1.0788/I101</f>
        <v>0.40556390977443607</v>
      </c>
      <c r="J104" s="2298">
        <f>1.0072/J101</f>
        <v>0.3786466165413534</v>
      </c>
      <c r="K104" s="2298">
        <f>1.0072/K101</f>
        <v>0.3786466165413534</v>
      </c>
      <c r="L104" s="2298">
        <f>1.0072/L101</f>
        <v>0.3786466165413534</v>
      </c>
      <c r="M104" s="2298">
        <f>1.0072/M101</f>
        <v>0.3786466165413534</v>
      </c>
      <c r="N104" s="2298">
        <f>1.0072/N101</f>
        <v>0.3786466165413534</v>
      </c>
    </row>
    <row r="105" spans="1:14">
      <c r="A105" s="3524"/>
      <c r="B105" s="2297">
        <v>4</v>
      </c>
      <c r="C105" s="2298">
        <f>0.9622/C101</f>
        <v>0.36172932330827068</v>
      </c>
      <c r="D105" s="2298">
        <f>0.9622/D101</f>
        <v>0.36172932330827068</v>
      </c>
      <c r="E105" s="2298">
        <f>0.8656/E101</f>
        <v>0.32541353383458649</v>
      </c>
      <c r="F105" s="2298">
        <f>0.8656/F101</f>
        <v>0.32541353383458649</v>
      </c>
      <c r="G105" s="2298">
        <f>0.8656/G101</f>
        <v>0.32541353383458649</v>
      </c>
      <c r="H105" s="2298">
        <f>0.8656/H101</f>
        <v>0.32541353383458649</v>
      </c>
      <c r="I105" s="2298">
        <f>0.8656/I101</f>
        <v>0.32541353383458649</v>
      </c>
      <c r="J105" s="2298">
        <f>0.7525/J101</f>
        <v>0.28289473684210525</v>
      </c>
      <c r="K105" s="2298">
        <f>0.7525/K101</f>
        <v>0.28289473684210525</v>
      </c>
      <c r="L105" s="2298">
        <f>0.7525/L101</f>
        <v>0.28289473684210525</v>
      </c>
      <c r="M105" s="2298">
        <f>0.7525/M101</f>
        <v>0.28289473684210525</v>
      </c>
      <c r="N105" s="2298">
        <f>0.7525/N101</f>
        <v>0.28289473684210525</v>
      </c>
    </row>
    <row r="106" spans="1:14">
      <c r="A106" s="3524"/>
      <c r="B106" s="2297">
        <v>5</v>
      </c>
      <c r="C106" s="2298">
        <f>0.8417/C101</f>
        <v>0.31642857142857139</v>
      </c>
      <c r="D106" s="2298">
        <f>0.8417/D101</f>
        <v>0.31642857142857139</v>
      </c>
      <c r="E106" s="2298">
        <f>0.7371/E101</f>
        <v>0.27710526315789469</v>
      </c>
      <c r="F106" s="2298">
        <f>0.7371/F101</f>
        <v>0.27710526315789469</v>
      </c>
      <c r="G106" s="2298">
        <f>0.7371/G101</f>
        <v>0.27710526315789469</v>
      </c>
      <c r="H106" s="2298">
        <f>0.7371/H101</f>
        <v>0.27710526315789469</v>
      </c>
      <c r="I106" s="2298">
        <f>0.7371/I101</f>
        <v>0.27710526315789469</v>
      </c>
      <c r="J106" s="2298">
        <f>0.5659/J101</f>
        <v>0.21274436090225562</v>
      </c>
      <c r="K106" s="2298">
        <f>0.5659/K101</f>
        <v>0.21274436090225562</v>
      </c>
      <c r="L106" s="2298">
        <f>0.5659/L101</f>
        <v>0.21274436090225562</v>
      </c>
      <c r="M106" s="2298">
        <f>0.5659/M101</f>
        <v>0.21274436090225562</v>
      </c>
      <c r="N106" s="2298">
        <f>0.5659/N101</f>
        <v>0.21274436090225562</v>
      </c>
    </row>
    <row r="107" spans="1:14">
      <c r="A107" s="3524"/>
      <c r="B107" s="2297">
        <v>6</v>
      </c>
      <c r="C107" s="2298">
        <f>0.7608/C101</f>
        <v>0.28601503759398494</v>
      </c>
      <c r="D107" s="2298">
        <f>0.7608/D101</f>
        <v>0.28601503759398494</v>
      </c>
      <c r="E107" s="2298">
        <f>0.6482/E101</f>
        <v>0.24368421052631578</v>
      </c>
      <c r="F107" s="2298">
        <f>0.6482/F101</f>
        <v>0.24368421052631578</v>
      </c>
      <c r="G107" s="2298">
        <f>0.6482/G101</f>
        <v>0.24368421052631578</v>
      </c>
      <c r="H107" s="2298">
        <f>0.6482/H101</f>
        <v>0.24368421052631578</v>
      </c>
      <c r="I107" s="2298">
        <f>0.6482/I101</f>
        <v>0.24368421052631578</v>
      </c>
      <c r="J107" s="2298">
        <f>0.4525/J101</f>
        <v>0.17011278195488722</v>
      </c>
      <c r="K107" s="2298">
        <f>0.4525/K101</f>
        <v>0.17011278195488722</v>
      </c>
      <c r="L107" s="2298">
        <f>0.4525/L101</f>
        <v>0.17011278195488722</v>
      </c>
      <c r="M107" s="2298">
        <f>0.4525/M101</f>
        <v>0.17011278195488722</v>
      </c>
      <c r="N107" s="2298">
        <f>0.4525/N101</f>
        <v>0.17011278195488722</v>
      </c>
    </row>
    <row r="108" spans="1:14">
      <c r="A108" s="3524"/>
      <c r="B108" s="352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5"/>
      <c r="B109" s="3527"/>
      <c r="C109" s="2300">
        <f>(-0.163*(C108^2)-0.59*C108+7617)*(10^(-4))/C101</f>
        <v>0.28635338345864664</v>
      </c>
      <c r="D109" s="2300">
        <f>(-0.163*(D108^2)-0.59*D108+7617)*(10^(-4))/D101</f>
        <v>0.28635338345864664</v>
      </c>
      <c r="E109" s="2300">
        <f>(-0.161*(E108^2)-7.509*E108+6533)*(10^(-4))/E101</f>
        <v>0.24560150375939849</v>
      </c>
      <c r="F109" s="2300">
        <f>(-0.161*(F108^2)-7.509*F108+6533)*(10^(-4))/F101</f>
        <v>0.24560150375939849</v>
      </c>
      <c r="G109" s="2300">
        <f>(-0.161*(G108^2)-7.509*G108+6533)*(10^(-4))/G101</f>
        <v>0.24560150375939849</v>
      </c>
      <c r="H109" s="2300">
        <f>(-0.161*(H108^2)-7.509*H108+6533)*(10^(-4))/H101</f>
        <v>0.24560150375939849</v>
      </c>
      <c r="I109" s="2300">
        <f>(-0.161*(I108^2)-7.509*I108+6533)*(10^(-4))/I101</f>
        <v>0.24560150375939849</v>
      </c>
      <c r="J109" s="2300">
        <f>(-0.214*(J108^2)-21.991*J108+4665)*(10^(-4))/J101</f>
        <v>0.17537593984962407</v>
      </c>
      <c r="K109" s="2300">
        <f>(-0.214*(K108^2)-21.991*K108+4665)*(10^(-4))/K101</f>
        <v>0.17537593984962407</v>
      </c>
      <c r="L109" s="2300">
        <f>(-0.214*(L108^2)-21.991*L108+4665)*(10^(-4))/L101</f>
        <v>0.17537593984962407</v>
      </c>
      <c r="M109" s="2300">
        <f>(-0.214*(M108^2)-21.991*M108+4665)*(10^(-4))/M101</f>
        <v>0.17537593984962407</v>
      </c>
      <c r="N109" s="2300">
        <f>(-0.214*(N108^2)-21.991*N108+4665)*(10^(-4))/N101</f>
        <v>0.17537593984962407</v>
      </c>
    </row>
    <row r="110" spans="1:14">
      <c r="A110" s="3521" t="s">
        <v>2558</v>
      </c>
      <c r="B110" s="3521"/>
      <c r="C110" s="3521"/>
      <c r="D110" s="3521"/>
      <c r="E110" s="3521"/>
      <c r="F110" s="3521"/>
      <c r="G110" s="3521"/>
      <c r="H110" s="3521"/>
      <c r="I110" s="3521"/>
      <c r="J110" s="3521"/>
      <c r="K110" s="2303"/>
      <c r="L110" s="2303"/>
      <c r="M110" s="2303"/>
      <c r="N110" s="2303"/>
    </row>
    <row r="112" spans="1:14" ht="13.5" thickBot="1"/>
    <row r="113" spans="1:13" ht="25.5" thickBot="1">
      <c r="A113" s="824" t="s">
        <v>2559</v>
      </c>
      <c r="B113" s="1178">
        <f>G3</f>
        <v>2.66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0.90849999999999997</v>
      </c>
      <c r="C115" s="831">
        <f>B115</f>
        <v>0.90849999999999997</v>
      </c>
      <c r="D115" s="831">
        <f>ROUND(0.8331-0.0109*B113,4)</f>
        <v>0.80410000000000004</v>
      </c>
      <c r="E115" s="831">
        <f>D115</f>
        <v>0.80410000000000004</v>
      </c>
      <c r="F115" s="831">
        <f>E115</f>
        <v>0.80410000000000004</v>
      </c>
      <c r="G115" s="831">
        <f>F115</f>
        <v>0.80410000000000004</v>
      </c>
      <c r="H115" s="831">
        <f>G115</f>
        <v>0.80410000000000004</v>
      </c>
      <c r="I115" s="831">
        <f>ROUND(0.689-0.0155*B113,4)</f>
        <v>0.64780000000000004</v>
      </c>
      <c r="J115" s="831">
        <f t="shared" ref="J115:M118" si="33">I115</f>
        <v>0.64780000000000004</v>
      </c>
      <c r="K115" s="831">
        <f t="shared" si="33"/>
        <v>0.64780000000000004</v>
      </c>
      <c r="L115" s="831">
        <f t="shared" si="33"/>
        <v>0.64780000000000004</v>
      </c>
      <c r="M115" s="832">
        <f t="shared" si="33"/>
        <v>0.64780000000000004</v>
      </c>
    </row>
    <row r="116" spans="1:13">
      <c r="A116" s="830" t="s">
        <v>2459</v>
      </c>
      <c r="B116" s="831">
        <f>ROUND(0.949-0.012*B113,4)</f>
        <v>0.91710000000000003</v>
      </c>
      <c r="C116" s="831">
        <f>B116</f>
        <v>0.91710000000000003</v>
      </c>
      <c r="D116" s="831">
        <f>ROUND(0.8567-0.013*B113,4)</f>
        <v>0.82210000000000005</v>
      </c>
      <c r="E116" s="831">
        <f t="shared" ref="E116:H117" si="34">D116</f>
        <v>0.82210000000000005</v>
      </c>
      <c r="F116" s="831">
        <f t="shared" si="34"/>
        <v>0.82210000000000005</v>
      </c>
      <c r="G116" s="831">
        <f t="shared" si="34"/>
        <v>0.82210000000000005</v>
      </c>
      <c r="H116" s="831">
        <f t="shared" si="34"/>
        <v>0.82210000000000005</v>
      </c>
      <c r="I116" s="831">
        <f>ROUND(0.7694-0.014*B113,4)</f>
        <v>0.73219999999999996</v>
      </c>
      <c r="J116" s="831">
        <f t="shared" si="33"/>
        <v>0.73219999999999996</v>
      </c>
      <c r="K116" s="831">
        <f t="shared" si="33"/>
        <v>0.73219999999999996</v>
      </c>
      <c r="L116" s="831">
        <f t="shared" si="33"/>
        <v>0.73219999999999996</v>
      </c>
      <c r="M116" s="832">
        <f t="shared" si="33"/>
        <v>0.73219999999999996</v>
      </c>
    </row>
    <row r="117" spans="1:13">
      <c r="A117" s="830" t="s">
        <v>2460</v>
      </c>
      <c r="B117" s="831">
        <f>ROUND(0.8808-0.006*B113,4)</f>
        <v>0.86480000000000001</v>
      </c>
      <c r="C117" s="831">
        <f>B117</f>
        <v>0.86480000000000001</v>
      </c>
      <c r="D117" s="831">
        <f>ROUND(0.8748-0.008*B113,4)</f>
        <v>0.85350000000000004</v>
      </c>
      <c r="E117" s="831">
        <f t="shared" si="34"/>
        <v>0.85350000000000004</v>
      </c>
      <c r="F117" s="831">
        <f t="shared" si="34"/>
        <v>0.85350000000000004</v>
      </c>
      <c r="G117" s="831">
        <f t="shared" si="34"/>
        <v>0.85350000000000004</v>
      </c>
      <c r="H117" s="831">
        <f t="shared" si="34"/>
        <v>0.85350000000000004</v>
      </c>
      <c r="I117" s="831">
        <f>ROUND(0.7412-0.0095*B113,4)</f>
        <v>0.71589999999999998</v>
      </c>
      <c r="J117" s="831">
        <f t="shared" si="33"/>
        <v>0.71589999999999998</v>
      </c>
      <c r="K117" s="831">
        <f t="shared" si="33"/>
        <v>0.71589999999999998</v>
      </c>
      <c r="L117" s="831">
        <f t="shared" si="33"/>
        <v>0.71589999999999998</v>
      </c>
      <c r="M117" s="832">
        <f t="shared" si="33"/>
        <v>0.71589999999999998</v>
      </c>
    </row>
    <row r="118" spans="1:13" ht="13.5" thickBot="1">
      <c r="A118" s="670" t="s">
        <v>2461</v>
      </c>
      <c r="B118" s="833">
        <f>ROUND(0.7275-0.01*B113,4)</f>
        <v>0.70089999999999997</v>
      </c>
      <c r="C118" s="833">
        <f>B118</f>
        <v>0.70089999999999997</v>
      </c>
      <c r="D118" s="833">
        <f>ROUND(0.7043-0.012*B113,4)</f>
        <v>0.6724</v>
      </c>
      <c r="E118" s="833">
        <f>D118</f>
        <v>0.6724</v>
      </c>
      <c r="F118" s="833">
        <f>E118</f>
        <v>0.6724</v>
      </c>
      <c r="G118" s="833">
        <f>ROUND(0.6299-0.0122*B113,4)</f>
        <v>0.59740000000000004</v>
      </c>
      <c r="H118" s="833">
        <f>G118</f>
        <v>0.59740000000000004</v>
      </c>
      <c r="I118" s="833">
        <f>ROUND(0.5667-0.0136*B113,4)</f>
        <v>0.53049999999999997</v>
      </c>
      <c r="J118" s="833">
        <f t="shared" si="33"/>
        <v>0.53049999999999997</v>
      </c>
      <c r="K118" s="833">
        <f t="shared" si="33"/>
        <v>0.53049999999999997</v>
      </c>
      <c r="L118" s="833">
        <f t="shared" si="33"/>
        <v>0.53049999999999997</v>
      </c>
      <c r="M118" s="834">
        <f t="shared" si="33"/>
        <v>0.53049999999999997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2936</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2937</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2938</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2939</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2940</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2941</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2942</v>
      </c>
      <c r="B19" s="3209" t="s">
        <v>2943</v>
      </c>
      <c r="C19" s="3210" t="s">
        <v>2944</v>
      </c>
      <c r="D19" s="3211"/>
      <c r="E19" s="3205" t="s">
        <v>2945</v>
      </c>
      <c r="F19" s="803"/>
      <c r="G19" s="803"/>
    </row>
    <row r="20" spans="1:13" s="808" customFormat="1" ht="19.5" customHeight="1">
      <c r="A20" s="3551" t="s">
        <v>2946</v>
      </c>
      <c r="B20" s="3544" t="s">
        <v>2947</v>
      </c>
      <c r="C20" s="3212" t="s">
        <v>2948</v>
      </c>
      <c r="D20" s="3213"/>
      <c r="E20" s="3214">
        <v>1</v>
      </c>
      <c r="F20" s="3215" t="s">
        <v>2949</v>
      </c>
      <c r="G20" s="807"/>
      <c r="H20" s="801"/>
      <c r="I20" s="801"/>
    </row>
    <row r="21" spans="1:13" s="808" customFormat="1" ht="19.5" customHeight="1">
      <c r="A21" s="3552"/>
      <c r="B21" s="3545"/>
      <c r="C21" s="805" t="s">
        <v>2950</v>
      </c>
      <c r="D21" s="806"/>
      <c r="E21" s="3216">
        <v>1</v>
      </c>
      <c r="F21" s="3215" t="s">
        <v>2951</v>
      </c>
      <c r="G21" s="807"/>
      <c r="H21" s="801"/>
      <c r="I21" s="801"/>
    </row>
    <row r="22" spans="1:13" s="808" customFormat="1" ht="19.5" customHeight="1">
      <c r="A22" s="3552"/>
      <c r="B22" s="3545"/>
      <c r="C22" s="805" t="s">
        <v>2952</v>
      </c>
      <c r="D22" s="806"/>
      <c r="E22" s="3216">
        <v>0.9</v>
      </c>
      <c r="F22" s="3215" t="s">
        <v>2953</v>
      </c>
      <c r="G22" s="807"/>
      <c r="H22" s="801"/>
      <c r="I22" s="801"/>
    </row>
    <row r="23" spans="1:13" s="808" customFormat="1" ht="19.5" customHeight="1">
      <c r="A23" s="3552"/>
      <c r="B23" s="3545"/>
      <c r="C23" s="805" t="s">
        <v>2954</v>
      </c>
      <c r="D23" s="806"/>
      <c r="E23" s="3216">
        <v>0.9</v>
      </c>
      <c r="F23" s="3215" t="s">
        <v>2955</v>
      </c>
      <c r="G23" s="807"/>
      <c r="H23" s="801"/>
      <c r="I23" s="801"/>
    </row>
    <row r="24" spans="1:13" s="808" customFormat="1" ht="19.5" customHeight="1">
      <c r="A24" s="3552"/>
      <c r="B24" s="3545"/>
      <c r="C24" s="805" t="s">
        <v>2956</v>
      </c>
      <c r="D24" s="806"/>
      <c r="E24" s="3216">
        <v>0.8</v>
      </c>
      <c r="F24" s="3215" t="s">
        <v>2957</v>
      </c>
      <c r="G24" s="807"/>
      <c r="H24" s="801"/>
      <c r="I24" s="801"/>
    </row>
    <row r="25" spans="1:13" s="808" customFormat="1" ht="19.5" customHeight="1" thickBot="1">
      <c r="A25" s="3553"/>
      <c r="B25" s="3546"/>
      <c r="C25" s="3217" t="s">
        <v>2958</v>
      </c>
      <c r="D25" s="3218"/>
      <c r="E25" s="3219">
        <v>0.8</v>
      </c>
      <c r="F25" s="3215" t="s">
        <v>2959</v>
      </c>
      <c r="G25" s="807"/>
      <c r="H25" s="801"/>
      <c r="I25" s="801"/>
    </row>
    <row r="26" spans="1:13" s="808" customFormat="1" ht="19.5" customHeight="1" thickBot="1">
      <c r="A26" s="3220" t="s">
        <v>2960</v>
      </c>
      <c r="B26" s="3221" t="s">
        <v>2947</v>
      </c>
      <c r="C26" s="3222" t="s">
        <v>2961</v>
      </c>
      <c r="D26" s="3223"/>
      <c r="E26" s="3224">
        <v>1</v>
      </c>
      <c r="F26" s="3215" t="s">
        <v>2962</v>
      </c>
      <c r="G26" s="807"/>
      <c r="H26" s="801"/>
      <c r="I26" s="801"/>
    </row>
    <row r="27" spans="1:13" s="808" customFormat="1" ht="19.5" customHeight="1">
      <c r="A27" s="3547" t="s">
        <v>2963</v>
      </c>
      <c r="B27" s="3544" t="s">
        <v>2963</v>
      </c>
      <c r="C27" s="3212" t="s">
        <v>2964</v>
      </c>
      <c r="D27" s="3213"/>
      <c r="E27" s="3214">
        <v>1</v>
      </c>
      <c r="F27" s="3215" t="s">
        <v>2965</v>
      </c>
      <c r="G27" s="807"/>
      <c r="H27" s="801"/>
      <c r="I27" s="801"/>
    </row>
    <row r="28" spans="1:13" s="808" customFormat="1" ht="19.5" customHeight="1">
      <c r="A28" s="3548"/>
      <c r="B28" s="3545"/>
      <c r="C28" s="805" t="s">
        <v>2966</v>
      </c>
      <c r="D28" s="806"/>
      <c r="E28" s="3216">
        <v>1</v>
      </c>
      <c r="F28" s="3215" t="s">
        <v>2967</v>
      </c>
      <c r="G28" s="807"/>
      <c r="H28" s="801"/>
      <c r="I28" s="801"/>
    </row>
    <row r="29" spans="1:13" s="808" customFormat="1" ht="19.5" customHeight="1">
      <c r="A29" s="3548"/>
      <c r="B29" s="3545"/>
      <c r="C29" s="805" t="s">
        <v>2968</v>
      </c>
      <c r="D29" s="806"/>
      <c r="E29" s="3216">
        <v>0.8</v>
      </c>
      <c r="F29" s="3215" t="s">
        <v>2969</v>
      </c>
      <c r="G29" s="807"/>
      <c r="H29" s="801"/>
      <c r="I29" s="801"/>
    </row>
    <row r="30" spans="1:13" s="808" customFormat="1" ht="19.5" customHeight="1">
      <c r="A30" s="3548"/>
      <c r="B30" s="3545"/>
      <c r="C30" s="805" t="s">
        <v>2970</v>
      </c>
      <c r="D30" s="806"/>
      <c r="E30" s="3216">
        <v>0.8</v>
      </c>
      <c r="F30" s="3215" t="s">
        <v>2971</v>
      </c>
      <c r="G30" s="807"/>
      <c r="H30" s="801"/>
      <c r="I30" s="801"/>
    </row>
    <row r="31" spans="1:13" s="808" customFormat="1" ht="19.5" customHeight="1">
      <c r="A31" s="3548"/>
      <c r="B31" s="3545"/>
      <c r="C31" s="805" t="s">
        <v>2972</v>
      </c>
      <c r="D31" s="806"/>
      <c r="E31" s="3216">
        <v>0.8</v>
      </c>
      <c r="F31" s="3215" t="s">
        <v>2973</v>
      </c>
      <c r="G31" s="807"/>
      <c r="H31" s="801"/>
      <c r="I31" s="801"/>
    </row>
    <row r="32" spans="1:13" s="808" customFormat="1" ht="19.5" customHeight="1">
      <c r="A32" s="3548"/>
      <c r="B32" s="3545"/>
      <c r="C32" s="805" t="s">
        <v>2974</v>
      </c>
      <c r="D32" s="806"/>
      <c r="E32" s="3216">
        <v>0.7</v>
      </c>
      <c r="F32" s="3215" t="s">
        <v>2975</v>
      </c>
      <c r="G32" s="807"/>
      <c r="H32" s="801"/>
      <c r="I32" s="801"/>
    </row>
    <row r="33" spans="1:9" s="808" customFormat="1" ht="19.5" customHeight="1">
      <c r="A33" s="3548"/>
      <c r="B33" s="3545"/>
      <c r="C33" s="805" t="s">
        <v>2976</v>
      </c>
      <c r="D33" s="806"/>
      <c r="E33" s="3216">
        <v>0.8</v>
      </c>
      <c r="F33" s="3215" t="s">
        <v>2977</v>
      </c>
      <c r="G33" s="807"/>
      <c r="H33" s="801"/>
      <c r="I33" s="801"/>
    </row>
    <row r="34" spans="1:9" s="808" customFormat="1" ht="19.5" customHeight="1">
      <c r="A34" s="3548"/>
      <c r="B34" s="3545"/>
      <c r="C34" s="805" t="s">
        <v>2978</v>
      </c>
      <c r="D34" s="806"/>
      <c r="E34" s="3216">
        <v>0.6</v>
      </c>
      <c r="F34" s="3215" t="s">
        <v>2979</v>
      </c>
      <c r="G34" s="807"/>
      <c r="H34" s="801"/>
      <c r="I34" s="801"/>
    </row>
    <row r="35" spans="1:9" s="808" customFormat="1" ht="19.5" customHeight="1">
      <c r="A35" s="3548"/>
      <c r="B35" s="3545"/>
      <c r="C35" s="805" t="s">
        <v>2980</v>
      </c>
      <c r="D35" s="806"/>
      <c r="E35" s="3216">
        <v>0.2</v>
      </c>
      <c r="F35" s="3215" t="s">
        <v>2981</v>
      </c>
      <c r="G35" s="807"/>
      <c r="H35" s="801"/>
      <c r="I35" s="801"/>
    </row>
    <row r="36" spans="1:9" s="808" customFormat="1" ht="19.5" customHeight="1">
      <c r="A36" s="3548"/>
      <c r="B36" s="3545"/>
      <c r="C36" s="805" t="s">
        <v>2982</v>
      </c>
      <c r="D36" s="806"/>
      <c r="E36" s="3216">
        <v>0.2</v>
      </c>
      <c r="F36" s="3215" t="s">
        <v>2983</v>
      </c>
      <c r="G36" s="807"/>
      <c r="H36" s="801"/>
      <c r="I36" s="801"/>
    </row>
    <row r="37" spans="1:9" s="808" customFormat="1" ht="19.5" customHeight="1">
      <c r="A37" s="3548"/>
      <c r="B37" s="3550" t="s">
        <v>2984</v>
      </c>
      <c r="C37" s="805" t="s">
        <v>2985</v>
      </c>
      <c r="D37" s="806"/>
      <c r="E37" s="3216">
        <v>0.6</v>
      </c>
      <c r="F37" s="3215" t="s">
        <v>2986</v>
      </c>
      <c r="G37" s="807"/>
      <c r="H37" s="801"/>
      <c r="I37" s="801"/>
    </row>
    <row r="38" spans="1:9" s="808" customFormat="1" ht="19.5" customHeight="1">
      <c r="A38" s="3548"/>
      <c r="B38" s="3545"/>
      <c r="C38" s="805" t="s">
        <v>2987</v>
      </c>
      <c r="D38" s="806"/>
      <c r="E38" s="3216">
        <v>0.6</v>
      </c>
      <c r="F38" s="3215" t="s">
        <v>2988</v>
      </c>
      <c r="G38" s="807"/>
      <c r="H38" s="801"/>
      <c r="I38" s="801"/>
    </row>
    <row r="39" spans="1:9" s="808" customFormat="1" ht="19.5" customHeight="1" thickBot="1">
      <c r="A39" s="3549"/>
      <c r="B39" s="3546"/>
      <c r="C39" s="3217" t="s">
        <v>2989</v>
      </c>
      <c r="D39" s="3218"/>
      <c r="E39" s="3219">
        <v>0.6</v>
      </c>
      <c r="F39" s="3215" t="s">
        <v>2990</v>
      </c>
      <c r="G39" s="807"/>
      <c r="H39" s="801"/>
      <c r="I39" s="801"/>
    </row>
    <row r="40" spans="1:9" s="808" customFormat="1" ht="19.5" customHeight="1" thickBot="1">
      <c r="A40" s="3220" t="s">
        <v>2991</v>
      </c>
      <c r="B40" s="3221" t="s">
        <v>2991</v>
      </c>
      <c r="C40" s="3222" t="s">
        <v>2992</v>
      </c>
      <c r="D40" s="3223"/>
      <c r="E40" s="3224">
        <v>1</v>
      </c>
      <c r="F40" s="3215" t="s">
        <v>2993</v>
      </c>
      <c r="G40" s="807"/>
      <c r="H40" s="801"/>
      <c r="I40" s="801"/>
    </row>
    <row r="41" spans="1:9" s="808" customFormat="1" ht="19.5" customHeight="1">
      <c r="A41" s="3551" t="s">
        <v>2994</v>
      </c>
      <c r="B41" s="3544" t="s">
        <v>2995</v>
      </c>
      <c r="C41" s="3212" t="s">
        <v>2996</v>
      </c>
      <c r="D41" s="3213"/>
      <c r="E41" s="3214">
        <v>1</v>
      </c>
      <c r="F41" s="3215" t="s">
        <v>2997</v>
      </c>
      <c r="G41" s="807"/>
      <c r="H41" s="801"/>
      <c r="I41" s="801"/>
    </row>
    <row r="42" spans="1:9" s="808" customFormat="1" ht="19.5" customHeight="1">
      <c r="A42" s="3552"/>
      <c r="B42" s="3545"/>
      <c r="C42" s="805" t="s">
        <v>2998</v>
      </c>
      <c r="D42" s="806"/>
      <c r="E42" s="3216">
        <v>1</v>
      </c>
      <c r="F42" s="3215" t="s">
        <v>2999</v>
      </c>
      <c r="G42" s="807"/>
      <c r="H42" s="801"/>
      <c r="I42" s="801"/>
    </row>
    <row r="43" spans="1:9" s="808" customFormat="1" ht="19.5" customHeight="1">
      <c r="A43" s="3552"/>
      <c r="B43" s="3554"/>
      <c r="C43" s="805" t="s">
        <v>3000</v>
      </c>
      <c r="D43" s="806"/>
      <c r="E43" s="3216">
        <v>1.5</v>
      </c>
      <c r="F43" s="3215" t="s">
        <v>3001</v>
      </c>
      <c r="G43" s="807"/>
      <c r="H43" s="801"/>
      <c r="I43" s="801"/>
    </row>
    <row r="44" spans="1:9" s="808" customFormat="1" ht="19.5" customHeight="1">
      <c r="A44" s="3552"/>
      <c r="B44" s="3225" t="s">
        <v>2963</v>
      </c>
      <c r="C44" s="805" t="s">
        <v>3002</v>
      </c>
      <c r="D44" s="806"/>
      <c r="E44" s="3216">
        <v>2</v>
      </c>
      <c r="F44" s="3215" t="s">
        <v>3003</v>
      </c>
      <c r="G44" s="807"/>
      <c r="H44" s="801"/>
      <c r="I44" s="801"/>
    </row>
    <row r="45" spans="1:9" s="808" customFormat="1" ht="19.5" customHeight="1">
      <c r="A45" s="3552"/>
      <c r="B45" s="3550" t="s">
        <v>3004</v>
      </c>
      <c r="C45" s="805" t="s">
        <v>3005</v>
      </c>
      <c r="D45" s="806"/>
      <c r="E45" s="3216">
        <v>1</v>
      </c>
      <c r="F45" s="3215" t="s">
        <v>3006</v>
      </c>
      <c r="G45" s="807"/>
      <c r="H45" s="801"/>
      <c r="I45" s="801"/>
    </row>
    <row r="46" spans="1:9" s="808" customFormat="1" ht="19.5" customHeight="1">
      <c r="A46" s="3552"/>
      <c r="B46" s="3545"/>
      <c r="C46" s="805" t="s">
        <v>3007</v>
      </c>
      <c r="D46" s="806"/>
      <c r="E46" s="3216">
        <v>1</v>
      </c>
      <c r="F46" s="3215" t="s">
        <v>3008</v>
      </c>
      <c r="G46" s="807"/>
      <c r="H46" s="801"/>
      <c r="I46" s="801"/>
    </row>
    <row r="47" spans="1:9" s="808" customFormat="1" ht="19.5" customHeight="1">
      <c r="A47" s="3552"/>
      <c r="B47" s="3545"/>
      <c r="C47" s="805" t="s">
        <v>3009</v>
      </c>
      <c r="D47" s="806"/>
      <c r="E47" s="3216">
        <v>1</v>
      </c>
      <c r="F47" s="3215" t="s">
        <v>3010</v>
      </c>
      <c r="G47" s="807"/>
      <c r="H47" s="801"/>
      <c r="I47" s="801"/>
    </row>
    <row r="48" spans="1:9" s="808" customFormat="1" ht="19.5" customHeight="1">
      <c r="A48" s="3552"/>
      <c r="B48" s="3545"/>
      <c r="C48" s="805" t="s">
        <v>3011</v>
      </c>
      <c r="D48" s="806"/>
      <c r="E48" s="3216">
        <v>1</v>
      </c>
      <c r="F48" s="3215" t="s">
        <v>3012</v>
      </c>
      <c r="G48" s="807"/>
      <c r="H48" s="801"/>
      <c r="I48" s="801"/>
    </row>
    <row r="49" spans="1:9" s="808" customFormat="1" ht="19.5" customHeight="1">
      <c r="A49" s="3552"/>
      <c r="B49" s="3545"/>
      <c r="C49" s="805" t="s">
        <v>3013</v>
      </c>
      <c r="D49" s="806"/>
      <c r="E49" s="3216">
        <v>1</v>
      </c>
      <c r="F49" s="3215" t="s">
        <v>3014</v>
      </c>
      <c r="G49" s="807"/>
      <c r="H49" s="801"/>
      <c r="I49" s="801"/>
    </row>
    <row r="50" spans="1:9" s="808" customFormat="1" ht="19.5" customHeight="1">
      <c r="A50" s="3552"/>
      <c r="B50" s="3545"/>
      <c r="C50" s="805" t="s">
        <v>3015</v>
      </c>
      <c r="D50" s="806"/>
      <c r="E50" s="3216">
        <v>1</v>
      </c>
      <c r="F50" s="3215" t="s">
        <v>3016</v>
      </c>
      <c r="G50" s="807"/>
      <c r="H50" s="801"/>
      <c r="I50" s="801"/>
    </row>
    <row r="51" spans="1:9" s="808" customFormat="1" ht="19.5" customHeight="1" thickBot="1">
      <c r="A51" s="3553"/>
      <c r="B51" s="3546"/>
      <c r="C51" s="3217" t="s">
        <v>3017</v>
      </c>
      <c r="D51" s="3218"/>
      <c r="E51" s="3219">
        <v>1</v>
      </c>
      <c r="F51" s="3215"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5">
        <v>1</v>
      </c>
      <c r="B73" s="3550" t="s">
        <v>3020</v>
      </c>
      <c r="C73" s="3205" t="s">
        <v>3021</v>
      </c>
      <c r="D73" s="3205" t="s">
        <v>3022</v>
      </c>
      <c r="E73" s="3226">
        <v>0.2</v>
      </c>
      <c r="F73" s="3225">
        <v>25</v>
      </c>
    </row>
    <row r="74" spans="1:7" s="801" customFormat="1" ht="24">
      <c r="A74" s="3225">
        <v>2</v>
      </c>
      <c r="B74" s="3545"/>
      <c r="C74" s="3205" t="s">
        <v>3023</v>
      </c>
      <c r="D74" s="3205" t="s">
        <v>3024</v>
      </c>
      <c r="E74" s="3226">
        <v>0.2</v>
      </c>
      <c r="F74" s="3225">
        <v>25</v>
      </c>
    </row>
    <row r="75" spans="1:7" s="801" customFormat="1" ht="24">
      <c r="A75" s="3225">
        <v>3</v>
      </c>
      <c r="B75" s="3545"/>
      <c r="C75" s="3205" t="s">
        <v>3025</v>
      </c>
      <c r="D75" s="3205" t="s">
        <v>3026</v>
      </c>
      <c r="E75" s="3226">
        <v>0.2</v>
      </c>
      <c r="F75" s="3225">
        <v>25</v>
      </c>
    </row>
    <row r="76" spans="1:7" s="801" customFormat="1" ht="13.5">
      <c r="A76" s="3225">
        <v>4</v>
      </c>
      <c r="B76" s="3545"/>
      <c r="C76" s="3205" t="s">
        <v>3027</v>
      </c>
      <c r="D76" s="3205" t="s">
        <v>3028</v>
      </c>
      <c r="E76" s="3226">
        <v>0.15</v>
      </c>
      <c r="F76" s="3225">
        <v>20</v>
      </c>
    </row>
    <row r="77" spans="1:7" s="801" customFormat="1" ht="24">
      <c r="A77" s="3225">
        <v>5</v>
      </c>
      <c r="B77" s="3545"/>
      <c r="C77" s="3205" t="s">
        <v>3029</v>
      </c>
      <c r="D77" s="3205" t="s">
        <v>3030</v>
      </c>
      <c r="E77" s="3226">
        <v>0.15</v>
      </c>
      <c r="F77" s="3225">
        <v>20</v>
      </c>
    </row>
    <row r="78" spans="1:7" s="801" customFormat="1" ht="24">
      <c r="A78" s="3225">
        <v>6</v>
      </c>
      <c r="B78" s="3545"/>
      <c r="C78" s="3205" t="s">
        <v>3031</v>
      </c>
      <c r="D78" s="3205" t="s">
        <v>3032</v>
      </c>
      <c r="E78" s="3226">
        <v>0.15</v>
      </c>
      <c r="F78" s="3225">
        <v>20</v>
      </c>
    </row>
    <row r="79" spans="1:7" s="801" customFormat="1" ht="24">
      <c r="A79" s="3225">
        <v>7</v>
      </c>
      <c r="B79" s="3545"/>
      <c r="C79" s="3205" t="s">
        <v>3033</v>
      </c>
      <c r="D79" s="3205" t="s">
        <v>3034</v>
      </c>
      <c r="E79" s="3226">
        <v>0.15</v>
      </c>
      <c r="F79" s="3225">
        <v>20</v>
      </c>
    </row>
    <row r="80" spans="1:7" s="801" customFormat="1" ht="24">
      <c r="A80" s="3225">
        <v>8</v>
      </c>
      <c r="B80" s="3545"/>
      <c r="C80" s="3205" t="s">
        <v>3035</v>
      </c>
      <c r="D80" s="3205" t="s">
        <v>3036</v>
      </c>
      <c r="E80" s="3226">
        <v>0.1</v>
      </c>
      <c r="F80" s="3225">
        <v>15</v>
      </c>
    </row>
    <row r="81" spans="1:6" s="801" customFormat="1" ht="24">
      <c r="A81" s="3225">
        <v>9</v>
      </c>
      <c r="B81" s="3545"/>
      <c r="C81" s="3205" t="s">
        <v>3037</v>
      </c>
      <c r="D81" s="3205" t="s">
        <v>3038</v>
      </c>
      <c r="E81" s="3226">
        <v>0.1</v>
      </c>
      <c r="F81" s="3225">
        <v>15</v>
      </c>
    </row>
    <row r="82" spans="1:6" s="801" customFormat="1" ht="24">
      <c r="A82" s="3225">
        <v>10</v>
      </c>
      <c r="B82" s="3545"/>
      <c r="C82" s="3205" t="s">
        <v>3039</v>
      </c>
      <c r="D82" s="3205" t="s">
        <v>3040</v>
      </c>
      <c r="E82" s="3226">
        <v>0.1</v>
      </c>
      <c r="F82" s="3225">
        <v>15</v>
      </c>
    </row>
    <row r="83" spans="1:6" s="801" customFormat="1" ht="24">
      <c r="A83" s="3225">
        <v>11</v>
      </c>
      <c r="B83" s="3545"/>
      <c r="C83" s="3205" t="s">
        <v>3041</v>
      </c>
      <c r="D83" s="3205" t="s">
        <v>3042</v>
      </c>
      <c r="E83" s="3226">
        <v>0.1</v>
      </c>
      <c r="F83" s="3225">
        <v>15</v>
      </c>
    </row>
    <row r="84" spans="1:6" s="801" customFormat="1" ht="24">
      <c r="A84" s="3225">
        <v>12</v>
      </c>
      <c r="B84" s="3545"/>
      <c r="C84" s="3205" t="s">
        <v>3043</v>
      </c>
      <c r="D84" s="3205" t="s">
        <v>3044</v>
      </c>
      <c r="E84" s="3226">
        <v>0.1</v>
      </c>
      <c r="F84" s="3225">
        <v>15</v>
      </c>
    </row>
    <row r="85" spans="1:6" s="801" customFormat="1" ht="13.5">
      <c r="A85" s="3225">
        <v>13</v>
      </c>
      <c r="B85" s="3545"/>
      <c r="C85" s="3205" t="s">
        <v>3045</v>
      </c>
      <c r="D85" s="3205" t="s">
        <v>3046</v>
      </c>
      <c r="E85" s="3226">
        <v>0.1</v>
      </c>
      <c r="F85" s="3225">
        <v>15</v>
      </c>
    </row>
    <row r="86" spans="1:6" s="801" customFormat="1" ht="13.5">
      <c r="A86" s="3225">
        <v>14</v>
      </c>
      <c r="B86" s="3545"/>
      <c r="C86" s="3205" t="s">
        <v>3047</v>
      </c>
      <c r="D86" s="3205" t="s">
        <v>3048</v>
      </c>
      <c r="E86" s="3226">
        <v>0.1</v>
      </c>
      <c r="F86" s="3225">
        <v>15</v>
      </c>
    </row>
    <row r="87" spans="1:6" s="801" customFormat="1" ht="13.5">
      <c r="A87" s="3225">
        <v>15</v>
      </c>
      <c r="B87" s="3545"/>
      <c r="C87" s="3205" t="s">
        <v>3049</v>
      </c>
      <c r="D87" s="3205" t="s">
        <v>3050</v>
      </c>
      <c r="E87" s="3226">
        <v>0.1</v>
      </c>
      <c r="F87" s="3225">
        <v>15</v>
      </c>
    </row>
    <row r="88" spans="1:6" s="801" customFormat="1" ht="24">
      <c r="A88" s="3225">
        <v>16</v>
      </c>
      <c r="B88" s="3545"/>
      <c r="C88" s="3205" t="s">
        <v>3051</v>
      </c>
      <c r="D88" s="3205" t="s">
        <v>3052</v>
      </c>
      <c r="E88" s="3226">
        <v>0.1</v>
      </c>
      <c r="F88" s="3225">
        <v>15</v>
      </c>
    </row>
    <row r="89" spans="1:6" s="801" customFormat="1" ht="24">
      <c r="A89" s="3225">
        <v>17</v>
      </c>
      <c r="B89" s="3554"/>
      <c r="C89" s="3205" t="s">
        <v>3053</v>
      </c>
      <c r="D89" s="3205" t="s">
        <v>3054</v>
      </c>
      <c r="E89" s="3226">
        <v>0.1</v>
      </c>
      <c r="F89" s="3225">
        <v>15</v>
      </c>
    </row>
    <row r="90" spans="1:6" s="801" customFormat="1" ht="13.5">
      <c r="A90" s="3225">
        <v>18</v>
      </c>
      <c r="B90" s="3550" t="s">
        <v>3055</v>
      </c>
      <c r="C90" s="3205" t="s">
        <v>3056</v>
      </c>
      <c r="D90" s="3205" t="s">
        <v>3057</v>
      </c>
      <c r="E90" s="3226">
        <v>0.2</v>
      </c>
      <c r="F90" s="3225">
        <v>25</v>
      </c>
    </row>
    <row r="91" spans="1:6" s="801" customFormat="1" ht="24">
      <c r="A91" s="3225">
        <v>19</v>
      </c>
      <c r="B91" s="3545"/>
      <c r="C91" s="3205" t="s">
        <v>3058</v>
      </c>
      <c r="D91" s="3205" t="s">
        <v>3059</v>
      </c>
      <c r="E91" s="3226">
        <v>0.2</v>
      </c>
      <c r="F91" s="3225">
        <v>25</v>
      </c>
    </row>
    <row r="92" spans="1:6" s="801" customFormat="1" ht="13.5">
      <c r="A92" s="3225">
        <v>20</v>
      </c>
      <c r="B92" s="3545"/>
      <c r="C92" s="3205" t="s">
        <v>3060</v>
      </c>
      <c r="D92" s="3205" t="s">
        <v>3061</v>
      </c>
      <c r="E92" s="3226">
        <v>0.15</v>
      </c>
      <c r="F92" s="3225">
        <v>20</v>
      </c>
    </row>
    <row r="93" spans="1:6" s="801" customFormat="1" ht="24">
      <c r="A93" s="3225">
        <v>21</v>
      </c>
      <c r="B93" s="3545"/>
      <c r="C93" s="3205" t="s">
        <v>3062</v>
      </c>
      <c r="D93" s="3205" t="s">
        <v>3063</v>
      </c>
      <c r="E93" s="3226">
        <v>0.15</v>
      </c>
      <c r="F93" s="3225">
        <v>20</v>
      </c>
    </row>
    <row r="94" spans="1:6" s="801" customFormat="1" ht="24">
      <c r="A94" s="3225">
        <v>22</v>
      </c>
      <c r="B94" s="3545"/>
      <c r="C94" s="3205" t="s">
        <v>3064</v>
      </c>
      <c r="D94" s="3205" t="s">
        <v>3065</v>
      </c>
      <c r="E94" s="3226">
        <v>0.15</v>
      </c>
      <c r="F94" s="3225">
        <v>20</v>
      </c>
    </row>
    <row r="95" spans="1:6" s="801" customFormat="1" ht="36">
      <c r="A95" s="3225">
        <v>23</v>
      </c>
      <c r="B95" s="3545"/>
      <c r="C95" s="3205" t="s">
        <v>3066</v>
      </c>
      <c r="D95" s="3205" t="s">
        <v>3067</v>
      </c>
      <c r="E95" s="3226">
        <v>0.15</v>
      </c>
      <c r="F95" s="3225">
        <v>20</v>
      </c>
    </row>
    <row r="96" spans="1:6" s="801" customFormat="1" ht="13.5">
      <c r="A96" s="3225">
        <v>24</v>
      </c>
      <c r="B96" s="3545"/>
      <c r="C96" s="3205" t="s">
        <v>3068</v>
      </c>
      <c r="D96" s="3205" t="s">
        <v>3069</v>
      </c>
      <c r="E96" s="3226">
        <v>0.1</v>
      </c>
      <c r="F96" s="3225">
        <v>15</v>
      </c>
    </row>
    <row r="97" spans="1:6" s="801" customFormat="1" ht="24">
      <c r="A97" s="3225">
        <v>25</v>
      </c>
      <c r="B97" s="3545"/>
      <c r="C97" s="3205" t="s">
        <v>3070</v>
      </c>
      <c r="D97" s="3205" t="s">
        <v>3071</v>
      </c>
      <c r="E97" s="3226">
        <v>0.1</v>
      </c>
      <c r="F97" s="3225">
        <v>15</v>
      </c>
    </row>
    <row r="98" spans="1:6" s="801" customFormat="1" ht="24">
      <c r="A98" s="3225">
        <v>26</v>
      </c>
      <c r="B98" s="3545"/>
      <c r="C98" s="3205" t="s">
        <v>3072</v>
      </c>
      <c r="D98" s="3205" t="s">
        <v>3073</v>
      </c>
      <c r="E98" s="3226">
        <v>0.1</v>
      </c>
      <c r="F98" s="3225">
        <v>15</v>
      </c>
    </row>
    <row r="99" spans="1:6" s="801" customFormat="1" ht="24">
      <c r="A99" s="3225">
        <v>27</v>
      </c>
      <c r="B99" s="3545"/>
      <c r="C99" s="3205" t="s">
        <v>3074</v>
      </c>
      <c r="D99" s="3205" t="s">
        <v>3075</v>
      </c>
      <c r="E99" s="3226">
        <v>0.1</v>
      </c>
      <c r="F99" s="3225">
        <v>15</v>
      </c>
    </row>
    <row r="100" spans="1:6" s="801" customFormat="1" ht="24">
      <c r="A100" s="3225">
        <v>28</v>
      </c>
      <c r="B100" s="3545"/>
      <c r="C100" s="3205" t="s">
        <v>3076</v>
      </c>
      <c r="D100" s="3205" t="s">
        <v>3077</v>
      </c>
      <c r="E100" s="3226">
        <v>0.1</v>
      </c>
      <c r="F100" s="3225">
        <v>15</v>
      </c>
    </row>
    <row r="101" spans="1:6" s="801" customFormat="1" ht="24">
      <c r="A101" s="3225">
        <v>29</v>
      </c>
      <c r="B101" s="3545"/>
      <c r="C101" s="3205" t="s">
        <v>3078</v>
      </c>
      <c r="D101" s="3205" t="s">
        <v>3079</v>
      </c>
      <c r="E101" s="3226">
        <v>0.1</v>
      </c>
      <c r="F101" s="3225">
        <v>15</v>
      </c>
    </row>
    <row r="102" spans="1:6" s="801" customFormat="1" ht="24">
      <c r="A102" s="3225">
        <v>30</v>
      </c>
      <c r="B102" s="3545"/>
      <c r="C102" s="3205" t="s">
        <v>3080</v>
      </c>
      <c r="D102" s="3205" t="s">
        <v>3081</v>
      </c>
      <c r="E102" s="3226">
        <v>0.1</v>
      </c>
      <c r="F102" s="3225">
        <v>15</v>
      </c>
    </row>
    <row r="103" spans="1:6" s="801" customFormat="1" ht="24">
      <c r="A103" s="3225">
        <v>31</v>
      </c>
      <c r="B103" s="3545"/>
      <c r="C103" s="3205" t="s">
        <v>3082</v>
      </c>
      <c r="D103" s="3205" t="s">
        <v>3083</v>
      </c>
      <c r="E103" s="3226">
        <v>0.1</v>
      </c>
      <c r="F103" s="3225">
        <v>15</v>
      </c>
    </row>
    <row r="104" spans="1:6" s="801" customFormat="1" ht="24">
      <c r="A104" s="3225">
        <v>32</v>
      </c>
      <c r="B104" s="3545"/>
      <c r="C104" s="3205" t="s">
        <v>3084</v>
      </c>
      <c r="D104" s="3205" t="s">
        <v>3085</v>
      </c>
      <c r="E104" s="3226">
        <v>0.1</v>
      </c>
      <c r="F104" s="3225">
        <v>15</v>
      </c>
    </row>
    <row r="105" spans="1:6" s="801" customFormat="1" ht="24">
      <c r="A105" s="3225">
        <v>33</v>
      </c>
      <c r="B105" s="3545"/>
      <c r="C105" s="3205" t="s">
        <v>3086</v>
      </c>
      <c r="D105" s="3205" t="s">
        <v>3087</v>
      </c>
      <c r="E105" s="3226">
        <v>0.1</v>
      </c>
      <c r="F105" s="3225">
        <v>15</v>
      </c>
    </row>
    <row r="106" spans="1:6" s="801" customFormat="1" ht="24">
      <c r="A106" s="3225">
        <v>34</v>
      </c>
      <c r="B106" s="3554"/>
      <c r="C106" s="3205" t="s">
        <v>3088</v>
      </c>
      <c r="D106" s="3205" t="s">
        <v>3089</v>
      </c>
      <c r="E106" s="3226">
        <v>0.1</v>
      </c>
      <c r="F106" s="3225">
        <v>15</v>
      </c>
    </row>
    <row r="107" spans="1:6" s="801" customFormat="1" ht="24">
      <c r="A107" s="3225">
        <v>35</v>
      </c>
      <c r="B107" s="3550" t="s">
        <v>3090</v>
      </c>
      <c r="C107" s="3225" t="s">
        <v>3091</v>
      </c>
      <c r="D107" s="3205" t="s">
        <v>3092</v>
      </c>
      <c r="E107" s="3226">
        <v>0.15</v>
      </c>
      <c r="F107" s="3225">
        <v>20</v>
      </c>
    </row>
    <row r="108" spans="1:6" s="801" customFormat="1" ht="24">
      <c r="A108" s="3225">
        <v>36</v>
      </c>
      <c r="B108" s="3545"/>
      <c r="C108" s="3225" t="s">
        <v>3093</v>
      </c>
      <c r="D108" s="3205" t="s">
        <v>3094</v>
      </c>
      <c r="E108" s="3226">
        <v>0.15</v>
      </c>
      <c r="F108" s="3225">
        <v>20</v>
      </c>
    </row>
    <row r="109" spans="1:6" s="801" customFormat="1" ht="24">
      <c r="A109" s="3225">
        <v>37</v>
      </c>
      <c r="B109" s="3545"/>
      <c r="C109" s="3225" t="s">
        <v>3095</v>
      </c>
      <c r="D109" s="3205" t="s">
        <v>3096</v>
      </c>
      <c r="E109" s="3226">
        <v>0.15</v>
      </c>
      <c r="F109" s="3225">
        <v>20</v>
      </c>
    </row>
    <row r="110" spans="1:6" s="801" customFormat="1" ht="13.5">
      <c r="A110" s="3225">
        <v>38</v>
      </c>
      <c r="B110" s="3545"/>
      <c r="C110" s="3225" t="s">
        <v>3097</v>
      </c>
      <c r="D110" s="3205" t="s">
        <v>3098</v>
      </c>
      <c r="E110" s="3226">
        <v>0.1</v>
      </c>
      <c r="F110" s="3225">
        <v>15</v>
      </c>
    </row>
    <row r="111" spans="1:6" s="801" customFormat="1" ht="24">
      <c r="A111" s="3225">
        <v>39</v>
      </c>
      <c r="B111" s="3545"/>
      <c r="C111" s="3225" t="s">
        <v>3099</v>
      </c>
      <c r="D111" s="3205" t="s">
        <v>3100</v>
      </c>
      <c r="E111" s="3226">
        <v>0.1</v>
      </c>
      <c r="F111" s="3225">
        <v>15</v>
      </c>
    </row>
    <row r="112" spans="1:6" s="801" customFormat="1" ht="24">
      <c r="A112" s="3225">
        <v>40</v>
      </c>
      <c r="B112" s="3554"/>
      <c r="C112" s="3225" t="s">
        <v>3101</v>
      </c>
      <c r="D112" s="3205" t="s">
        <v>3102</v>
      </c>
      <c r="E112" s="3226">
        <v>0.1</v>
      </c>
      <c r="F112" s="3225">
        <v>15</v>
      </c>
    </row>
    <row r="113" spans="1:6" s="801" customFormat="1" ht="24">
      <c r="A113" s="3225">
        <v>41</v>
      </c>
      <c r="B113" s="3555" t="s">
        <v>3103</v>
      </c>
      <c r="C113" s="3225" t="s">
        <v>3104</v>
      </c>
      <c r="D113" s="3205" t="s">
        <v>3105</v>
      </c>
      <c r="E113" s="3226">
        <v>0.1</v>
      </c>
      <c r="F113" s="3225">
        <v>15</v>
      </c>
    </row>
    <row r="114" spans="1:6" s="801" customFormat="1" ht="13.5">
      <c r="A114" s="3225">
        <v>42</v>
      </c>
      <c r="B114" s="3555"/>
      <c r="C114" s="3225" t="s">
        <v>3106</v>
      </c>
      <c r="D114" s="3205" t="s">
        <v>3107</v>
      </c>
      <c r="E114" s="3226">
        <v>0.1</v>
      </c>
      <c r="F114" s="3225">
        <v>15</v>
      </c>
    </row>
    <row r="115" spans="1:6" s="801" customFormat="1" ht="24">
      <c r="A115" s="3225">
        <v>43</v>
      </c>
      <c r="B115" s="3555"/>
      <c r="C115" s="3225" t="s">
        <v>3108</v>
      </c>
      <c r="D115" s="3205" t="s">
        <v>3109</v>
      </c>
      <c r="E115" s="3226">
        <v>0.1</v>
      </c>
      <c r="F115" s="3225">
        <v>15</v>
      </c>
    </row>
    <row r="116" spans="1:6" s="801" customFormat="1" ht="24">
      <c r="A116" s="3225">
        <v>44</v>
      </c>
      <c r="B116" s="3550" t="s">
        <v>3110</v>
      </c>
      <c r="C116" s="3225" t="s">
        <v>3111</v>
      </c>
      <c r="D116" s="3205" t="s">
        <v>3112</v>
      </c>
      <c r="E116" s="3226">
        <v>0.1</v>
      </c>
      <c r="F116" s="3225">
        <v>15</v>
      </c>
    </row>
    <row r="117" spans="1:6" s="801" customFormat="1" ht="24">
      <c r="A117" s="3225">
        <v>45</v>
      </c>
      <c r="B117" s="3554"/>
      <c r="C117" s="3205" t="s">
        <v>3113</v>
      </c>
      <c r="D117" s="3205" t="s">
        <v>3114</v>
      </c>
      <c r="E117" s="3226">
        <v>0.1</v>
      </c>
      <c r="F117" s="3225">
        <v>15</v>
      </c>
    </row>
    <row r="118" spans="1:6" s="801" customFormat="1" ht="24">
      <c r="A118" s="3225">
        <v>46</v>
      </c>
      <c r="B118" s="3550" t="s">
        <v>3115</v>
      </c>
      <c r="C118" s="3225" t="s">
        <v>3116</v>
      </c>
      <c r="D118" s="3205" t="s">
        <v>3117</v>
      </c>
      <c r="E118" s="3226">
        <v>0.1</v>
      </c>
      <c r="F118" s="3225">
        <v>15</v>
      </c>
    </row>
    <row r="119" spans="1:6" s="801" customFormat="1" ht="24">
      <c r="A119" s="3225">
        <v>47</v>
      </c>
      <c r="B119" s="3554"/>
      <c r="C119" s="3225" t="s">
        <v>3118</v>
      </c>
      <c r="D119" s="3205" t="s">
        <v>3119</v>
      </c>
      <c r="E119" s="3226">
        <v>0.1</v>
      </c>
      <c r="F119" s="3225">
        <v>15</v>
      </c>
    </row>
    <row r="120" spans="1:6" s="801" customFormat="1" ht="24">
      <c r="A120" s="3225">
        <v>48</v>
      </c>
      <c r="B120" s="3550" t="s">
        <v>3120</v>
      </c>
      <c r="C120" s="3225" t="s">
        <v>3121</v>
      </c>
      <c r="D120" s="3205" t="s">
        <v>3122</v>
      </c>
      <c r="E120" s="3226">
        <v>0.1</v>
      </c>
      <c r="F120" s="3225">
        <v>15</v>
      </c>
    </row>
    <row r="121" spans="1:6" s="801" customFormat="1" ht="13.5">
      <c r="A121" s="3225">
        <v>49</v>
      </c>
      <c r="B121" s="3554"/>
      <c r="C121" s="3225" t="s">
        <v>3123</v>
      </c>
      <c r="D121" s="3205" t="s">
        <v>3124</v>
      </c>
      <c r="E121" s="3226">
        <v>0.1</v>
      </c>
      <c r="F121" s="3225">
        <v>15</v>
      </c>
    </row>
    <row r="122" spans="1:6" s="801" customFormat="1" ht="24">
      <c r="A122" s="3225">
        <v>50</v>
      </c>
      <c r="B122" s="3555" t="s">
        <v>3125</v>
      </c>
      <c r="C122" s="3225" t="s">
        <v>3126</v>
      </c>
      <c r="D122" s="3205" t="s">
        <v>3127</v>
      </c>
      <c r="E122" s="3226">
        <v>0.1</v>
      </c>
      <c r="F122" s="3225">
        <v>15</v>
      </c>
    </row>
    <row r="123" spans="1:6" s="801" customFormat="1" ht="24">
      <c r="A123" s="3225">
        <v>51</v>
      </c>
      <c r="B123" s="3555"/>
      <c r="C123" s="3225" t="s">
        <v>3128</v>
      </c>
      <c r="D123" s="3205" t="s">
        <v>3129</v>
      </c>
      <c r="E123" s="3226">
        <v>0.1</v>
      </c>
      <c r="F123" s="3225">
        <v>15</v>
      </c>
    </row>
    <row r="124" spans="1:6" s="801" customFormat="1" ht="24">
      <c r="A124" s="3225">
        <v>52</v>
      </c>
      <c r="B124" s="3555" t="s">
        <v>3130</v>
      </c>
      <c r="C124" s="3225" t="s">
        <v>3131</v>
      </c>
      <c r="D124" s="3205" t="s">
        <v>3132</v>
      </c>
      <c r="E124" s="3226">
        <v>0.1</v>
      </c>
      <c r="F124" s="3225">
        <v>15</v>
      </c>
    </row>
    <row r="125" spans="1:6" s="801" customFormat="1" ht="24">
      <c r="A125" s="3225">
        <v>53</v>
      </c>
      <c r="B125" s="3555"/>
      <c r="C125" s="3225" t="s">
        <v>3133</v>
      </c>
      <c r="D125" s="3205" t="s">
        <v>3134</v>
      </c>
      <c r="E125" s="3226">
        <v>0.1</v>
      </c>
      <c r="F125" s="3225">
        <v>15</v>
      </c>
    </row>
    <row r="126" spans="1:6" ht="24">
      <c r="A126" s="3225">
        <v>54</v>
      </c>
      <c r="B126" s="3225" t="s">
        <v>3135</v>
      </c>
      <c r="C126" s="3225" t="s">
        <v>3136</v>
      </c>
      <c r="D126" s="3205" t="s">
        <v>3137</v>
      </c>
      <c r="E126" s="3226">
        <v>0.1</v>
      </c>
      <c r="F126" s="3225">
        <v>15</v>
      </c>
    </row>
    <row r="127" spans="1:6" ht="13.5">
      <c r="A127" s="3225">
        <v>55</v>
      </c>
      <c r="B127" s="3555" t="s">
        <v>3138</v>
      </c>
      <c r="C127" s="3225" t="s">
        <v>3139</v>
      </c>
      <c r="D127" s="3205" t="s">
        <v>3140</v>
      </c>
      <c r="E127" s="3226">
        <v>0.1</v>
      </c>
      <c r="F127" s="3225">
        <v>15</v>
      </c>
    </row>
    <row r="128" spans="1:6" ht="13.5">
      <c r="A128" s="3225">
        <v>56</v>
      </c>
      <c r="B128" s="3555"/>
      <c r="C128" s="3225" t="s">
        <v>3141</v>
      </c>
      <c r="D128" s="3205" t="s">
        <v>3142</v>
      </c>
      <c r="E128" s="3226">
        <v>0.1</v>
      </c>
      <c r="F128" s="3225">
        <v>15</v>
      </c>
    </row>
    <row r="129" spans="1:6" ht="24">
      <c r="A129" s="3225">
        <v>57</v>
      </c>
      <c r="B129" s="3555"/>
      <c r="C129" s="3225" t="s">
        <v>3143</v>
      </c>
      <c r="D129" s="3205" t="s">
        <v>3144</v>
      </c>
      <c r="E129" s="3226">
        <v>0.1</v>
      </c>
      <c r="F129" s="3225">
        <v>15</v>
      </c>
    </row>
    <row r="130" spans="1:6" ht="24">
      <c r="A130" s="3225">
        <v>58</v>
      </c>
      <c r="B130" s="3555" t="s">
        <v>3145</v>
      </c>
      <c r="C130" s="3225" t="s">
        <v>3146</v>
      </c>
      <c r="D130" s="3205" t="s">
        <v>3147</v>
      </c>
      <c r="E130" s="3226">
        <v>0.1</v>
      </c>
      <c r="F130" s="3225">
        <v>15</v>
      </c>
    </row>
    <row r="131" spans="1:6" ht="24">
      <c r="A131" s="3225">
        <v>59</v>
      </c>
      <c r="B131" s="3555"/>
      <c r="C131" s="3225" t="s">
        <v>3148</v>
      </c>
      <c r="D131" s="3205" t="s">
        <v>3149</v>
      </c>
      <c r="E131" s="3226">
        <v>0.1</v>
      </c>
      <c r="F131" s="3225">
        <v>15</v>
      </c>
    </row>
    <row r="132" spans="1:6" ht="24">
      <c r="A132" s="3225">
        <v>60</v>
      </c>
      <c r="B132" s="3550" t="s">
        <v>3150</v>
      </c>
      <c r="C132" s="3225" t="s">
        <v>3151</v>
      </c>
      <c r="D132" s="3205" t="s">
        <v>3152</v>
      </c>
      <c r="E132" s="3226">
        <v>0.1</v>
      </c>
      <c r="F132" s="3225">
        <v>15</v>
      </c>
    </row>
    <row r="133" spans="1:6" ht="24">
      <c r="A133" s="3225">
        <v>61</v>
      </c>
      <c r="B133" s="3554"/>
      <c r="C133" s="3225" t="s">
        <v>3153</v>
      </c>
      <c r="D133" s="3205" t="s">
        <v>3154</v>
      </c>
      <c r="E133" s="3226">
        <v>0.1</v>
      </c>
      <c r="F133" s="3225">
        <v>15</v>
      </c>
    </row>
    <row r="134" spans="1:6" ht="24">
      <c r="A134" s="3225">
        <v>62</v>
      </c>
      <c r="B134" s="3225" t="s">
        <v>3155</v>
      </c>
      <c r="C134" s="3225" t="s">
        <v>3156</v>
      </c>
      <c r="D134" s="3205" t="s">
        <v>3157</v>
      </c>
      <c r="E134" s="3226">
        <v>0.1</v>
      </c>
      <c r="F134" s="3225">
        <v>15</v>
      </c>
    </row>
    <row r="135" spans="1:6" ht="24">
      <c r="A135" s="3225">
        <v>63</v>
      </c>
      <c r="B135" s="3555" t="s">
        <v>3158</v>
      </c>
      <c r="C135" s="3225" t="s">
        <v>3159</v>
      </c>
      <c r="D135" s="3205" t="s">
        <v>3160</v>
      </c>
      <c r="E135" s="3226">
        <v>0.1</v>
      </c>
      <c r="F135" s="3225">
        <v>15</v>
      </c>
    </row>
    <row r="136" spans="1:6" ht="13.5">
      <c r="A136" s="3225">
        <v>64</v>
      </c>
      <c r="B136" s="3555"/>
      <c r="C136" s="3225" t="s">
        <v>3161</v>
      </c>
      <c r="D136" s="3205" t="s">
        <v>3162</v>
      </c>
      <c r="E136" s="3226">
        <v>0.1</v>
      </c>
      <c r="F136" s="3225">
        <v>15</v>
      </c>
    </row>
    <row r="137" spans="1:6" ht="24">
      <c r="A137" s="3225">
        <v>65</v>
      </c>
      <c r="B137" s="3225" t="s">
        <v>3163</v>
      </c>
      <c r="C137" s="3225" t="s">
        <v>3164</v>
      </c>
      <c r="D137" s="3205" t="s">
        <v>3165</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1" t="s">
        <v>877</v>
      </c>
      <c r="C1" s="3561"/>
      <c r="D1" s="3561"/>
      <c r="E1" s="3561"/>
      <c r="F1" s="3561"/>
      <c r="G1" s="3557" t="s">
        <v>878</v>
      </c>
      <c r="H1" s="3557"/>
      <c r="I1" s="3557"/>
      <c r="J1" s="3557"/>
      <c r="K1" s="3557"/>
      <c r="L1" s="3557"/>
      <c r="N1" s="3557" t="s">
        <v>879</v>
      </c>
      <c r="O1" s="3557"/>
      <c r="P1" s="3557"/>
      <c r="Q1" s="3557"/>
      <c r="S1" s="3557" t="s">
        <v>880</v>
      </c>
      <c r="T1" s="3557"/>
      <c r="U1" s="3557"/>
      <c r="V1" s="3557"/>
      <c r="X1" s="3556" t="s">
        <v>881</v>
      </c>
      <c r="Y1" s="3557"/>
      <c r="Z1" s="3557"/>
      <c r="AA1" s="3557"/>
      <c r="AB1" s="3557"/>
      <c r="AD1" s="3556" t="s">
        <v>882</v>
      </c>
      <c r="AE1" s="3557"/>
      <c r="AF1" s="3557"/>
      <c r="AG1" s="3557"/>
      <c r="AH1" s="355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0" t="s">
        <v>2584</v>
      </c>
      <c r="D1" s="3571"/>
      <c r="E1" s="3571"/>
      <c r="F1" s="3571"/>
      <c r="G1" s="3571"/>
      <c r="H1" s="3571"/>
      <c r="I1" s="3571"/>
      <c r="J1" s="3571"/>
      <c r="K1" s="3571"/>
      <c r="L1" s="3571"/>
      <c r="M1" s="3571"/>
      <c r="N1" s="3571"/>
      <c r="O1" s="3571"/>
      <c r="P1" s="3571"/>
      <c r="Q1" s="3571"/>
      <c r="R1" s="3571"/>
      <c r="S1" s="357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7" t="s">
        <v>33</v>
      </c>
      <c r="D22" s="3568"/>
      <c r="E22" s="3568"/>
      <c r="F22" s="3568"/>
      <c r="G22" s="3568"/>
      <c r="H22" s="3568"/>
      <c r="I22" s="3568"/>
      <c r="J22" s="3568"/>
      <c r="K22" s="3568"/>
      <c r="L22" s="3568"/>
      <c r="M22" s="3568"/>
      <c r="N22" s="3568"/>
      <c r="O22" s="3568"/>
      <c r="P22" s="3568"/>
      <c r="Q22" s="356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33858</v>
      </c>
      <c r="C2" s="2" t="s">
        <v>133</v>
      </c>
      <c r="D2" s="205"/>
      <c r="E2" s="205"/>
      <c r="F2" s="205"/>
      <c r="G2" s="205"/>
    </row>
    <row r="3" spans="1:7" s="206" customFormat="1" ht="18" customHeight="1" thickBot="1">
      <c r="A3" s="209" t="s">
        <v>85</v>
      </c>
      <c r="B3" s="210">
        <f ca="1">ROUND(B2*10000/'数据-汇总表'!E3,0)</f>
        <v>34365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197</v>
      </c>
      <c r="D10" s="935">
        <f>'数据-汇总表'!E6</f>
        <v>9852.5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197</v>
      </c>
      <c r="D19" s="939">
        <f>'数据-汇总表'!E3</f>
        <v>9852.5</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1802</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17</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4245</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4245</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29581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5187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4775</v>
      </c>
      <c r="D34" s="223"/>
      <c r="E34" s="226"/>
      <c r="F34" s="263">
        <f>IF('数据-取费表'!B24=0,1,'数据-取费表'!N16)</f>
        <v>1</v>
      </c>
      <c r="G34" s="225" t="s">
        <v>116</v>
      </c>
    </row>
    <row r="35" spans="1:7" ht="13.5" customHeight="1">
      <c r="A35" s="869" t="s">
        <v>615</v>
      </c>
      <c r="B35" s="221" t="s">
        <v>60</v>
      </c>
      <c r="C35" s="226">
        <f>ROUND(C34*F35,0)</f>
        <v>143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197</v>
      </c>
      <c r="D37" s="223">
        <f>'数据-汇总表'!E3</f>
        <v>9852.5</v>
      </c>
      <c r="E37" s="255">
        <f>'数据-取费表'!B35</f>
        <v>200</v>
      </c>
      <c r="F37" s="265"/>
      <c r="G37" s="267" t="s">
        <v>119</v>
      </c>
    </row>
    <row r="38" spans="1:7" ht="13.5" customHeight="1">
      <c r="A38" s="869" t="s">
        <v>618</v>
      </c>
      <c r="B38" s="221" t="s">
        <v>63</v>
      </c>
      <c r="C38" s="226">
        <f>ROUND(C34*F38,0)</f>
        <v>72</v>
      </c>
      <c r="D38" s="226"/>
      <c r="E38" s="226"/>
      <c r="F38" s="265">
        <f>'数据-取费表'!B36</f>
        <v>1.4999999999999999E-2</v>
      </c>
      <c r="G38" s="225" t="s">
        <v>117</v>
      </c>
    </row>
    <row r="39" spans="1:7" s="220" customFormat="1" ht="13.5" customHeight="1">
      <c r="A39" s="866" t="s">
        <v>602</v>
      </c>
      <c r="B39" s="216" t="s">
        <v>104</v>
      </c>
      <c r="C39" s="238">
        <f>ROUND(C33*F20,0)</f>
        <v>104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218</v>
      </c>
      <c r="D42" s="244"/>
      <c r="E42" s="244"/>
      <c r="F42" s="245"/>
      <c r="G42" s="3419" t="s">
        <v>121</v>
      </c>
    </row>
    <row r="43" spans="1:7" ht="13.5" customHeight="1">
      <c r="A43" s="869" t="s">
        <v>611</v>
      </c>
      <c r="B43" s="221" t="s">
        <v>851</v>
      </c>
      <c r="C43" s="244">
        <f ca="1">ROUND(IF('数据-取费表'!B22&lt;=1,C39*F22*'数据-取费表'!B21/2,C39*(POWER((1+F22),'数据-取费表'!B21/2)-1)),0)</f>
        <v>4</v>
      </c>
      <c r="D43" s="244"/>
      <c r="E43" s="244"/>
      <c r="F43" s="245"/>
      <c r="G43" s="3420"/>
    </row>
    <row r="44" spans="1:7" ht="13.5" customHeight="1">
      <c r="A44" s="869" t="s">
        <v>612</v>
      </c>
      <c r="B44" s="221" t="s">
        <v>853</v>
      </c>
      <c r="C44" s="244">
        <f ca="1">ROUND(IF('数据-取费表'!B22&lt;=1,C40*F22*'数据-取费表'!B21/2,C40*(POWER((1+F22),'数据-取费表'!B21/2)-1)),4)</f>
        <v>8.0000000000000004E-4</v>
      </c>
      <c r="D44" s="244"/>
      <c r="E44" s="244"/>
      <c r="F44" s="245"/>
      <c r="G44" s="3421"/>
    </row>
    <row r="45" spans="1:7" s="220" customFormat="1" ht="13.5" customHeight="1">
      <c r="A45" s="866" t="s">
        <v>605</v>
      </c>
      <c r="B45" s="250" t="s">
        <v>112</v>
      </c>
      <c r="C45" s="251">
        <f>C46</f>
        <v>1058</v>
      </c>
      <c r="D45" s="241">
        <f>C47</f>
        <v>4.0000000000000001E-3</v>
      </c>
      <c r="E45" s="242" t="s">
        <v>129</v>
      </c>
      <c r="F45" s="252"/>
      <c r="G45" s="253" t="s">
        <v>859</v>
      </c>
    </row>
    <row r="46" spans="1:7" s="220" customFormat="1" ht="13.5" customHeight="1">
      <c r="A46" s="869" t="s">
        <v>613</v>
      </c>
      <c r="B46" s="254" t="s">
        <v>852</v>
      </c>
      <c r="C46" s="255">
        <f>ROUND((C33+C39)*F27,0)</f>
        <v>1058</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7128</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4277</v>
      </c>
      <c r="D51" s="238"/>
      <c r="E51" s="238"/>
      <c r="F51" s="270"/>
      <c r="G51" s="240" t="s">
        <v>64</v>
      </c>
    </row>
    <row r="52" spans="1:7" s="214" customFormat="1" ht="16.5" thickBot="1">
      <c r="A52" s="271" t="s">
        <v>65</v>
      </c>
      <c r="B52" s="272"/>
      <c r="C52" s="273">
        <f ca="1">C31+C51</f>
        <v>33858</v>
      </c>
      <c r="D52" s="272"/>
      <c r="E52" s="272"/>
      <c r="F52" s="272"/>
      <c r="G52" s="274"/>
    </row>
    <row r="55" spans="1:7" ht="15">
      <c r="B55" s="276" t="s">
        <v>66</v>
      </c>
      <c r="C55" s="277"/>
    </row>
    <row r="56" spans="1:7">
      <c r="B56" s="279" t="s">
        <v>67</v>
      </c>
      <c r="C56" s="280">
        <f ca="1">ROUND(C51/C52,3)</f>
        <v>0.126</v>
      </c>
    </row>
    <row r="57" spans="1:7">
      <c r="B57" s="279" t="s">
        <v>68</v>
      </c>
      <c r="C57" s="281">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3" t="s">
        <v>156</v>
      </c>
      <c r="B1" s="3573"/>
      <c r="C1" s="3573"/>
      <c r="D1" s="3573"/>
      <c r="E1" s="3573"/>
      <c r="F1" s="357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4" t="s">
        <v>169</v>
      </c>
      <c r="B2" s="3574"/>
      <c r="C2" s="3574"/>
      <c r="D2" s="3574"/>
      <c r="E2" s="3574"/>
      <c r="F2" s="357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3" t="s">
        <v>658</v>
      </c>
      <c r="B1" s="357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1365</v>
      </c>
      <c r="B2" s="3242" t="s">
        <v>1366</v>
      </c>
      <c r="C2" s="3242" t="s">
        <v>1367</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944" t="s">
        <v>1362</v>
      </c>
      <c r="E3" s="944" t="s">
        <v>1368</v>
      </c>
      <c r="F3" s="944" t="s">
        <v>1362</v>
      </c>
      <c r="G3" s="944" t="s">
        <v>1363</v>
      </c>
      <c r="H3" s="944" t="s">
        <v>1362</v>
      </c>
      <c r="I3" s="944" t="s">
        <v>1363</v>
      </c>
    </row>
    <row r="4" spans="1:9" ht="15">
      <c r="A4" s="1641" t="str">
        <f>项目基本情况!S2</f>
        <v>北京市房地产</v>
      </c>
      <c r="B4" s="944">
        <f>项目基本情况!C17</f>
        <v>9852.5</v>
      </c>
      <c r="C4" s="944">
        <f>项目基本情况!C18</f>
        <v>3500.6</v>
      </c>
      <c r="D4" s="944">
        <f ca="1">结果表!D118</f>
        <v>25509</v>
      </c>
      <c r="E4" s="944">
        <f ca="1">结果表!E118</f>
        <v>25890</v>
      </c>
      <c r="F4" s="944">
        <f ca="1">结果表!F118</f>
        <v>4644</v>
      </c>
      <c r="G4" s="944">
        <f ca="1">结果表!G118</f>
        <v>4714</v>
      </c>
      <c r="H4" s="944">
        <f ca="1">结果表!H118</f>
        <v>30153</v>
      </c>
      <c r="I4" s="944">
        <f ca="1">结果表!I118</f>
        <v>30604</v>
      </c>
    </row>
    <row r="5" spans="1:9" ht="30" customHeight="1">
      <c r="A5" s="3243" t="s">
        <v>1364</v>
      </c>
      <c r="B5" s="3243"/>
      <c r="C5" s="3243"/>
      <c r="D5" s="3244" t="str">
        <f ca="1">结果表!D119</f>
        <v>贰亿伍仟伍佰零玖万元整</v>
      </c>
      <c r="E5" s="3244"/>
      <c r="F5" s="3244" t="str">
        <f ca="1">结果表!F119</f>
        <v>肆仟陆佰肆拾肆万元整</v>
      </c>
      <c r="G5" s="3244"/>
      <c r="H5" s="3244" t="str">
        <f ca="1">结果表!H119</f>
        <v>叁亿零壹佰伍拾叁万元整</v>
      </c>
      <c r="I5" s="3244"/>
    </row>
    <row r="6" spans="1:9" ht="15.75">
      <c r="A6" s="3245" t="str">
        <f>结果表!A120</f>
        <v>估价师知悉的法定优先受偿款</v>
      </c>
      <c r="B6" s="3245"/>
      <c r="C6" s="3245"/>
      <c r="D6" s="3245">
        <f>结果表!D120</f>
        <v>0</v>
      </c>
      <c r="E6" s="3245"/>
      <c r="F6" s="3245"/>
      <c r="G6" s="3245"/>
      <c r="H6" s="3245"/>
      <c r="I6" s="3245"/>
    </row>
    <row r="7" spans="1:9" ht="15">
      <c r="A7" s="3243" t="s">
        <v>1364</v>
      </c>
      <c r="B7" s="3243"/>
      <c r="C7" s="3243"/>
      <c r="D7" s="3246" t="str">
        <f>结果表!D121</f>
        <v>零元整</v>
      </c>
      <c r="E7" s="3247"/>
      <c r="F7" s="3247"/>
      <c r="G7" s="3247"/>
      <c r="H7" s="3247"/>
      <c r="I7" s="3248"/>
    </row>
    <row r="8" spans="1:9" ht="15.75">
      <c r="A8" s="3245" t="str">
        <f>结果表!A122</f>
        <v>房地产抵押价值</v>
      </c>
      <c r="B8" s="3245"/>
      <c r="C8" s="3245"/>
      <c r="D8" s="3245">
        <f ca="1">结果表!D122</f>
        <v>30153</v>
      </c>
      <c r="E8" s="3245"/>
      <c r="F8" s="3245"/>
      <c r="G8" s="3245"/>
      <c r="H8" s="3245"/>
      <c r="I8" s="3245"/>
    </row>
    <row r="9" spans="1:9" ht="15">
      <c r="A9" s="3243" t="s">
        <v>1364</v>
      </c>
      <c r="B9" s="3243"/>
      <c r="C9" s="3243"/>
      <c r="D9" s="3244" t="str">
        <f ca="1">结果表!D123</f>
        <v>叁亿零壹佰伍拾叁万元整</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3" t="s">
        <v>1364</v>
      </c>
      <c r="B11" s="3243"/>
      <c r="C11" s="3243"/>
      <c r="D11" s="3244" t="e">
        <f>结果表!D125</f>
        <v>#VALUE!</v>
      </c>
      <c r="E11" s="3244"/>
      <c r="F11" s="3244"/>
      <c r="G11" s="3244"/>
      <c r="H11" s="3244"/>
      <c r="I11" s="3244"/>
    </row>
    <row r="12" spans="1:9" ht="15.75">
      <c r="A12" s="3245" t="str">
        <f>结果表!A126</f>
        <v>抵押净值</v>
      </c>
      <c r="B12" s="3245"/>
      <c r="C12" s="3245"/>
      <c r="D12" s="3245">
        <f ca="1">结果表!D126</f>
        <v>12784</v>
      </c>
      <c r="E12" s="3245"/>
      <c r="F12" s="3245"/>
      <c r="G12" s="3245"/>
      <c r="H12" s="3245"/>
      <c r="I12" s="3245"/>
    </row>
    <row r="13" spans="1:9" ht="15.75" thickBot="1">
      <c r="A13" s="3249" t="s">
        <v>1364</v>
      </c>
      <c r="B13" s="3249"/>
      <c r="C13" s="3249"/>
      <c r="D13" s="3250" t="str">
        <f ca="1">结果表!D127</f>
        <v>壹亿贰仟柒佰捌拾肆万元整</v>
      </c>
      <c r="E13" s="3250"/>
      <c r="F13" s="3250"/>
      <c r="G13" s="3250"/>
      <c r="H13" s="3250"/>
      <c r="I13" s="3250"/>
    </row>
    <row r="14" spans="1:9" ht="15" thickTop="1">
      <c r="A14" s="3251" t="s">
        <v>1369</v>
      </c>
      <c r="B14" s="3251"/>
      <c r="C14" s="3251"/>
      <c r="D14" s="3251"/>
      <c r="E14" s="3251"/>
      <c r="F14" s="3251"/>
      <c r="G14" s="3251"/>
      <c r="H14" s="3251"/>
      <c r="I14" s="325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44725</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2" t="s">
        <v>1386</v>
      </c>
      <c r="B1" s="3252"/>
      <c r="C1" s="3252"/>
      <c r="D1" s="3252"/>
    </row>
    <row r="2" spans="1:4" ht="18">
      <c r="A2" s="3253" t="s">
        <v>1370</v>
      </c>
      <c r="B2" s="3253"/>
      <c r="C2" s="3253"/>
      <c r="D2" s="3253"/>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3" t="s">
        <v>1376</v>
      </c>
      <c r="B6" s="3253"/>
      <c r="C6" s="3253"/>
      <c r="D6" s="325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4" t="s">
        <v>1379</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5" t="str">
        <f>IF(项目基本情况!B8="抵押","4.本次评估估价师所知悉的法定优先受偿款情况说明如下：","——")</f>
        <v>4.本次评估估价师所知悉的法定优先受偿款情况说明如下：</v>
      </c>
      <c r="B14" s="3256"/>
      <c r="C14" s="3256"/>
      <c r="D14" s="3256"/>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8" t="s">
        <v>1380</v>
      </c>
      <c r="B16" s="3258"/>
      <c r="C16" s="3258"/>
      <c r="D16" s="3258"/>
    </row>
    <row r="17" spans="1:4" ht="144" customHeight="1">
      <c r="A17" s="3258" t="s">
        <v>1381</v>
      </c>
      <c r="B17" s="3258"/>
      <c r="C17" s="3258"/>
      <c r="D17" s="3258"/>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1382</v>
      </c>
      <c r="B22" s="3260"/>
      <c r="C22" s="3260"/>
      <c r="D22" s="326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7">
        <v>42551</v>
      </c>
      <c r="D31" s="32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6" t="s">
        <v>1393</v>
      </c>
      <c r="B15" s="3261" t="s">
        <v>136</v>
      </c>
      <c r="C15" s="3262"/>
    </row>
    <row r="16" spans="1:7" ht="13.5">
      <c r="A16" s="3267"/>
      <c r="B16" s="3261" t="s">
        <v>69</v>
      </c>
      <c r="C16" s="3262"/>
    </row>
    <row r="17" spans="1:3" ht="13.5">
      <c r="A17" s="3267"/>
      <c r="B17" s="3264" t="s">
        <v>1394</v>
      </c>
      <c r="C17" s="1668" t="s">
        <v>1393</v>
      </c>
    </row>
    <row r="18" spans="1:3" ht="13.5">
      <c r="A18" s="3267"/>
      <c r="B18" s="3264"/>
      <c r="C18" s="1668" t="s">
        <v>1395</v>
      </c>
    </row>
    <row r="19" spans="1:3" ht="13.5">
      <c r="A19" s="3267"/>
      <c r="B19" s="3264"/>
      <c r="C19" s="1668" t="s">
        <v>1396</v>
      </c>
    </row>
    <row r="20" spans="1:3" ht="13.5">
      <c r="A20" s="3268"/>
      <c r="B20" s="3263" t="s">
        <v>1397</v>
      </c>
      <c r="C20" s="3262"/>
    </row>
    <row r="21" spans="1:3" ht="13.5">
      <c r="A21" s="1669" t="s">
        <v>1398</v>
      </c>
      <c r="B21" s="1670"/>
      <c r="C21" s="1671"/>
    </row>
    <row r="22" spans="1:3" ht="13.5">
      <c r="A22" s="3265" t="s">
        <v>1399</v>
      </c>
      <c r="B22" s="3263" t="s">
        <v>1400</v>
      </c>
      <c r="C22" s="3262"/>
    </row>
    <row r="23" spans="1:3" ht="13.5">
      <c r="A23" s="3265"/>
      <c r="B23" s="3263" t="s">
        <v>1401</v>
      </c>
      <c r="C23" s="3262"/>
    </row>
    <row r="24" spans="1:3" ht="13.5">
      <c r="A24" s="3265"/>
      <c r="B24" s="3263" t="s">
        <v>1402</v>
      </c>
      <c r="C24" s="3262"/>
    </row>
    <row r="25" spans="1:3" ht="13.5">
      <c r="A25" s="3265"/>
      <c r="B25" s="3264" t="s">
        <v>1403</v>
      </c>
      <c r="C25" s="1668" t="s">
        <v>1404</v>
      </c>
    </row>
    <row r="26" spans="1:3" ht="13.5">
      <c r="A26" s="3265"/>
      <c r="B26" s="3264"/>
      <c r="C26" s="1668" t="s">
        <v>1405</v>
      </c>
    </row>
    <row r="27" spans="1:3" ht="13.5">
      <c r="A27" s="3265"/>
      <c r="B27" s="3264"/>
      <c r="C27" s="1668" t="s">
        <v>1406</v>
      </c>
    </row>
    <row r="28" spans="1:3" ht="13.5">
      <c r="A28" s="3265"/>
      <c r="B28" s="3264"/>
      <c r="C28" s="1668" t="s">
        <v>1407</v>
      </c>
    </row>
    <row r="29" spans="1:3" ht="13.5">
      <c r="A29" s="3265"/>
      <c r="B29" s="3264"/>
      <c r="C29" s="1668" t="s">
        <v>1408</v>
      </c>
    </row>
    <row r="30" spans="1:3" ht="13.5">
      <c r="A30" s="3265"/>
      <c r="B30" s="3264"/>
      <c r="C30" s="1668" t="s">
        <v>1409</v>
      </c>
    </row>
    <row r="31" spans="1:3" ht="13.5">
      <c r="A31" s="3265"/>
      <c r="B31" s="3264"/>
      <c r="C31" s="1668" t="s">
        <v>1410</v>
      </c>
    </row>
    <row r="32" spans="1:3" ht="13.5">
      <c r="A32" s="3265"/>
      <c r="B32" s="3264"/>
      <c r="C32" s="1668" t="s">
        <v>1411</v>
      </c>
    </row>
    <row r="33" spans="1:3" ht="13.5">
      <c r="A33" s="3265"/>
      <c r="B33" s="326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44722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2934</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69" t="s">
        <v>2661</v>
      </c>
      <c r="B17" s="3269"/>
      <c r="C17" s="3269"/>
      <c r="D17" s="3269"/>
      <c r="E17" s="3269"/>
      <c r="F17" s="3269"/>
      <c r="G17" s="3269"/>
      <c r="H17" s="3269"/>
    </row>
    <row r="18" spans="1:8" ht="24" customHeight="1">
      <c r="A18" s="3270" t="s">
        <v>2662</v>
      </c>
      <c r="B18" s="3270"/>
      <c r="C18" s="3270"/>
      <c r="D18" s="2517"/>
      <c r="E18" s="3271" t="s">
        <v>2663</v>
      </c>
      <c r="F18" s="3270"/>
      <c r="G18" s="3270"/>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酒店经营收益说明表</vt:lpstr>
      <vt:lpstr>2017损益表</vt:lpstr>
      <vt:lpstr>2018年损益表</vt:lpstr>
      <vt:lpstr>2019年12月损益</vt:lpstr>
      <vt:lpstr>2020年损益</vt:lpstr>
      <vt:lpstr>2021年损益</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2022-06-10T10:00:07Z</dcterms:modified>
</cp:coreProperties>
</file>