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商业清单" sheetId="84" r:id="rId14"/>
    <sheet name="抵押物清单" sheetId="77" r:id="rId15"/>
    <sheet name="数据-汇总表" sheetId="6" r:id="rId16"/>
    <sheet name="数据-取费表" sheetId="1" r:id="rId17"/>
    <sheet name="估价对象房地状况" sheetId="20" state="hidden" r:id="rId18"/>
    <sheet name="天街租约台账" sheetId="85" r:id="rId19"/>
    <sheet name="系统读取表" sheetId="74" r:id="rId20"/>
    <sheet name="位置图" sheetId="89" r:id="rId21"/>
    <sheet name="结果表（四羊方尊）" sheetId="9" r:id="rId22"/>
    <sheet name="成本法（四羊方尊）" sheetId="68" r:id="rId23"/>
    <sheet name="成本法 (元)" sheetId="69" state="hidden" r:id="rId24"/>
    <sheet name="假设开发法" sheetId="12" state="hidden" r:id="rId25"/>
    <sheet name="收益法（四羊方尊）" sheetId="15" r:id="rId26"/>
    <sheet name="收益法 (元)" sheetId="67" state="hidden" r:id="rId27"/>
    <sheet name="办公租金" sheetId="86" r:id="rId28"/>
    <sheet name="结果表（天街）" sheetId="82" r:id="rId29"/>
    <sheet name="成本法（天街）" sheetId="80" r:id="rId30"/>
    <sheet name="收益法（天街）" sheetId="79" r:id="rId31"/>
    <sheet name="收益法（汇总）" sheetId="70"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商业租金" sheetId="88" r:id="rId40"/>
    <sheet name="土地比较法-住宅、综合" sheetId="39"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土地案例" sheetId="83" r:id="rId54"/>
    <sheet name="Sheet2" sheetId="78" r:id="rId55"/>
  </sheets>
  <externalReferences>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'收益法（四羊方尊）'!$A$1:$AK$69</definedName>
    <definedName name="_xlnm.Print_Area" localSheetId="30">'收益法（天街）'!$A$1:$AK$69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79" l="1"/>
  <c r="CD18" i="85"/>
  <c r="U7" i="1"/>
  <c r="I46" i="39"/>
  <c r="G46" i="39"/>
  <c r="E46" i="39"/>
  <c r="AD7" i="1"/>
  <c r="Y7" i="1"/>
  <c r="Y6" i="1"/>
  <c r="G17" i="74"/>
  <c r="D17" i="74"/>
  <c r="C17" i="74"/>
  <c r="B17" i="74"/>
  <c r="W22" i="1"/>
  <c r="X22" i="1"/>
  <c r="W24" i="1"/>
  <c r="W25" i="1"/>
  <c r="X25" i="1"/>
  <c r="W23" i="1"/>
  <c r="X23" i="1"/>
  <c r="CB20" i="85"/>
  <c r="H18" i="85"/>
  <c r="F6" i="79"/>
  <c r="F8" i="79"/>
  <c r="F9" i="79"/>
  <c r="C6" i="79"/>
  <c r="CC18" i="85"/>
  <c r="CB18" i="85"/>
  <c r="CB17" i="85"/>
  <c r="CB16" i="85"/>
  <c r="CB15" i="85"/>
  <c r="CB14" i="85"/>
  <c r="CB13" i="85"/>
  <c r="CB12" i="85"/>
  <c r="CB11" i="85"/>
  <c r="CB10" i="85"/>
  <c r="CB8" i="85"/>
  <c r="CB9" i="85"/>
  <c r="CB7" i="85"/>
  <c r="CB6" i="85"/>
  <c r="CB5" i="85"/>
  <c r="CB3" i="85"/>
  <c r="CB4" i="85"/>
  <c r="D3" i="4"/>
  <c r="M22" i="85"/>
  <c r="N22" i="85"/>
  <c r="O22" i="85"/>
  <c r="P22" i="85"/>
  <c r="Q22" i="85"/>
  <c r="Q24" i="85"/>
  <c r="P24" i="85"/>
  <c r="O24" i="85"/>
  <c r="N24" i="85"/>
  <c r="M24" i="85"/>
  <c r="L24" i="85"/>
  <c r="I15" i="4"/>
  <c r="AF7" i="1"/>
  <c r="O3" i="85"/>
  <c r="O4" i="85"/>
  <c r="O5" i="85"/>
  <c r="O6" i="85"/>
  <c r="O7" i="85"/>
  <c r="O8" i="85"/>
  <c r="O9" i="85"/>
  <c r="O10" i="85"/>
  <c r="O11" i="85"/>
  <c r="O12" i="85"/>
  <c r="O13" i="85"/>
  <c r="O14" i="85"/>
  <c r="O15" i="85"/>
  <c r="O16" i="85"/>
  <c r="O17" i="85"/>
  <c r="O19" i="85"/>
  <c r="V11" i="83"/>
  <c r="W11" i="83"/>
  <c r="V10" i="83"/>
  <c r="W10" i="83"/>
  <c r="V8" i="83"/>
  <c r="W8" i="83"/>
  <c r="V7" i="83"/>
  <c r="W7" i="83"/>
  <c r="V12" i="83"/>
  <c r="W12" i="83"/>
  <c r="V9" i="83"/>
  <c r="W9" i="83"/>
  <c r="V6" i="83"/>
  <c r="W6" i="83"/>
  <c r="E38" i="39"/>
  <c r="C38" i="39"/>
  <c r="F38" i="39"/>
  <c r="AA38"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1" i="43"/>
  <c r="B71" i="39"/>
  <c r="F7" i="39"/>
  <c r="AA7" i="39"/>
  <c r="D75" i="39"/>
  <c r="F9" i="39"/>
  <c r="AA9" i="39"/>
  <c r="D91" i="39"/>
  <c r="E91" i="39"/>
  <c r="F17" i="39"/>
  <c r="AA17" i="39"/>
  <c r="D93" i="39"/>
  <c r="E93" i="39"/>
  <c r="F19" i="39"/>
  <c r="AA19" i="39"/>
  <c r="D95" i="39"/>
  <c r="E95" i="39"/>
  <c r="F21" i="39"/>
  <c r="AA21" i="39"/>
  <c r="D97" i="39"/>
  <c r="E97" i="39"/>
  <c r="F23" i="39"/>
  <c r="AA23" i="39"/>
  <c r="D99" i="39"/>
  <c r="F25" i="39"/>
  <c r="AA25" i="39"/>
  <c r="D101" i="39"/>
  <c r="F27" i="39"/>
  <c r="AA27" i="39"/>
  <c r="D103" i="39"/>
  <c r="F29" i="39"/>
  <c r="AA29" i="39"/>
  <c r="G38" i="39"/>
  <c r="H38" i="39"/>
  <c r="AB38" i="39"/>
  <c r="G7" i="39"/>
  <c r="H7" i="39"/>
  <c r="AB7" i="39"/>
  <c r="H9" i="39"/>
  <c r="AB9" i="39"/>
  <c r="D23" i="77"/>
  <c r="D25" i="77"/>
  <c r="C11" i="39"/>
  <c r="H11" i="39"/>
  <c r="AB11" i="39"/>
  <c r="H17" i="39"/>
  <c r="AB17" i="39"/>
  <c r="H19" i="39"/>
  <c r="AB19" i="39"/>
  <c r="H21" i="39"/>
  <c r="AB21" i="39"/>
  <c r="H23" i="39"/>
  <c r="AB23" i="39"/>
  <c r="H25" i="39"/>
  <c r="AB25" i="39"/>
  <c r="H27" i="39"/>
  <c r="AB27" i="39"/>
  <c r="H29" i="39"/>
  <c r="AB29" i="39"/>
  <c r="I38" i="39"/>
  <c r="J38" i="39"/>
  <c r="AC38" i="39"/>
  <c r="I7" i="39"/>
  <c r="J7" i="39"/>
  <c r="AC7" i="39"/>
  <c r="J9" i="39"/>
  <c r="AC9" i="39"/>
  <c r="J17" i="39"/>
  <c r="AC17" i="39"/>
  <c r="J19" i="39"/>
  <c r="AC19" i="39"/>
  <c r="J21" i="39"/>
  <c r="AC21" i="39"/>
  <c r="J23" i="39"/>
  <c r="AC23" i="39"/>
  <c r="J25" i="39"/>
  <c r="AC25" i="39"/>
  <c r="J27" i="39"/>
  <c r="AC27" i="39"/>
  <c r="J29" i="39"/>
  <c r="AC29" i="39"/>
  <c r="G10" i="77"/>
  <c r="K13" i="3"/>
  <c r="F20" i="6"/>
  <c r="G4" i="77"/>
  <c r="I13" i="3"/>
  <c r="F19" i="6"/>
  <c r="L19" i="85"/>
  <c r="D12" i="84"/>
  <c r="I6" i="39"/>
  <c r="I5" i="39"/>
  <c r="G6" i="39"/>
  <c r="G5" i="39"/>
  <c r="E6" i="39"/>
  <c r="E5" i="39"/>
  <c r="E71" i="39"/>
  <c r="F71" i="39"/>
  <c r="G71" i="39"/>
  <c r="H71" i="39"/>
  <c r="I71" i="39"/>
  <c r="J71" i="39"/>
  <c r="K71" i="39"/>
  <c r="L71" i="39"/>
  <c r="M71" i="39"/>
  <c r="N71" i="39"/>
  <c r="O71" i="39"/>
  <c r="D71" i="39"/>
  <c r="A124" i="82"/>
  <c r="A120" i="82"/>
  <c r="A118" i="82"/>
  <c r="E111" i="82"/>
  <c r="A126" i="82"/>
  <c r="H109" i="82"/>
  <c r="D124" i="82"/>
  <c r="D125" i="82"/>
  <c r="E109" i="82"/>
  <c r="E107" i="82"/>
  <c r="A122" i="82"/>
  <c r="H106" i="82"/>
  <c r="H105" i="82"/>
  <c r="H104" i="82"/>
  <c r="H103" i="82"/>
  <c r="D120" i="82"/>
  <c r="D101" i="82"/>
  <c r="C101" i="82"/>
  <c r="D93" i="82"/>
  <c r="C91" i="82"/>
  <c r="E90" i="82"/>
  <c r="D89" i="82"/>
  <c r="C89" i="82"/>
  <c r="C87" i="82"/>
  <c r="D78" i="82"/>
  <c r="H77" i="82"/>
  <c r="D77" i="82"/>
  <c r="C42" i="1"/>
  <c r="C77" i="82"/>
  <c r="C76" i="82"/>
  <c r="C74" i="82"/>
  <c r="D68" i="82"/>
  <c r="F59" i="82"/>
  <c r="E59" i="82"/>
  <c r="D59" i="82"/>
  <c r="N56" i="82"/>
  <c r="M56" i="82"/>
  <c r="K56" i="82"/>
  <c r="J56" i="82"/>
  <c r="J55" i="82"/>
  <c r="J57" i="82"/>
  <c r="J59" i="82"/>
  <c r="J61" i="82"/>
  <c r="F56" i="82"/>
  <c r="O55" i="82"/>
  <c r="N55" i="82"/>
  <c r="M55" i="82"/>
  <c r="K55" i="82"/>
  <c r="I55" i="82"/>
  <c r="F55" i="82"/>
  <c r="O53" i="82"/>
  <c r="O54" i="82"/>
  <c r="N54" i="82"/>
  <c r="F54" i="82"/>
  <c r="N53" i="82"/>
  <c r="F53" i="82"/>
  <c r="F52" i="82"/>
  <c r="K49" i="82"/>
  <c r="F48" i="82"/>
  <c r="O52" i="82"/>
  <c r="E48" i="82"/>
  <c r="N52" i="82"/>
  <c r="D48" i="82"/>
  <c r="M52" i="82"/>
  <c r="M47" i="82"/>
  <c r="F33" i="82"/>
  <c r="D27" i="82"/>
  <c r="C25" i="82"/>
  <c r="C24" i="82"/>
  <c r="E20" i="6"/>
  <c r="E19" i="6"/>
  <c r="M18" i="82"/>
  <c r="B118" i="82"/>
  <c r="B15" i="74"/>
  <c r="D17" i="82"/>
  <c r="C17" i="82"/>
  <c r="C18" i="82"/>
  <c r="D18" i="82"/>
  <c r="L4" i="82"/>
  <c r="K4" i="82"/>
  <c r="A2" i="82"/>
  <c r="H1" i="82"/>
  <c r="B22" i="1"/>
  <c r="G41" i="80"/>
  <c r="F38" i="80"/>
  <c r="E37" i="80"/>
  <c r="F36" i="80"/>
  <c r="F35" i="80"/>
  <c r="B24" i="1"/>
  <c r="F34" i="80"/>
  <c r="F30" i="80"/>
  <c r="C48" i="80"/>
  <c r="G22" i="80"/>
  <c r="F21" i="80"/>
  <c r="C40" i="80"/>
  <c r="C21" i="80"/>
  <c r="F20" i="80"/>
  <c r="E19" i="80"/>
  <c r="E10" i="80"/>
  <c r="E9" i="80"/>
  <c r="F7" i="80"/>
  <c r="A6" i="1"/>
  <c r="A7" i="1"/>
  <c r="G1" i="80"/>
  <c r="Q72" i="79"/>
  <c r="Q59" i="79"/>
  <c r="K59" i="79"/>
  <c r="P74" i="79"/>
  <c r="F59" i="79"/>
  <c r="Q58" i="79"/>
  <c r="Q51" i="79"/>
  <c r="J50" i="79"/>
  <c r="M47" i="79"/>
  <c r="D46" i="79"/>
  <c r="F34" i="79"/>
  <c r="F62" i="79"/>
  <c r="F33" i="79"/>
  <c r="F61" i="79"/>
  <c r="F32" i="79"/>
  <c r="F60" i="79"/>
  <c r="F31" i="79"/>
  <c r="F28" i="79"/>
  <c r="C28" i="79"/>
  <c r="F23" i="79"/>
  <c r="D23" i="79"/>
  <c r="F21" i="79"/>
  <c r="M20" i="79"/>
  <c r="F20" i="79"/>
  <c r="M19" i="79"/>
  <c r="M18" i="79"/>
  <c r="F18" i="79"/>
  <c r="M17" i="79"/>
  <c r="F17" i="79"/>
  <c r="F15" i="79"/>
  <c r="G1" i="79"/>
  <c r="N7" i="1"/>
  <c r="N6" i="1"/>
  <c r="C92" i="82"/>
  <c r="C94" i="82"/>
  <c r="K120" i="82"/>
  <c r="D121" i="82"/>
  <c r="H112" i="82"/>
  <c r="H110" i="82"/>
  <c r="H111" i="82"/>
  <c r="D126" i="82"/>
  <c r="D127" i="82"/>
  <c r="C30" i="80"/>
  <c r="P61" i="79"/>
  <c r="D24" i="79"/>
  <c r="D22" i="79"/>
  <c r="J51" i="79"/>
  <c r="E13" i="4"/>
  <c r="B5" i="4"/>
  <c r="C11" i="4"/>
  <c r="B7" i="4"/>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B19" i="72"/>
  <c r="K59" i="67"/>
  <c r="P61" i="67"/>
  <c r="K59" i="15"/>
  <c r="P74" i="15"/>
  <c r="P74" i="67"/>
  <c r="D116" i="39"/>
  <c r="E116" i="39"/>
  <c r="F116" i="39"/>
  <c r="G116" i="39"/>
  <c r="H116" i="39"/>
  <c r="I116" i="39"/>
  <c r="J116" i="39"/>
  <c r="K116" i="39"/>
  <c r="L116" i="39"/>
  <c r="M116" i="39"/>
  <c r="C116" i="39"/>
  <c r="A21" i="62"/>
  <c r="A20" i="62"/>
  <c r="B66" i="72"/>
  <c r="A22" i="51"/>
  <c r="B17" i="72"/>
  <c r="A21" i="51"/>
  <c r="A20" i="51"/>
  <c r="A14" i="62"/>
  <c r="A13" i="62"/>
  <c r="B59" i="72"/>
  <c r="A19" i="62"/>
  <c r="A12" i="62"/>
  <c r="B58" i="72"/>
  <c r="A120" i="9"/>
  <c r="H2" i="52"/>
  <c r="A1" i="52"/>
  <c r="A3" i="53"/>
  <c r="Q13" i="71"/>
  <c r="P13" i="71"/>
  <c r="O13" i="71"/>
  <c r="N13"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10" i="72"/>
  <c r="C53" i="10"/>
  <c r="B51" i="10"/>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S1" i="4"/>
  <c r="A4" i="51"/>
  <c r="B6" i="72"/>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E15" i="4"/>
  <c r="F7" i="1"/>
  <c r="L48" i="79"/>
  <c r="J53" i="79"/>
  <c r="F1" i="79"/>
  <c r="AE7"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G9" i="1"/>
  <c r="F10" i="1"/>
  <c r="F11" i="1"/>
  <c r="G11" i="1"/>
  <c r="F12" i="1"/>
  <c r="F13" i="1"/>
  <c r="D6" i="1"/>
  <c r="D9" i="1"/>
  <c r="D10" i="1"/>
  <c r="D11" i="1"/>
  <c r="D12" i="1"/>
  <c r="G12" i="1"/>
  <c r="D13" i="1"/>
  <c r="D7" i="1"/>
  <c r="D8" i="1"/>
  <c r="B7" i="1"/>
  <c r="E7" i="1"/>
  <c r="A8" i="1"/>
  <c r="B8" i="1"/>
  <c r="E8" i="1"/>
  <c r="A9" i="1"/>
  <c r="A10" i="1"/>
  <c r="A11" i="1"/>
  <c r="A12" i="1"/>
  <c r="A13" i="1"/>
  <c r="F3" i="35"/>
  <c r="B11" i="1"/>
  <c r="E11" i="1"/>
  <c r="K10" i="1"/>
  <c r="M10" i="1"/>
  <c r="O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c r="A6" i="52"/>
  <c r="B57" i="72"/>
  <c r="K4" i="9"/>
  <c r="A24" i="51"/>
  <c r="B18" i="72"/>
  <c r="L22" i="4"/>
  <c r="L20" i="4"/>
  <c r="A15" i="62"/>
  <c r="B61" i="72"/>
  <c r="A5" i="62"/>
  <c r="B72" i="72"/>
  <c r="A4" i="62"/>
  <c r="B70" i="72"/>
  <c r="F33" i="9"/>
  <c r="B13" i="53"/>
  <c r="B29" i="72"/>
  <c r="R35" i="4"/>
  <c r="Q35" i="4"/>
  <c r="P35" i="4"/>
  <c r="O35" i="4"/>
  <c r="N35" i="4"/>
  <c r="M35" i="4"/>
  <c r="L35" i="4"/>
  <c r="K34" i="4"/>
  <c r="T34" i="4"/>
  <c r="H15" i="4"/>
  <c r="G15" i="4"/>
  <c r="D15" i="4"/>
  <c r="G7" i="1"/>
  <c r="L21" i="4"/>
  <c r="F19" i="4"/>
  <c r="F2" i="52"/>
  <c r="B50" i="72"/>
  <c r="D2" i="52"/>
  <c r="B46" i="72"/>
  <c r="B8" i="53"/>
  <c r="B23" i="72"/>
  <c r="L4" i="9"/>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3"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c r="O8" i="1"/>
  <c r="F23" i="15"/>
  <c r="D24" i="15"/>
  <c r="M13" i="1"/>
  <c r="O13" i="1"/>
  <c r="E22" i="6"/>
  <c r="E23" i="6"/>
  <c r="E24" i="6"/>
  <c r="E25" i="6"/>
  <c r="E26" i="6"/>
  <c r="BB13" i="3"/>
  <c r="BB5" i="3"/>
  <c r="BC13" i="3"/>
  <c r="BD13" i="3"/>
  <c r="BE13" i="3"/>
  <c r="BF13" i="3"/>
  <c r="BF5" i="3"/>
  <c r="BG13" i="3"/>
  <c r="BH13" i="3"/>
  <c r="BI13"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95"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c r="G3" i="4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U41" i="39"/>
  <c r="W27" i="39"/>
  <c r="AB34" i="39"/>
  <c r="U40" i="39"/>
  <c r="W14" i="39"/>
  <c r="W9" i="39"/>
  <c r="W8" i="39"/>
  <c r="J19" i="40"/>
  <c r="AC19" i="40"/>
  <c r="J50" i="40"/>
  <c r="H103" i="9"/>
  <c r="D8" i="53"/>
  <c r="B16" i="53"/>
  <c r="B33" i="72"/>
  <c r="C7" i="37"/>
  <c r="C7" i="34"/>
  <c r="C7" i="36"/>
  <c r="W35" i="40"/>
  <c r="A118" i="9"/>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F29" i="6"/>
  <c r="E29" i="6"/>
  <c r="K15" i="1"/>
  <c r="BH5" i="3"/>
  <c r="BD5" i="3"/>
  <c r="AZ309" i="3"/>
  <c r="AZ317" i="3"/>
  <c r="AZ325" i="3"/>
  <c r="AZ333" i="3"/>
  <c r="AZ341" i="3"/>
  <c r="BQ5" i="3"/>
  <c r="F28" i="6"/>
  <c r="AC5" i="3"/>
  <c r="AZ549" i="3"/>
  <c r="AZ506" i="3"/>
  <c r="AZ496" i="3"/>
  <c r="G548" i="3"/>
  <c r="G538" i="3"/>
  <c r="G520" i="3"/>
  <c r="G502" i="3"/>
  <c r="BS5" i="3"/>
  <c r="BP5" i="3"/>
  <c r="G29" i="6"/>
  <c r="BN5" i="3"/>
  <c r="AZ343" i="3"/>
  <c r="BK5" i="3"/>
  <c r="BI5" i="3"/>
  <c r="BG5" i="3"/>
  <c r="BE5" i="3"/>
  <c r="BC5" i="3"/>
  <c r="E8" i="6"/>
  <c r="E56" i="39"/>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O9" i="1"/>
  <c r="AE9" i="1"/>
  <c r="K6" i="1"/>
  <c r="M6" i="1"/>
  <c r="O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R10" i="1"/>
  <c r="B10" i="1"/>
  <c r="E10" i="1"/>
  <c r="D1" i="66"/>
  <c r="E10" i="66"/>
  <c r="AZ80" i="3"/>
  <c r="AZ84" i="3"/>
  <c r="AZ88" i="3"/>
  <c r="AZ107" i="3"/>
  <c r="AZ111" i="3"/>
  <c r="K12" i="1"/>
  <c r="M12" i="1"/>
  <c r="O12" i="1"/>
  <c r="S13" i="1"/>
  <c r="AR13" i="1"/>
  <c r="R13" i="1"/>
  <c r="S11" i="1"/>
  <c r="AQ11" i="1"/>
  <c r="R11" i="1"/>
  <c r="S9" i="1"/>
  <c r="T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BA13" i="3"/>
  <c r="BA5" i="3"/>
  <c r="E11" i="6"/>
  <c r="BL17" i="3"/>
  <c r="AZ17" i="3"/>
  <c r="BL13" i="3"/>
  <c r="G30" i="6"/>
  <c r="G31" i="6"/>
  <c r="J56" i="9"/>
  <c r="J57" i="9"/>
  <c r="J59" i="9"/>
  <c r="J61" i="9"/>
  <c r="U29" i="34"/>
  <c r="E5" i="6"/>
  <c r="D9" i="11"/>
  <c r="C9" i="11"/>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C7" i="21"/>
  <c r="C58" i="21"/>
  <c r="C7" i="40"/>
  <c r="C63" i="40"/>
  <c r="C65" i="40"/>
  <c r="M47" i="9"/>
  <c r="O19" i="43"/>
  <c r="C46" i="36"/>
  <c r="C59" i="34"/>
  <c r="D59" i="34"/>
  <c r="E59" i="34"/>
  <c r="C52" i="37"/>
  <c r="C48" i="35"/>
  <c r="C4" i="12"/>
  <c r="H66" i="43"/>
  <c r="H65" i="43"/>
  <c r="H64" i="43"/>
  <c r="H63" i="43"/>
  <c r="H55" i="43"/>
  <c r="H56" i="43"/>
  <c r="H72" i="43"/>
  <c r="L20" i="6"/>
  <c r="L27" i="6"/>
  <c r="B6" i="1"/>
  <c r="E6" i="1"/>
  <c r="S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U13" i="39"/>
  <c r="AB13" i="39"/>
  <c r="AA13" i="39"/>
  <c r="S13" i="39"/>
  <c r="S14" i="39"/>
  <c r="AA14" i="39"/>
  <c r="U43" i="39"/>
  <c r="AB43" i="39"/>
  <c r="U11" i="39"/>
  <c r="S27" i="39"/>
  <c r="W1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3" i="1"/>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E466" i="3"/>
  <c r="E433" i="3"/>
  <c r="E132" i="3"/>
  <c r="E292" i="3"/>
  <c r="E544" i="3"/>
  <c r="E446" i="3"/>
  <c r="E209" i="3"/>
  <c r="E48" i="3"/>
  <c r="E19" i="3"/>
  <c r="R22" i="31"/>
  <c r="B21" i="31"/>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c r="F34" i="68"/>
  <c r="R8" i="1"/>
  <c r="AE8" i="1"/>
  <c r="AG6" i="1"/>
  <c r="H109" i="9"/>
  <c r="D124" i="9"/>
  <c r="H110" i="9"/>
  <c r="D18" i="53"/>
  <c r="B35" i="72"/>
  <c r="D16" i="53"/>
  <c r="B34" i="72"/>
  <c r="H112" i="9"/>
  <c r="D21" i="53"/>
  <c r="B39" i="72"/>
  <c r="H111" i="9"/>
  <c r="D126" i="9"/>
  <c r="D19" i="53"/>
  <c r="B38" i="72"/>
  <c r="D59" i="9"/>
  <c r="M55" i="9"/>
  <c r="AD3" i="71"/>
  <c r="D63" i="40"/>
  <c r="D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Z5" i="71"/>
  <c r="Y6" i="71"/>
  <c r="Z6" i="71"/>
  <c r="AB7" i="71"/>
  <c r="AB6" i="71"/>
  <c r="B6" i="71"/>
  <c r="B5" i="71"/>
  <c r="S7" i="71"/>
  <c r="F8" i="71"/>
  <c r="F7" i="71"/>
  <c r="F6" i="71"/>
  <c r="F5" i="71"/>
  <c r="Y7" i="71"/>
  <c r="Z7" i="71"/>
  <c r="AB3" i="71"/>
  <c r="X3" i="71"/>
  <c r="C8" i="71"/>
  <c r="E8" i="71"/>
  <c r="E7" i="71"/>
  <c r="AF3" i="71"/>
  <c r="P24" i="43"/>
  <c r="B66" i="40"/>
  <c r="P22" i="43"/>
  <c r="G20" i="43"/>
  <c r="E63" i="40"/>
  <c r="E6" i="71"/>
  <c r="E5" i="71"/>
  <c r="V7" i="71"/>
  <c r="P23" i="43"/>
  <c r="C7" i="71"/>
  <c r="D8" i="71"/>
  <c r="P25" i="43"/>
  <c r="E41" i="43"/>
  <c r="C41" i="43"/>
  <c r="C6" i="71"/>
  <c r="C5" i="71"/>
  <c r="D5" i="71"/>
  <c r="T7" i="71"/>
  <c r="D6" i="71"/>
  <c r="D7" i="71"/>
  <c r="M20" i="43"/>
  <c r="C19" i="43"/>
  <c r="U7" i="71"/>
  <c r="F31" i="67"/>
  <c r="F31" i="15"/>
  <c r="AB41" i="39"/>
  <c r="AC41" i="39"/>
  <c r="AA41" i="39"/>
  <c r="AB39" i="39"/>
  <c r="U42" i="39"/>
  <c r="AA39" i="39"/>
  <c r="W42" i="39"/>
  <c r="S42" i="39"/>
  <c r="W39" i="39"/>
  <c r="O7" i="1"/>
  <c r="U38" i="39"/>
  <c r="S38" i="39"/>
  <c r="AC11" i="39"/>
  <c r="U9" i="39"/>
  <c r="C51" i="10"/>
  <c r="A13" i="51"/>
  <c r="B11" i="72"/>
  <c r="C19" i="80"/>
  <c r="P61" i="15"/>
  <c r="C94" i="9"/>
  <c r="C92" i="9"/>
  <c r="D93" i="9"/>
  <c r="F32" i="15"/>
  <c r="F60" i="15"/>
  <c r="F31" i="12"/>
  <c r="F54" i="9"/>
  <c r="M18" i="15"/>
  <c r="M18" i="67"/>
  <c r="F30" i="68"/>
  <c r="D68" i="9"/>
  <c r="F28" i="15"/>
  <c r="F30" i="69"/>
  <c r="C30" i="69"/>
  <c r="F32" i="67"/>
  <c r="F60" i="67"/>
  <c r="F52" i="9"/>
  <c r="F28" i="67"/>
  <c r="F30" i="11"/>
  <c r="D23" i="67"/>
  <c r="B13" i="49"/>
  <c r="C4" i="4"/>
  <c r="T11" i="1"/>
  <c r="E229" i="3"/>
  <c r="E77" i="3"/>
  <c r="E575" i="3"/>
  <c r="E442" i="3"/>
  <c r="E449" i="3"/>
  <c r="AE6" i="3"/>
  <c r="E429" i="3"/>
  <c r="E496" i="3"/>
  <c r="E55" i="3"/>
  <c r="E73"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373" i="3"/>
  <c r="E154" i="3"/>
  <c r="E341" i="3"/>
  <c r="E87" i="3"/>
  <c r="E584" i="3"/>
  <c r="E266" i="3"/>
  <c r="E195" i="3"/>
  <c r="E47" i="3"/>
  <c r="E540" i="3"/>
  <c r="E58" i="3"/>
  <c r="E375" i="3"/>
  <c r="E348" i="3"/>
  <c r="E297" i="3"/>
  <c r="E155" i="3"/>
  <c r="E131" i="3"/>
  <c r="E475" i="3"/>
  <c r="E537" i="3"/>
  <c r="E430" i="3"/>
  <c r="E286" i="3"/>
  <c r="E239" i="3"/>
  <c r="E83" i="3"/>
  <c r="E22"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41" i="3"/>
  <c r="E25" i="3"/>
  <c r="E104" i="3"/>
  <c r="E40" i="3"/>
  <c r="E26" i="3"/>
  <c r="E463" i="3"/>
  <c r="E420" i="3"/>
  <c r="E401" i="3"/>
  <c r="E470" i="3"/>
  <c r="E483" i="3"/>
  <c r="E452" i="3"/>
  <c r="E419" i="3"/>
  <c r="E494" i="3"/>
  <c r="E498" i="3"/>
  <c r="E13" i="3"/>
  <c r="J6" i="3"/>
  <c r="E497" i="3"/>
  <c r="E566" i="3"/>
  <c r="E374" i="3"/>
  <c r="E459" i="3"/>
  <c r="E416" i="3"/>
  <c r="E398" i="3"/>
  <c r="E487" i="3"/>
  <c r="E464" i="3"/>
  <c r="E421" i="3"/>
  <c r="E552" i="3"/>
  <c r="E542" i="3"/>
  <c r="AD6" i="3"/>
  <c r="E312" i="3"/>
  <c r="E141" i="3"/>
  <c r="E167" i="3"/>
  <c r="E212" i="3"/>
  <c r="E149" i="3"/>
  <c r="E156" i="3"/>
  <c r="E568" i="3"/>
  <c r="E516" i="3"/>
  <c r="E569" i="3"/>
  <c r="E536" i="3"/>
  <c r="E244" i="3"/>
  <c r="E228"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181" i="3"/>
  <c r="E188" i="3"/>
  <c r="E196" i="3"/>
  <c r="E368" i="3"/>
  <c r="E549" i="3"/>
  <c r="I6" i="3"/>
  <c r="E397" i="3"/>
  <c r="E151" i="3"/>
  <c r="E396" i="3"/>
  <c r="E509" i="3"/>
  <c r="E579" i="3"/>
  <c r="E431" i="3"/>
  <c r="E247" i="3"/>
  <c r="E201" i="3"/>
  <c r="E314" i="3"/>
  <c r="E511" i="3"/>
  <c r="E16" i="3"/>
  <c r="AK6" i="3"/>
  <c r="E434" i="3"/>
  <c r="E306" i="3"/>
  <c r="E296" i="3"/>
  <c r="E262" i="3"/>
  <c r="E136" i="3"/>
  <c r="E236" i="3"/>
  <c r="E148" i="3"/>
  <c r="E269" i="3"/>
  <c r="E122"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D19" i="12"/>
  <c r="C19" i="12"/>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54" i="3"/>
  <c r="E135" i="3"/>
  <c r="E91" i="3"/>
  <c r="E290" i="3"/>
  <c r="E221" i="3"/>
  <c r="E161" i="3"/>
  <c r="E180" i="3"/>
  <c r="E117" i="3"/>
  <c r="E15" i="6"/>
  <c r="E65" i="39"/>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6" i="1"/>
  <c r="B14" i="49"/>
  <c r="T35" i="4"/>
  <c r="A19" i="51"/>
  <c r="B14" i="72"/>
  <c r="E6" i="49"/>
  <c r="G6" i="1"/>
  <c r="G13" i="1"/>
  <c r="D20" i="53"/>
  <c r="B40" i="72"/>
  <c r="I14" i="74"/>
  <c r="B8" i="74"/>
  <c r="D127" i="9"/>
  <c r="D13" i="52"/>
  <c r="D12" i="52"/>
  <c r="H14" i="74"/>
  <c r="B7" i="74"/>
  <c r="D10" i="52"/>
  <c r="D125" i="9"/>
  <c r="D11" i="52"/>
  <c r="D17" i="53"/>
  <c r="B36" i="72"/>
  <c r="E9" i="49"/>
  <c r="B5" i="49"/>
  <c r="E16" i="49"/>
  <c r="A4" i="52"/>
  <c r="B41" i="72"/>
  <c r="D9" i="69"/>
  <c r="C9" i="69"/>
  <c r="O11" i="1"/>
  <c r="P11" i="1"/>
  <c r="P7" i="1"/>
  <c r="P13" i="1"/>
  <c r="H16" i="1"/>
  <c r="Q16" i="1"/>
  <c r="E61" i="39"/>
  <c r="E56" i="40"/>
  <c r="AZ13" i="3"/>
  <c r="AZ5" i="3"/>
  <c r="E3" i="6"/>
  <c r="P12" i="1"/>
  <c r="P9" i="1"/>
  <c r="F27" i="6"/>
  <c r="E27" i="6"/>
  <c r="E51" i="40"/>
  <c r="F30" i="6"/>
  <c r="E28" i="6"/>
  <c r="P8" i="1"/>
  <c r="AR9" i="1"/>
  <c r="AQ9" i="1"/>
  <c r="AQ10" i="1"/>
  <c r="AR10" i="1"/>
  <c r="E12" i="6"/>
  <c r="E57" i="40"/>
  <c r="E13" i="6"/>
  <c r="E63" i="39"/>
  <c r="E10" i="6"/>
  <c r="E14" i="6"/>
  <c r="E16" i="6"/>
  <c r="E64" i="39"/>
  <c r="P10" i="1"/>
  <c r="E13" i="49"/>
  <c r="E4" i="49"/>
  <c r="E5" i="49"/>
  <c r="B9" i="49"/>
  <c r="B6" i="49"/>
  <c r="E7" i="49"/>
  <c r="B22" i="49"/>
  <c r="E15" i="49"/>
  <c r="B16" i="49"/>
  <c r="B11" i="49"/>
  <c r="E21" i="49"/>
  <c r="B8" i="49"/>
  <c r="E8" i="49"/>
  <c r="B10" i="49"/>
  <c r="E11" i="49"/>
  <c r="E22" i="49"/>
  <c r="B4" i="49"/>
  <c r="E14" i="49"/>
  <c r="E10" i="49"/>
  <c r="B15" i="49"/>
  <c r="B7" i="49"/>
  <c r="E4" i="4"/>
  <c r="B5" i="62"/>
  <c r="B73" i="72"/>
  <c r="F59" i="34"/>
  <c r="G59" i="34"/>
  <c r="H59" i="34"/>
  <c r="I59" i="34"/>
  <c r="J59" i="34"/>
  <c r="K59" i="34"/>
  <c r="L59" i="34"/>
  <c r="M59" i="34"/>
  <c r="N59" i="34"/>
  <c r="O59" i="34"/>
  <c r="F7" i="34"/>
  <c r="H7" i="34"/>
  <c r="J7" i="34"/>
  <c r="D46" i="36"/>
  <c r="E46" i="36"/>
  <c r="F46" i="36"/>
  <c r="G46" i="36"/>
  <c r="H46" i="36"/>
  <c r="I46" i="36"/>
  <c r="J46" i="36"/>
  <c r="K46" i="36"/>
  <c r="L46" i="36"/>
  <c r="M46" i="36"/>
  <c r="N46" i="36"/>
  <c r="O46" i="36"/>
  <c r="H7" i="36"/>
  <c r="F7" i="36"/>
  <c r="F63" i="40"/>
  <c r="E65" i="40"/>
  <c r="J7" i="36"/>
  <c r="D58" i="21"/>
  <c r="E58" i="33"/>
  <c r="D48" i="35"/>
  <c r="D52" i="37"/>
  <c r="C31" i="12"/>
  <c r="C48" i="69"/>
  <c r="C28" i="15"/>
  <c r="C36" i="11"/>
  <c r="C13" i="12"/>
  <c r="C77" i="9"/>
  <c r="C74" i="9"/>
  <c r="C28" i="67"/>
  <c r="C24" i="12"/>
  <c r="K1" i="73"/>
  <c r="M17" i="15"/>
  <c r="M17" i="67"/>
  <c r="F59" i="15"/>
  <c r="F59" i="67"/>
  <c r="C48" i="68"/>
  <c r="C30" i="68"/>
  <c r="C48" i="11"/>
  <c r="C30" i="11"/>
  <c r="E59" i="40"/>
  <c r="E58" i="40"/>
  <c r="F31" i="6"/>
  <c r="F28" i="12"/>
  <c r="C29" i="12"/>
  <c r="D28" i="12"/>
  <c r="E62" i="39"/>
  <c r="E30" i="6"/>
  <c r="K14" i="1"/>
  <c r="M14" i="1"/>
  <c r="K21" i="6"/>
  <c r="M21" i="6"/>
  <c r="I21" i="6"/>
  <c r="AY6" i="3"/>
  <c r="AY67" i="3"/>
  <c r="E48" i="35"/>
  <c r="F58" i="33"/>
  <c r="E58" i="21"/>
  <c r="AB7" i="36"/>
  <c r="T36" i="36"/>
  <c r="G36" i="36"/>
  <c r="U7" i="36"/>
  <c r="AC7" i="34"/>
  <c r="V49" i="34"/>
  <c r="I49" i="34"/>
  <c r="W7" i="34"/>
  <c r="AA7" i="34"/>
  <c r="R49" i="34"/>
  <c r="S7" i="34"/>
  <c r="E52" i="37"/>
  <c r="W7" i="36"/>
  <c r="AC7" i="36"/>
  <c r="V36" i="36"/>
  <c r="I36" i="36"/>
  <c r="F65" i="40"/>
  <c r="G63" i="40"/>
  <c r="AA7" i="36"/>
  <c r="R36" i="36"/>
  <c r="S7" i="36"/>
  <c r="AB7" i="34"/>
  <c r="T49" i="34"/>
  <c r="G49" i="34"/>
  <c r="U7" i="34"/>
  <c r="AY196" i="3"/>
  <c r="AY74" i="3"/>
  <c r="AY204" i="3"/>
  <c r="AY363" i="3"/>
  <c r="AY23" i="3"/>
  <c r="AY58" i="3"/>
  <c r="AY460" i="3"/>
  <c r="AY300" i="3"/>
  <c r="AY327" i="3"/>
  <c r="AY401" i="3"/>
  <c r="BE6" i="3"/>
  <c r="AY76" i="3"/>
  <c r="AY185" i="3"/>
  <c r="AY125" i="3"/>
  <c r="AY231" i="3"/>
  <c r="AY214" i="3"/>
  <c r="AY381" i="3"/>
  <c r="AY554" i="3"/>
  <c r="AY104" i="3"/>
  <c r="AY24" i="3"/>
  <c r="AY177" i="3"/>
  <c r="AY290" i="3"/>
  <c r="AY210" i="3"/>
  <c r="AY349" i="3"/>
  <c r="AY332" i="3"/>
  <c r="AY488" i="3"/>
  <c r="AY446" i="3"/>
  <c r="AY427" i="3"/>
  <c r="BM6" i="3"/>
  <c r="BF6" i="3"/>
  <c r="AY510" i="3"/>
  <c r="AY584" i="3"/>
  <c r="AY87" i="3"/>
  <c r="AY144" i="3"/>
  <c r="AY152" i="3"/>
  <c r="AY253"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46"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6" i="1"/>
  <c r="D3" i="34"/>
  <c r="D3" i="33"/>
  <c r="E6" i="6"/>
  <c r="D10" i="69"/>
  <c r="C10" i="69"/>
  <c r="D37" i="11"/>
  <c r="C37" i="11"/>
  <c r="D14" i="12"/>
  <c r="D17" i="12"/>
  <c r="C17" i="12"/>
  <c r="M18" i="9"/>
  <c r="B118" i="9"/>
  <c r="B14" i="74"/>
  <c r="B1" i="74"/>
  <c r="C17" i="4"/>
  <c r="B4" i="52"/>
  <c r="B43" i="72"/>
  <c r="D3" i="21"/>
  <c r="D19" i="11"/>
  <c r="C19" i="11"/>
  <c r="D3" i="37"/>
  <c r="G53" i="34"/>
  <c r="H53" i="34"/>
  <c r="G54" i="34"/>
  <c r="H54" i="34"/>
  <c r="E36" i="36"/>
  <c r="R37" i="36"/>
  <c r="H63" i="40"/>
  <c r="G65" i="40"/>
  <c r="I40" i="36"/>
  <c r="J40" i="36"/>
  <c r="I41" i="36"/>
  <c r="J41" i="36"/>
  <c r="F52" i="37"/>
  <c r="E49" i="34"/>
  <c r="R50" i="34"/>
  <c r="I54" i="34"/>
  <c r="J54" i="34"/>
  <c r="I53" i="34"/>
  <c r="J53" i="34"/>
  <c r="G40" i="36"/>
  <c r="H40" i="36"/>
  <c r="G41" i="36"/>
  <c r="H41" i="36"/>
  <c r="F58" i="21"/>
  <c r="G58" i="33"/>
  <c r="F48" i="35"/>
  <c r="G48" i="35"/>
  <c r="H48" i="35"/>
  <c r="I48" i="35"/>
  <c r="J48" i="35"/>
  <c r="K48" i="35"/>
  <c r="L48" i="35"/>
  <c r="M48" i="35"/>
  <c r="N48" i="35"/>
  <c r="O48" i="35"/>
  <c r="F7" i="35"/>
  <c r="D20" i="12"/>
  <c r="C20" i="12"/>
  <c r="D19" i="6"/>
  <c r="D20" i="6"/>
  <c r="M19" i="9"/>
  <c r="C118" i="9"/>
  <c r="C14" i="74"/>
  <c r="D26" i="6"/>
  <c r="C18" i="4"/>
  <c r="A7" i="51"/>
  <c r="B7" i="72"/>
  <c r="D8" i="6"/>
  <c r="D23" i="6"/>
  <c r="D14" i="6"/>
  <c r="D5" i="6"/>
  <c r="D12" i="6"/>
  <c r="D11" i="6"/>
  <c r="D13" i="6"/>
  <c r="D28" i="6"/>
  <c r="E61" i="40"/>
  <c r="D25" i="6"/>
  <c r="D15" i="6"/>
  <c r="D22" i="6"/>
  <c r="D21" i="6"/>
  <c r="D24" i="6"/>
  <c r="D6" i="6"/>
  <c r="D9" i="6"/>
  <c r="D10" i="6"/>
  <c r="D29" i="6"/>
  <c r="C20" i="11"/>
  <c r="O14" i="1"/>
  <c r="O16" i="1"/>
  <c r="AA7" i="35"/>
  <c r="R38" i="35"/>
  <c r="S7" i="35"/>
  <c r="G58" i="21"/>
  <c r="C49" i="34"/>
  <c r="C50" i="34"/>
  <c r="C36" i="36"/>
  <c r="C37" i="36"/>
  <c r="J7" i="35"/>
  <c r="H58" i="33"/>
  <c r="E54" i="34"/>
  <c r="F54" i="34"/>
  <c r="E53" i="34"/>
  <c r="F53" i="34"/>
  <c r="G52" i="37"/>
  <c r="I63" i="40"/>
  <c r="H65" i="40"/>
  <c r="E40" i="36"/>
  <c r="F40" i="36"/>
  <c r="E41" i="36"/>
  <c r="F41" i="36"/>
  <c r="H7" i="35"/>
  <c r="P14" i="1"/>
  <c r="P16" i="1"/>
  <c r="C11" i="12"/>
  <c r="C15" i="12"/>
  <c r="D30" i="6"/>
  <c r="AB7" i="35"/>
  <c r="T38" i="35"/>
  <c r="G38" i="35"/>
  <c r="U7" i="35"/>
  <c r="I65" i="40"/>
  <c r="J63" i="40"/>
  <c r="H52" i="37"/>
  <c r="I52" i="37"/>
  <c r="J52" i="37"/>
  <c r="K52" i="37"/>
  <c r="L52" i="37"/>
  <c r="M52" i="37"/>
  <c r="N52" i="37"/>
  <c r="O52" i="37"/>
  <c r="F7" i="37"/>
  <c r="H7" i="37"/>
  <c r="I58" i="33"/>
  <c r="J58" i="33"/>
  <c r="K58" i="33"/>
  <c r="L58" i="33"/>
  <c r="M58" i="33"/>
  <c r="N58" i="33"/>
  <c r="O58" i="33"/>
  <c r="J7" i="33"/>
  <c r="AC7" i="35"/>
  <c r="V38" i="35"/>
  <c r="I38" i="35"/>
  <c r="W7" i="35"/>
  <c r="H58" i="21"/>
  <c r="R39" i="35"/>
  <c r="E38" i="35"/>
  <c r="J7" i="37"/>
  <c r="C19" i="68"/>
  <c r="AC7" i="37"/>
  <c r="V42" i="37"/>
  <c r="I42" i="37"/>
  <c r="W7" i="37"/>
  <c r="E43" i="35"/>
  <c r="F43" i="35"/>
  <c r="E42" i="35"/>
  <c r="F42" i="35"/>
  <c r="W7" i="33"/>
  <c r="AC7" i="33"/>
  <c r="V48" i="33"/>
  <c r="I48" i="33"/>
  <c r="S7" i="37"/>
  <c r="AA7" i="37"/>
  <c r="R42" i="37"/>
  <c r="J65" i="40"/>
  <c r="K63" i="40"/>
  <c r="F7" i="33"/>
  <c r="C39" i="35"/>
  <c r="C38" i="35"/>
  <c r="I58" i="21"/>
  <c r="I42" i="35"/>
  <c r="J42" i="35"/>
  <c r="I43" i="35"/>
  <c r="J43" i="35"/>
  <c r="H7" i="33"/>
  <c r="U7" i="37"/>
  <c r="AB7" i="37"/>
  <c r="T42" i="37"/>
  <c r="G42" i="37"/>
  <c r="G42" i="35"/>
  <c r="H42" i="35"/>
  <c r="G43" i="35"/>
  <c r="H43" i="35"/>
  <c r="S7" i="39"/>
  <c r="S7" i="33"/>
  <c r="AA7" i="33"/>
  <c r="R48" i="33"/>
  <c r="K65" i="40"/>
  <c r="L63" i="40"/>
  <c r="E42" i="37"/>
  <c r="R43" i="37"/>
  <c r="I52" i="33"/>
  <c r="J52" i="33"/>
  <c r="G46" i="37"/>
  <c r="H46" i="37"/>
  <c r="G47" i="37"/>
  <c r="H47" i="37"/>
  <c r="AB7" i="33"/>
  <c r="T48" i="33"/>
  <c r="G48" i="33"/>
  <c r="U7" i="33"/>
  <c r="J58" i="21"/>
  <c r="K58" i="21"/>
  <c r="L58" i="21"/>
  <c r="M58" i="21"/>
  <c r="N58" i="21"/>
  <c r="O58" i="21"/>
  <c r="H7" i="21"/>
  <c r="F7" i="21"/>
  <c r="J7" i="21"/>
  <c r="I46" i="37"/>
  <c r="J46" i="37"/>
  <c r="I47" i="37"/>
  <c r="J47" i="37"/>
  <c r="U7" i="21"/>
  <c r="AB7" i="21"/>
  <c r="T48" i="21"/>
  <c r="G48" i="21"/>
  <c r="U7" i="39"/>
  <c r="AA7" i="21"/>
  <c r="R48" i="21"/>
  <c r="S7" i="21"/>
  <c r="W7" i="39"/>
  <c r="E47" i="37"/>
  <c r="F47" i="37"/>
  <c r="E46" i="37"/>
  <c r="F46" i="37"/>
  <c r="AC7" i="21"/>
  <c r="V48" i="21"/>
  <c r="I48" i="21"/>
  <c r="W7" i="21"/>
  <c r="G52" i="33"/>
  <c r="H52" i="33"/>
  <c r="G53" i="33"/>
  <c r="H53" i="33"/>
  <c r="C42" i="37"/>
  <c r="C43" i="37"/>
  <c r="L65" i="40"/>
  <c r="M63" i="40"/>
  <c r="R49" i="33"/>
  <c r="E48" i="33"/>
  <c r="E52" i="33"/>
  <c r="F52" i="33"/>
  <c r="E53" i="33"/>
  <c r="F53" i="33"/>
  <c r="I53" i="33"/>
  <c r="J53" i="33"/>
  <c r="M65" i="40"/>
  <c r="N63" i="40"/>
  <c r="G52" i="21"/>
  <c r="H52" i="21"/>
  <c r="G53" i="21"/>
  <c r="H53" i="21"/>
  <c r="C49" i="33"/>
  <c r="C48" i="33"/>
  <c r="I52" i="21"/>
  <c r="J52" i="21"/>
  <c r="R49" i="21"/>
  <c r="E48" i="21"/>
  <c r="C49" i="21"/>
  <c r="C48" i="21"/>
  <c r="E53" i="21"/>
  <c r="F53" i="21"/>
  <c r="E52" i="21"/>
  <c r="F52" i="21"/>
  <c r="I53" i="21"/>
  <c r="J53" i="21"/>
  <c r="N65" i="40"/>
  <c r="O63" i="40"/>
  <c r="O65" i="40"/>
  <c r="F7" i="40"/>
  <c r="H7" i="40"/>
  <c r="J7" i="40"/>
  <c r="U7" i="40"/>
  <c r="AB7" i="40"/>
  <c r="T42" i="40"/>
  <c r="G42" i="40"/>
  <c r="G46" i="40"/>
  <c r="H46" i="40"/>
  <c r="AC7" i="40"/>
  <c r="V42" i="40"/>
  <c r="I42" i="40"/>
  <c r="W7" i="40"/>
  <c r="AA7" i="40"/>
  <c r="R42" i="40"/>
  <c r="R43" i="40"/>
  <c r="S7" i="40"/>
  <c r="E2" i="80"/>
  <c r="C36" i="80"/>
  <c r="C76" i="79"/>
  <c r="F27" i="80"/>
  <c r="M27" i="79"/>
  <c r="D2" i="21"/>
  <c r="AO13" i="1"/>
  <c r="AO11" i="1"/>
  <c r="D7" i="73"/>
  <c r="M27" i="67"/>
  <c r="C76" i="67"/>
  <c r="F13" i="67"/>
  <c r="M9" i="15"/>
  <c r="F5" i="73"/>
  <c r="E2" i="69"/>
  <c r="AO10" i="1"/>
  <c r="F36" i="15"/>
  <c r="M8" i="79"/>
  <c r="M24" i="79"/>
  <c r="F43" i="79"/>
  <c r="F26" i="79"/>
  <c r="M22" i="79"/>
  <c r="M26" i="79"/>
  <c r="F36" i="79"/>
  <c r="B11" i="76"/>
  <c r="E2" i="68"/>
  <c r="F4" i="73"/>
  <c r="M29" i="15"/>
  <c r="F43" i="15"/>
  <c r="E8" i="76"/>
  <c r="L47" i="67"/>
  <c r="C76" i="15"/>
  <c r="F26" i="15"/>
  <c r="M8" i="67"/>
  <c r="F6" i="67"/>
  <c r="E13" i="76"/>
  <c r="F26" i="67"/>
  <c r="F35" i="67"/>
  <c r="D2" i="37"/>
  <c r="M26" i="67"/>
  <c r="F7" i="73"/>
  <c r="F38" i="15"/>
  <c r="F27" i="68"/>
  <c r="M6" i="67"/>
  <c r="F13" i="15"/>
  <c r="E10" i="76"/>
  <c r="B10" i="76"/>
  <c r="F7" i="67"/>
  <c r="AO9" i="1"/>
  <c r="M6" i="79"/>
  <c r="D9" i="80"/>
  <c r="M22" i="15"/>
  <c r="M23" i="67"/>
  <c r="D6" i="73"/>
  <c r="D2" i="34"/>
  <c r="F42" i="15"/>
  <c r="M9" i="67"/>
  <c r="F9" i="15"/>
  <c r="F42" i="67"/>
  <c r="E9" i="76"/>
  <c r="E12" i="76"/>
  <c r="M26" i="15"/>
  <c r="B8" i="76"/>
  <c r="F37" i="15"/>
  <c r="M9" i="79"/>
  <c r="F42" i="79"/>
  <c r="M28" i="79"/>
  <c r="F37" i="79"/>
  <c r="F13" i="79"/>
  <c r="B7" i="76"/>
  <c r="L48" i="15"/>
  <c r="M24" i="67"/>
  <c r="J15" i="67"/>
  <c r="M24" i="15"/>
  <c r="F40" i="15"/>
  <c r="F9" i="67"/>
  <c r="D2" i="35"/>
  <c r="F41" i="67"/>
  <c r="M8" i="15"/>
  <c r="L48" i="67"/>
  <c r="M29" i="79"/>
  <c r="J15" i="79"/>
  <c r="L47" i="79"/>
  <c r="F38" i="79"/>
  <c r="M23" i="79"/>
  <c r="J15" i="15"/>
  <c r="F6" i="15"/>
  <c r="M6" i="15"/>
  <c r="AO12" i="1"/>
  <c r="F43" i="67"/>
  <c r="F3" i="73"/>
  <c r="F36" i="67"/>
  <c r="D3" i="73"/>
  <c r="F37" i="67"/>
  <c r="F40" i="67"/>
  <c r="B12" i="76"/>
  <c r="F16" i="67"/>
  <c r="F7" i="15"/>
  <c r="D5" i="73"/>
  <c r="M27" i="15"/>
  <c r="M21" i="67"/>
  <c r="F6" i="73"/>
  <c r="F38" i="67"/>
  <c r="D9" i="68"/>
  <c r="M22" i="67"/>
  <c r="D4" i="73"/>
  <c r="F16" i="15"/>
  <c r="M28" i="67"/>
  <c r="E7" i="76"/>
  <c r="C36" i="68"/>
  <c r="F16" i="79"/>
  <c r="M29" i="67"/>
  <c r="D2" i="36"/>
  <c r="B9" i="76"/>
  <c r="AO8" i="1"/>
  <c r="M28" i="15"/>
  <c r="F40" i="79"/>
  <c r="M23" i="15"/>
  <c r="D2" i="33"/>
  <c r="E11" i="76"/>
  <c r="F8" i="67"/>
  <c r="L47" i="15"/>
  <c r="F8" i="15"/>
  <c r="B13" i="76"/>
  <c r="F20" i="31"/>
  <c r="D27" i="6"/>
  <c r="D31" i="6"/>
  <c r="I6" i="6"/>
  <c r="A10" i="51"/>
  <c r="B9" i="72"/>
  <c r="C4" i="52"/>
  <c r="B45" i="72"/>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73" i="3"/>
  <c r="AY382" i="3"/>
  <c r="AY111" i="3"/>
  <c r="AY95" i="3"/>
  <c r="AY34" i="3"/>
  <c r="AY514" i="3"/>
  <c r="AY16" i="3"/>
  <c r="AY546" i="3"/>
  <c r="AY561" i="3"/>
  <c r="AY581" i="3"/>
  <c r="AY414" i="3"/>
  <c r="AY457" i="3"/>
  <c r="AY491" i="3"/>
  <c r="AY317" i="3"/>
  <c r="AY377" i="3"/>
  <c r="AY274" i="3"/>
  <c r="AY114" i="3"/>
  <c r="AY197" i="3"/>
  <c r="AY41" i="3"/>
  <c r="BJ6" i="3"/>
  <c r="AY357" i="3"/>
  <c r="AY392" i="3"/>
  <c r="AY246" i="3"/>
  <c r="AY278" i="3"/>
  <c r="AY165" i="3"/>
  <c r="AY33" i="3"/>
  <c r="AY92" i="3"/>
  <c r="AY544" i="3"/>
  <c r="AY463" i="3"/>
  <c r="AY217" i="3"/>
  <c r="AY529" i="3"/>
  <c r="AY371" i="3"/>
  <c r="AY59" i="3"/>
  <c r="AY489" i="3"/>
  <c r="AY252" i="3"/>
  <c r="AY123" i="3"/>
  <c r="AY139" i="3"/>
  <c r="AY103" i="3"/>
  <c r="AY50" i="3"/>
  <c r="AY160" i="3"/>
  <c r="AY289" i="3"/>
  <c r="AY183" i="3"/>
  <c r="AY261" i="3"/>
  <c r="AY284" i="3"/>
  <c r="AY209" i="3"/>
  <c r="AY319" i="3"/>
  <c r="AY83" i="3"/>
  <c r="AY155" i="3"/>
  <c r="AY131" i="3"/>
  <c r="AY268" i="3"/>
  <c r="AY318" i="3"/>
  <c r="AY441" i="3"/>
  <c r="AY26" i="3"/>
  <c r="AY260" i="3"/>
  <c r="AY372" i="3"/>
  <c r="AY310" i="3"/>
  <c r="AY420" i="3"/>
  <c r="AY549" i="3"/>
  <c r="AY533" i="3"/>
  <c r="AY97" i="3"/>
  <c r="AY61" i="3"/>
  <c r="AY44" i="3"/>
  <c r="AY190" i="3"/>
  <c r="AY154" i="3"/>
  <c r="AY133" i="3"/>
  <c r="AY28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51" i="3"/>
  <c r="AY207" i="3"/>
  <c r="AY124" i="3"/>
  <c r="AY42" i="3"/>
  <c r="AY281" i="3"/>
  <c r="AY168" i="3"/>
  <c r="AY236" i="3"/>
  <c r="AY366" i="3"/>
  <c r="E31" i="6"/>
  <c r="I5" i="6"/>
  <c r="K19" i="6"/>
  <c r="K23" i="6"/>
  <c r="M23" i="6"/>
  <c r="I23" i="6"/>
  <c r="F27" i="69"/>
  <c r="C29" i="69"/>
  <c r="D27" i="69"/>
  <c r="F27" i="11"/>
  <c r="E60" i="40"/>
  <c r="C36" i="69"/>
  <c r="AY98" i="3"/>
  <c r="AY82" i="3"/>
  <c r="AY18" i="3"/>
  <c r="AY191" i="3"/>
  <c r="AY171" i="3"/>
  <c r="AY132" i="3"/>
  <c r="AY90" i="3"/>
  <c r="AY31" i="3"/>
  <c r="AY163" i="3"/>
  <c r="AY292" i="3"/>
  <c r="AY75" i="3"/>
  <c r="AY147" i="3"/>
  <c r="AY237" i="3"/>
  <c r="AY220" i="3"/>
  <c r="AY387" i="3"/>
  <c r="AY350" i="3"/>
  <c r="AY334" i="3"/>
  <c r="AY486"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M19" i="82"/>
  <c r="C118" i="82"/>
  <c r="C15" i="74"/>
  <c r="B2" i="74"/>
  <c r="K24" i="6"/>
  <c r="M24" i="6"/>
  <c r="I24" i="6"/>
  <c r="K26" i="6"/>
  <c r="M26" i="6"/>
  <c r="K20" i="6"/>
  <c r="K25" i="6"/>
  <c r="M25" i="6"/>
  <c r="I25" i="6"/>
  <c r="K22" i="6"/>
  <c r="M22" i="6"/>
  <c r="I22" i="6"/>
  <c r="AR8" i="1"/>
  <c r="T8" i="1"/>
  <c r="E499" i="3"/>
  <c r="E255" i="3"/>
  <c r="E450" i="3"/>
  <c r="E72" i="3"/>
  <c r="E152" i="3"/>
  <c r="E192" i="3"/>
  <c r="E241" i="3"/>
  <c r="E363" i="3"/>
  <c r="E389" i="3"/>
  <c r="E76" i="3"/>
  <c r="E462" i="3"/>
  <c r="E98" i="3"/>
  <c r="E163" i="3"/>
  <c r="E307" i="3"/>
  <c r="E66" i="3"/>
  <c r="E127" i="3"/>
  <c r="Y6" i="3"/>
  <c r="H6" i="3"/>
  <c r="E179" i="3"/>
  <c r="E82" i="3"/>
  <c r="E157" i="3"/>
  <c r="E199" i="3"/>
  <c r="R6" i="3"/>
  <c r="E541" i="3"/>
  <c r="I3" i="6"/>
  <c r="E577" i="3"/>
  <c r="E468" i="3"/>
  <c r="E454" i="3"/>
  <c r="E106"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222" i="3"/>
  <c r="E51" i="3"/>
  <c r="E250" i="3"/>
  <c r="E24" i="3"/>
  <c r="E386" i="3"/>
  <c r="E248" i="3"/>
  <c r="E65" i="3"/>
  <c r="E521" i="3"/>
  <c r="E110" i="3"/>
  <c r="E504" i="3"/>
  <c r="E378" i="3"/>
  <c r="E259" i="3"/>
  <c r="E240" i="3"/>
  <c r="E187" i="3"/>
  <c r="E54" i="3"/>
  <c r="E471" i="3"/>
  <c r="AP6" i="3"/>
  <c r="AC6" i="3"/>
  <c r="E502" i="3"/>
  <c r="E453" i="3"/>
  <c r="E101" i="3"/>
  <c r="E524" i="3"/>
  <c r="E66" i="39"/>
  <c r="E323" i="3"/>
  <c r="E284" i="3"/>
  <c r="E354" i="3"/>
  <c r="E138" i="3"/>
  <c r="E59" i="3"/>
  <c r="E349" i="3"/>
  <c r="E258" i="3"/>
  <c r="E95" i="3"/>
  <c r="E571" i="3"/>
  <c r="E253" i="3"/>
  <c r="AR11" i="1"/>
  <c r="C14" i="12"/>
  <c r="M16" i="1"/>
  <c r="N16" i="1"/>
  <c r="E42" i="40"/>
  <c r="D10" i="11"/>
  <c r="C10" i="11"/>
  <c r="C34" i="69"/>
  <c r="C38" i="69"/>
  <c r="M19" i="6"/>
  <c r="I19" i="6"/>
  <c r="D16" i="6"/>
  <c r="C43" i="40"/>
  <c r="C42" i="40"/>
  <c r="I47" i="40"/>
  <c r="J47" i="40"/>
  <c r="G47" i="40"/>
  <c r="H47" i="40"/>
  <c r="I46" i="40"/>
  <c r="J46" i="40"/>
  <c r="S22" i="6"/>
  <c r="H22" i="6"/>
  <c r="R22" i="6"/>
  <c r="S23" i="6"/>
  <c r="H23" i="6"/>
  <c r="R23" i="6"/>
  <c r="S25" i="6"/>
  <c r="H25" i="6"/>
  <c r="R25" i="6"/>
  <c r="S21" i="6"/>
  <c r="H21" i="6"/>
  <c r="R21" i="6"/>
  <c r="I26" i="6"/>
  <c r="S24" i="6"/>
  <c r="H24" i="6"/>
  <c r="R24" i="6"/>
  <c r="H22" i="43"/>
  <c r="S4" i="43"/>
  <c r="H101" i="43"/>
  <c r="AF11" i="43"/>
  <c r="AF13" i="43"/>
  <c r="AE11" i="43"/>
  <c r="AE13" i="43"/>
  <c r="S6" i="43"/>
  <c r="AA11" i="43"/>
  <c r="AA13" i="43"/>
  <c r="AI11" i="43"/>
  <c r="AI13" i="43"/>
  <c r="AB11" i="43"/>
  <c r="AB13" i="43"/>
  <c r="AJ11" i="43"/>
  <c r="AJ13" i="43"/>
  <c r="E101" i="43"/>
  <c r="K101" i="43"/>
  <c r="N101" i="43"/>
  <c r="G101" i="43"/>
  <c r="B113" i="43"/>
  <c r="C101" i="43"/>
  <c r="L101" i="43"/>
  <c r="I101" i="43"/>
  <c r="AG11" i="43"/>
  <c r="AG13" i="43"/>
  <c r="AC11" i="43"/>
  <c r="AC13" i="43"/>
  <c r="Y11" i="43"/>
  <c r="Y13" i="43"/>
  <c r="C23" i="43"/>
  <c r="C21" i="43"/>
  <c r="S3" i="43"/>
  <c r="Z7" i="43"/>
  <c r="M101" i="43"/>
  <c r="S7" i="43"/>
  <c r="S2" i="43"/>
  <c r="F22" i="43"/>
  <c r="J101" i="43"/>
  <c r="F101" i="43"/>
  <c r="E22" i="43"/>
  <c r="N104" i="46"/>
  <c r="D101" i="43"/>
  <c r="G22" i="43"/>
  <c r="AH11" i="43"/>
  <c r="AH13" i="43"/>
  <c r="AD11" i="43"/>
  <c r="AD13" i="43"/>
  <c r="Z11" i="43"/>
  <c r="Z13" i="43"/>
  <c r="S5" i="43"/>
  <c r="J22" i="43"/>
  <c r="AQ8" i="1"/>
  <c r="C35" i="69"/>
  <c r="G17" i="43"/>
  <c r="C16" i="43"/>
  <c r="D5" i="43"/>
  <c r="C12" i="12"/>
  <c r="C16" i="12"/>
  <c r="C47" i="69"/>
  <c r="D45" i="69"/>
  <c r="C7" i="74"/>
  <c r="C8" i="74"/>
  <c r="C5" i="43"/>
  <c r="C18" i="12"/>
  <c r="C8" i="69"/>
  <c r="C5" i="69"/>
  <c r="B4" i="62"/>
  <c r="B71" i="72"/>
  <c r="K4" i="4"/>
  <c r="B46" i="48"/>
  <c r="B4" i="72"/>
  <c r="D19" i="69"/>
  <c r="B9" i="70"/>
  <c r="F64" i="15"/>
  <c r="F65" i="15"/>
  <c r="M7" i="67"/>
  <c r="J6" i="67"/>
  <c r="F50" i="67"/>
  <c r="J53" i="67"/>
  <c r="I54" i="67"/>
  <c r="J57" i="67"/>
  <c r="J55" i="67"/>
  <c r="J58" i="67"/>
  <c r="Q50" i="67"/>
  <c r="L56" i="67"/>
  <c r="B10" i="70"/>
  <c r="B20" i="31"/>
  <c r="E20" i="43"/>
  <c r="F69" i="67"/>
  <c r="F51" i="15"/>
  <c r="C29" i="68"/>
  <c r="D27" i="68"/>
  <c r="C47" i="68"/>
  <c r="D45" i="68"/>
  <c r="C9" i="68"/>
  <c r="F66" i="15"/>
  <c r="F66" i="67"/>
  <c r="B8" i="70"/>
  <c r="B2" i="35"/>
  <c r="B3" i="35"/>
  <c r="N59" i="15"/>
  <c r="L58" i="15"/>
  <c r="L59" i="15"/>
  <c r="M59" i="15"/>
  <c r="J20" i="67"/>
  <c r="B2" i="37"/>
  <c r="B3" i="37"/>
  <c r="F70" i="67"/>
  <c r="C34" i="67"/>
  <c r="F63" i="67"/>
  <c r="C62" i="67"/>
  <c r="C27" i="67"/>
  <c r="F50" i="15"/>
  <c r="M7" i="15"/>
  <c r="J6" i="15"/>
  <c r="F68" i="15"/>
  <c r="F51" i="67"/>
  <c r="Q71" i="67"/>
  <c r="C6" i="67"/>
  <c r="F68" i="67"/>
  <c r="C27" i="15"/>
  <c r="F65" i="67"/>
  <c r="Q71" i="15"/>
  <c r="M59" i="67"/>
  <c r="L59" i="67"/>
  <c r="N59" i="67"/>
  <c r="L58" i="67"/>
  <c r="F64" i="67"/>
  <c r="B2" i="34"/>
  <c r="B3" i="34"/>
  <c r="B11" i="70"/>
  <c r="B2" i="36"/>
  <c r="B3" i="36"/>
  <c r="F71" i="15"/>
  <c r="J53" i="15"/>
  <c r="J57" i="15"/>
  <c r="J55" i="15"/>
  <c r="J58" i="15"/>
  <c r="Q50" i="15"/>
  <c r="I54" i="15"/>
  <c r="L56" i="15"/>
  <c r="S6" i="1"/>
  <c r="T6" i="1"/>
  <c r="C14" i="15"/>
  <c r="C15" i="15"/>
  <c r="C16" i="15"/>
  <c r="C17" i="15"/>
  <c r="C18" i="15"/>
  <c r="C19" i="15"/>
  <c r="C20" i="15"/>
  <c r="G1" i="73"/>
  <c r="B40" i="1"/>
  <c r="F24" i="15"/>
  <c r="C23" i="15"/>
  <c r="C26" i="15"/>
  <c r="C24" i="15"/>
  <c r="C29" i="15"/>
  <c r="J59" i="15"/>
  <c r="J60" i="15"/>
  <c r="Q48" i="15"/>
  <c r="L60" i="15"/>
  <c r="L57" i="15"/>
  <c r="F71" i="67"/>
  <c r="B13" i="70"/>
  <c r="B12" i="70"/>
  <c r="B2" i="33"/>
  <c r="B3" i="33"/>
  <c r="I1" i="73"/>
  <c r="B39" i="1"/>
  <c r="C6" i="15"/>
  <c r="B2" i="21"/>
  <c r="B3" i="21"/>
  <c r="C9" i="80"/>
  <c r="F64" i="79"/>
  <c r="F66" i="79"/>
  <c r="F65" i="79"/>
  <c r="F68" i="79"/>
  <c r="L59" i="79"/>
  <c r="M59" i="79"/>
  <c r="N59" i="79"/>
  <c r="L58" i="79"/>
  <c r="C47" i="80"/>
  <c r="D45" i="80"/>
  <c r="C29" i="80"/>
  <c r="D27" i="80"/>
  <c r="C27" i="79"/>
  <c r="F50" i="79"/>
  <c r="M7" i="79"/>
  <c r="J6" i="79"/>
  <c r="F51" i="79"/>
  <c r="C49" i="79"/>
  <c r="F71" i="79"/>
  <c r="Q71" i="79"/>
  <c r="L56" i="79"/>
  <c r="I54" i="79"/>
  <c r="J57" i="79"/>
  <c r="J55" i="79"/>
  <c r="J58" i="79"/>
  <c r="Q50" i="79"/>
  <c r="J60" i="79"/>
  <c r="Q48" i="79"/>
  <c r="L60" i="79"/>
  <c r="J59" i="79"/>
  <c r="L57" i="79"/>
  <c r="C14" i="67"/>
  <c r="C16" i="67"/>
  <c r="C17" i="67"/>
  <c r="C16" i="79"/>
  <c r="D7" i="74"/>
  <c r="D8" i="74"/>
  <c r="K27" i="6"/>
  <c r="C29" i="11"/>
  <c r="D27" i="11"/>
  <c r="C47" i="11"/>
  <c r="D45" i="11"/>
  <c r="C28" i="11"/>
  <c r="C27" i="11"/>
  <c r="M20" i="6"/>
  <c r="S7" i="1"/>
  <c r="E6" i="3"/>
  <c r="F50" i="80"/>
  <c r="F50" i="69"/>
  <c r="F50" i="68"/>
  <c r="F50" i="11"/>
  <c r="S19" i="6"/>
  <c r="H19" i="6"/>
  <c r="I20" i="6"/>
  <c r="L18" i="9"/>
  <c r="E47" i="40"/>
  <c r="F47" i="40"/>
  <c r="E46" i="40"/>
  <c r="F46" i="40"/>
  <c r="C34" i="11"/>
  <c r="L16" i="1"/>
  <c r="F102" i="43"/>
  <c r="F104" i="43"/>
  <c r="F107" i="43"/>
  <c r="F106" i="43"/>
  <c r="F105" i="43"/>
  <c r="F103" i="43"/>
  <c r="F109" i="43"/>
  <c r="I104" i="43"/>
  <c r="I105" i="43"/>
  <c r="I106" i="43"/>
  <c r="I107" i="43"/>
  <c r="I103" i="43"/>
  <c r="I109" i="43"/>
  <c r="I102" i="43"/>
  <c r="C106" i="43"/>
  <c r="C103" i="43"/>
  <c r="C109" i="43"/>
  <c r="C104" i="43"/>
  <c r="C102" i="43"/>
  <c r="C107" i="43"/>
  <c r="C105" i="43"/>
  <c r="G105" i="43"/>
  <c r="G103" i="43"/>
  <c r="G104" i="43"/>
  <c r="G107" i="43"/>
  <c r="G102" i="43"/>
  <c r="G106" i="43"/>
  <c r="G109" i="43"/>
  <c r="K105" i="43"/>
  <c r="K102" i="43"/>
  <c r="K103" i="43"/>
  <c r="K107" i="43"/>
  <c r="K109" i="43"/>
  <c r="K104" i="43"/>
  <c r="K106" i="43"/>
  <c r="B52" i="40"/>
  <c r="F52" i="40"/>
  <c r="B55" i="40"/>
  <c r="F55" i="40"/>
  <c r="B57" i="40"/>
  <c r="F57" i="40"/>
  <c r="B56" i="40"/>
  <c r="F56" i="40"/>
  <c r="B53" i="40"/>
  <c r="F53" i="40"/>
  <c r="B58" i="40"/>
  <c r="F58" i="40"/>
  <c r="B51" i="40"/>
  <c r="F51" i="40"/>
  <c r="B60" i="40"/>
  <c r="F60" i="40"/>
  <c r="B59" i="40"/>
  <c r="F59" i="40"/>
  <c r="B54" i="40"/>
  <c r="F54" i="40"/>
  <c r="F61" i="40"/>
  <c r="B2" i="40"/>
  <c r="B3" i="40"/>
  <c r="D105" i="43"/>
  <c r="D102" i="43"/>
  <c r="D104" i="43"/>
  <c r="D109" i="43"/>
  <c r="D103" i="43"/>
  <c r="D106" i="43"/>
  <c r="D107" i="43"/>
  <c r="D22" i="43"/>
  <c r="J105" i="43"/>
  <c r="J109" i="43"/>
  <c r="J102" i="43"/>
  <c r="J103" i="43"/>
  <c r="J106" i="43"/>
  <c r="J104" i="43"/>
  <c r="J107" i="43"/>
  <c r="M102" i="43"/>
  <c r="M103" i="43"/>
  <c r="M105" i="43"/>
  <c r="M109" i="43"/>
  <c r="M106" i="43"/>
  <c r="M107" i="43"/>
  <c r="M104" i="43"/>
  <c r="L109" i="43"/>
  <c r="L107" i="43"/>
  <c r="L102" i="43"/>
  <c r="L104" i="43"/>
  <c r="L103" i="43"/>
  <c r="L106" i="43"/>
  <c r="L105" i="43"/>
  <c r="B115" i="43"/>
  <c r="D116" i="43"/>
  <c r="E116" i="43"/>
  <c r="F116" i="43"/>
  <c r="G116" i="43"/>
  <c r="H116" i="43"/>
  <c r="B116" i="43"/>
  <c r="C116" i="43"/>
  <c r="I117" i="43"/>
  <c r="J117" i="43"/>
  <c r="K117" i="43"/>
  <c r="L117" i="43"/>
  <c r="M117" i="43"/>
  <c r="I118" i="43"/>
  <c r="J118" i="43"/>
  <c r="K118" i="43"/>
  <c r="L118" i="43"/>
  <c r="M118" i="43"/>
  <c r="I116" i="43"/>
  <c r="J116" i="43"/>
  <c r="K116" i="43"/>
  <c r="L116" i="43"/>
  <c r="M116" i="43"/>
  <c r="I115" i="43"/>
  <c r="J115" i="43"/>
  <c r="K115" i="43"/>
  <c r="L115" i="43"/>
  <c r="M115" i="43"/>
  <c r="G118" i="43"/>
  <c r="H118" i="43"/>
  <c r="B117" i="43"/>
  <c r="C117" i="43"/>
  <c r="D118" i="43"/>
  <c r="E118" i="43"/>
  <c r="F118" i="43"/>
  <c r="D117" i="43"/>
  <c r="E117" i="43"/>
  <c r="F117" i="43"/>
  <c r="G117" i="43"/>
  <c r="H117" i="43"/>
  <c r="B118" i="43"/>
  <c r="C118" i="43"/>
  <c r="D115" i="43"/>
  <c r="E115" i="43"/>
  <c r="F115" i="43"/>
  <c r="G115" i="43"/>
  <c r="H115" i="43"/>
  <c r="N104" i="43"/>
  <c r="N109" i="43"/>
  <c r="N106" i="43"/>
  <c r="N103" i="43"/>
  <c r="N105" i="43"/>
  <c r="N102" i="43"/>
  <c r="N107" i="43"/>
  <c r="E104" i="43"/>
  <c r="E105" i="43"/>
  <c r="E107" i="43"/>
  <c r="E106" i="43"/>
  <c r="E102" i="43"/>
  <c r="E103" i="43"/>
  <c r="E109" i="43"/>
  <c r="H102" i="43"/>
  <c r="H104" i="43"/>
  <c r="H107" i="43"/>
  <c r="H106" i="43"/>
  <c r="H103" i="43"/>
  <c r="H109" i="43"/>
  <c r="H105" i="43"/>
  <c r="H26" i="6"/>
  <c r="R26" i="6"/>
  <c r="S26" i="6"/>
  <c r="L46" i="15"/>
  <c r="C21" i="12"/>
  <c r="C22" i="12"/>
  <c r="C30" i="12"/>
  <c r="C28" i="12"/>
  <c r="C38" i="43"/>
  <c r="C35" i="43"/>
  <c r="C37" i="43"/>
  <c r="C39" i="43"/>
  <c r="C34" i="43"/>
  <c r="C33" i="43"/>
  <c r="C36" i="43"/>
  <c r="T5" i="43"/>
  <c r="V5" i="43"/>
  <c r="C29" i="43"/>
  <c r="T3" i="43"/>
  <c r="V3" i="43"/>
  <c r="T2" i="43"/>
  <c r="V2" i="43"/>
  <c r="T10" i="43"/>
  <c r="V10" i="43"/>
  <c r="T13" i="43"/>
  <c r="V13" i="43"/>
  <c r="T14" i="43"/>
  <c r="V14" i="43"/>
  <c r="T6" i="43"/>
  <c r="V6" i="43"/>
  <c r="T7" i="43"/>
  <c r="V7" i="43"/>
  <c r="T16" i="43"/>
  <c r="V16" i="43"/>
  <c r="T8" i="43"/>
  <c r="V8" i="43"/>
  <c r="T15" i="43"/>
  <c r="V15" i="43"/>
  <c r="T9" i="43"/>
  <c r="V9" i="43"/>
  <c r="T11" i="43"/>
  <c r="V11" i="43"/>
  <c r="T4" i="43"/>
  <c r="V4" i="43"/>
  <c r="T12" i="43"/>
  <c r="V12" i="43"/>
  <c r="L46" i="79"/>
  <c r="C49" i="67"/>
  <c r="D37" i="69"/>
  <c r="C37" i="69"/>
  <c r="C33" i="69"/>
  <c r="C19" i="69"/>
  <c r="C18" i="67"/>
  <c r="C15" i="67"/>
  <c r="J18" i="79"/>
  <c r="Q66" i="79"/>
  <c r="Q57" i="79"/>
  <c r="Q73" i="79"/>
  <c r="Q60" i="79"/>
  <c r="C32" i="79"/>
  <c r="C33" i="79"/>
  <c r="C32" i="15"/>
  <c r="C33" i="15"/>
  <c r="F11" i="79"/>
  <c r="M11" i="67"/>
  <c r="J10" i="67"/>
  <c r="J5" i="67"/>
  <c r="F11" i="15"/>
  <c r="M11" i="79"/>
  <c r="J10" i="79"/>
  <c r="J5" i="79"/>
  <c r="F11" i="67"/>
  <c r="M11" i="15"/>
  <c r="J10" i="15"/>
  <c r="J5" i="15"/>
  <c r="Q60" i="67"/>
  <c r="Q73" i="67"/>
  <c r="Q74" i="67"/>
  <c r="Q61" i="67"/>
  <c r="C32" i="67"/>
  <c r="Q61" i="15"/>
  <c r="Q74" i="15"/>
  <c r="C49" i="15"/>
  <c r="J18" i="67"/>
  <c r="Q52" i="67"/>
  <c r="F1" i="67"/>
  <c r="Q52" i="79"/>
  <c r="Q61" i="79"/>
  <c r="Q74" i="79"/>
  <c r="J18" i="15"/>
  <c r="Q66" i="15"/>
  <c r="Q57" i="15"/>
  <c r="Q52" i="15"/>
  <c r="F1" i="15"/>
  <c r="Q60" i="15"/>
  <c r="Q73" i="15"/>
  <c r="O28" i="43"/>
  <c r="N28" i="43"/>
  <c r="M28" i="43"/>
  <c r="P28" i="43"/>
  <c r="D10" i="68"/>
  <c r="C17" i="79"/>
  <c r="D10" i="80"/>
  <c r="AE6" i="1"/>
  <c r="C10" i="68"/>
  <c r="H9" i="68"/>
  <c r="C8" i="68"/>
  <c r="D19" i="68"/>
  <c r="D37" i="68"/>
  <c r="C37" i="68"/>
  <c r="I27" i="6"/>
  <c r="M27" i="6"/>
  <c r="E6" i="70"/>
  <c r="S16" i="1"/>
  <c r="AR6" i="1"/>
  <c r="AQ6" i="1"/>
  <c r="D19" i="80"/>
  <c r="D37" i="80"/>
  <c r="C37" i="80"/>
  <c r="C10" i="80"/>
  <c r="H9" i="80"/>
  <c r="C8" i="80"/>
  <c r="E7" i="70"/>
  <c r="AQ7" i="1"/>
  <c r="AR7" i="1"/>
  <c r="T7" i="1"/>
  <c r="L18" i="82"/>
  <c r="C35" i="11"/>
  <c r="C38" i="11"/>
  <c r="C33" i="11"/>
  <c r="R19" i="6"/>
  <c r="H20" i="6"/>
  <c r="L19" i="9"/>
  <c r="C115" i="43"/>
  <c r="D113" i="43"/>
  <c r="F24" i="79"/>
  <c r="C24" i="79"/>
  <c r="F25" i="12"/>
  <c r="C27" i="12"/>
  <c r="C25" i="12"/>
  <c r="F22" i="69"/>
  <c r="C44" i="69"/>
  <c r="D41" i="69"/>
  <c r="F22" i="80"/>
  <c r="C26" i="80"/>
  <c r="D22" i="80"/>
  <c r="F24" i="67"/>
  <c r="C24" i="67"/>
  <c r="F22" i="11"/>
  <c r="C26" i="11"/>
  <c r="D22" i="11"/>
  <c r="F22" i="68"/>
  <c r="E29" i="43"/>
  <c r="E33" i="43"/>
  <c r="C26" i="43"/>
  <c r="C30" i="43"/>
  <c r="E30" i="43"/>
  <c r="G33" i="43"/>
  <c r="I33" i="43"/>
  <c r="E39" i="43"/>
  <c r="G39" i="43"/>
  <c r="I39" i="43"/>
  <c r="E35" i="43"/>
  <c r="G35" i="43"/>
  <c r="I35" i="43"/>
  <c r="G36" i="43"/>
  <c r="I36" i="43"/>
  <c r="E36" i="43"/>
  <c r="E34" i="43"/>
  <c r="G34" i="43"/>
  <c r="I34" i="43"/>
  <c r="E37" i="43"/>
  <c r="G37" i="43"/>
  <c r="I37" i="43"/>
  <c r="G38" i="43"/>
  <c r="I38" i="43"/>
  <c r="E38" i="43"/>
  <c r="C19" i="67"/>
  <c r="C20" i="67"/>
  <c r="C26" i="67"/>
  <c r="C39" i="69"/>
  <c r="C46" i="69"/>
  <c r="C45" i="69"/>
  <c r="C20" i="69"/>
  <c r="C28" i="69"/>
  <c r="C27" i="69"/>
  <c r="C14" i="79"/>
  <c r="C15" i="79"/>
  <c r="C18" i="79"/>
  <c r="C19" i="79"/>
  <c r="C20" i="79"/>
  <c r="C23" i="79"/>
  <c r="C26" i="79"/>
  <c r="C29" i="79"/>
  <c r="J19" i="79"/>
  <c r="R20" i="6"/>
  <c r="R7" i="1"/>
  <c r="M21" i="79"/>
  <c r="J20" i="79"/>
  <c r="J17" i="79"/>
  <c r="J14" i="79"/>
  <c r="J22" i="79"/>
  <c r="J13" i="79"/>
  <c r="J23" i="79"/>
  <c r="J24" i="79"/>
  <c r="J16" i="79"/>
  <c r="J25" i="79"/>
  <c r="J26" i="79"/>
  <c r="J26" i="67"/>
  <c r="J29" i="67"/>
  <c r="J24" i="67"/>
  <c r="J26" i="15"/>
  <c r="J24" i="15"/>
  <c r="C10" i="67"/>
  <c r="C5" i="67"/>
  <c r="C53" i="67"/>
  <c r="C48" i="67"/>
  <c r="C53" i="15"/>
  <c r="C48" i="15"/>
  <c r="C10" i="15"/>
  <c r="C5" i="15"/>
  <c r="C53" i="79"/>
  <c r="C48" i="79"/>
  <c r="C10" i="79"/>
  <c r="C5" i="79"/>
  <c r="C34" i="68"/>
  <c r="C34" i="80"/>
  <c r="F41" i="15"/>
  <c r="F41" i="79"/>
  <c r="C38" i="68"/>
  <c r="C35" i="68"/>
  <c r="C33" i="68"/>
  <c r="S20" i="6"/>
  <c r="S27" i="6"/>
  <c r="H27" i="6"/>
  <c r="E2" i="70"/>
  <c r="C35" i="80"/>
  <c r="C38" i="80"/>
  <c r="C33" i="80"/>
  <c r="L19" i="82"/>
  <c r="T16" i="1"/>
  <c r="C26" i="12"/>
  <c r="D25" i="12"/>
  <c r="C23" i="11"/>
  <c r="R6" i="1"/>
  <c r="C39" i="11"/>
  <c r="C46" i="11"/>
  <c r="C45" i="11"/>
  <c r="C43" i="11"/>
  <c r="C24" i="80"/>
  <c r="C42" i="69"/>
  <c r="C44" i="68"/>
  <c r="D41" i="68"/>
  <c r="C26" i="69"/>
  <c r="D22" i="69"/>
  <c r="C42" i="11"/>
  <c r="C41" i="11"/>
  <c r="C44" i="11"/>
  <c r="D41" i="11"/>
  <c r="C44" i="80"/>
  <c r="D41" i="80"/>
  <c r="C24" i="11"/>
  <c r="C25" i="11"/>
  <c r="C24" i="68"/>
  <c r="C24" i="69"/>
  <c r="C23" i="69"/>
  <c r="C26" i="68"/>
  <c r="D22" i="68"/>
  <c r="C25" i="69"/>
  <c r="F69" i="15"/>
  <c r="F69" i="79"/>
  <c r="J29" i="15"/>
  <c r="J29" i="79"/>
  <c r="C32" i="12"/>
  <c r="B2" i="12"/>
  <c r="B3" i="12"/>
  <c r="C43" i="69"/>
  <c r="C27" i="43"/>
  <c r="B2" i="43"/>
  <c r="C38" i="15"/>
  <c r="C66" i="15"/>
  <c r="C60" i="15"/>
  <c r="C60" i="79"/>
  <c r="C66" i="79"/>
  <c r="C38" i="67"/>
  <c r="C23" i="67"/>
  <c r="C29" i="67"/>
  <c r="C38" i="79"/>
  <c r="C60" i="67"/>
  <c r="C66" i="67"/>
  <c r="F35" i="15"/>
  <c r="M21" i="15"/>
  <c r="B6" i="76"/>
  <c r="E6" i="76"/>
  <c r="C39" i="80"/>
  <c r="C42" i="80"/>
  <c r="C39" i="68"/>
  <c r="C43" i="68"/>
  <c r="C42" i="68"/>
  <c r="C46" i="68"/>
  <c r="C45" i="68"/>
  <c r="C13" i="79"/>
  <c r="J19" i="15"/>
  <c r="J20" i="15"/>
  <c r="C34" i="15"/>
  <c r="C31" i="15"/>
  <c r="F63" i="15"/>
  <c r="C62" i="15"/>
  <c r="C41" i="69"/>
  <c r="C49" i="69"/>
  <c r="C51" i="69"/>
  <c r="C22" i="11"/>
  <c r="C31" i="11"/>
  <c r="C49" i="11"/>
  <c r="C51" i="11"/>
  <c r="C22" i="69"/>
  <c r="C31" i="69"/>
  <c r="E2" i="76"/>
  <c r="B2" i="76"/>
  <c r="B3" i="43"/>
  <c r="C57" i="67"/>
  <c r="J14" i="67"/>
  <c r="J19" i="67"/>
  <c r="J17" i="67"/>
  <c r="C33" i="67"/>
  <c r="C31" i="67"/>
  <c r="C13" i="67"/>
  <c r="C36" i="67"/>
  <c r="Q49" i="67"/>
  <c r="J59" i="67"/>
  <c r="J60" i="67"/>
  <c r="C57" i="79"/>
  <c r="C36" i="79"/>
  <c r="C46" i="80"/>
  <c r="C45" i="80"/>
  <c r="C43" i="80"/>
  <c r="C41" i="80"/>
  <c r="Q49" i="79"/>
  <c r="R27" i="6"/>
  <c r="C41" i="68"/>
  <c r="C49" i="68"/>
  <c r="C51" i="68"/>
  <c r="J14" i="15"/>
  <c r="J22" i="15"/>
  <c r="Q49" i="15"/>
  <c r="C57" i="15"/>
  <c r="C64" i="15"/>
  <c r="C36" i="15"/>
  <c r="C13" i="15"/>
  <c r="C75" i="15"/>
  <c r="J17" i="15"/>
  <c r="C52" i="11"/>
  <c r="B2" i="11"/>
  <c r="B3" i="11"/>
  <c r="C52" i="69"/>
  <c r="B2" i="69"/>
  <c r="B3" i="69"/>
  <c r="B3" i="76"/>
  <c r="C75" i="79"/>
  <c r="Q70" i="79"/>
  <c r="C37" i="79"/>
  <c r="C56" i="79"/>
  <c r="C65" i="79"/>
  <c r="C75" i="67"/>
  <c r="C56" i="67"/>
  <c r="C65" i="67"/>
  <c r="C37" i="67"/>
  <c r="C30" i="67"/>
  <c r="C39" i="67"/>
  <c r="Q70" i="67"/>
  <c r="C61" i="67"/>
  <c r="C59" i="67"/>
  <c r="C64" i="67"/>
  <c r="C64" i="79"/>
  <c r="C61" i="79"/>
  <c r="Q48" i="67"/>
  <c r="L46" i="67"/>
  <c r="J22" i="67"/>
  <c r="J13" i="67"/>
  <c r="J23" i="67"/>
  <c r="F35" i="79"/>
  <c r="C49" i="80"/>
  <c r="C51" i="80"/>
  <c r="F63" i="79"/>
  <c r="C62" i="79"/>
  <c r="C34" i="79"/>
  <c r="C31" i="79"/>
  <c r="C30" i="79"/>
  <c r="C39" i="79"/>
  <c r="R16" i="1"/>
  <c r="C59" i="79"/>
  <c r="C56" i="11"/>
  <c r="C57" i="11"/>
  <c r="Q70" i="15"/>
  <c r="C61" i="15"/>
  <c r="C59" i="15"/>
  <c r="J13" i="15"/>
  <c r="J23" i="15"/>
  <c r="J16" i="15"/>
  <c r="J25" i="15"/>
  <c r="C37" i="15"/>
  <c r="C30" i="15"/>
  <c r="C39" i="15"/>
  <c r="C80" i="15"/>
  <c r="C79" i="15"/>
  <c r="C56" i="15"/>
  <c r="C65" i="15"/>
  <c r="C57" i="69"/>
  <c r="C56" i="69"/>
  <c r="C58" i="79"/>
  <c r="C67" i="79"/>
  <c r="C68" i="79"/>
  <c r="C71" i="79"/>
  <c r="J16" i="67"/>
  <c r="J25" i="67"/>
  <c r="Q69" i="67"/>
  <c r="Q68" i="67"/>
  <c r="C40" i="67"/>
  <c r="C58" i="67"/>
  <c r="C67" i="67"/>
  <c r="C68" i="67"/>
  <c r="C80" i="67"/>
  <c r="C79" i="67"/>
  <c r="L51" i="15"/>
  <c r="L51" i="67"/>
  <c r="L51" i="79"/>
  <c r="Q69" i="79"/>
  <c r="Q68" i="79"/>
  <c r="C40" i="79"/>
  <c r="C80" i="79"/>
  <c r="C79" i="79"/>
  <c r="C58" i="15"/>
  <c r="C67" i="15"/>
  <c r="C68" i="15"/>
  <c r="C71" i="15"/>
  <c r="Q67" i="15"/>
  <c r="Q69" i="15"/>
  <c r="Q68" i="15"/>
  <c r="C40" i="15"/>
  <c r="Q65" i="15"/>
  <c r="Q75" i="15"/>
  <c r="Q67" i="79"/>
  <c r="Q67" i="67"/>
  <c r="L57" i="67"/>
  <c r="L60" i="67"/>
  <c r="Q65" i="79"/>
  <c r="Q75" i="79"/>
  <c r="C43" i="79"/>
  <c r="Q47" i="79"/>
  <c r="Q53" i="79"/>
  <c r="Q56" i="79"/>
  <c r="Q62" i="79"/>
  <c r="B2" i="79"/>
  <c r="C83" i="79"/>
  <c r="C82" i="79"/>
  <c r="Q56" i="67"/>
  <c r="Q47" i="67"/>
  <c r="Q53" i="67"/>
  <c r="Q65" i="67"/>
  <c r="C43" i="67"/>
  <c r="D2" i="67"/>
  <c r="C83" i="67"/>
  <c r="C82" i="67"/>
  <c r="C71" i="67"/>
  <c r="C45" i="67"/>
  <c r="C46" i="67"/>
  <c r="C46" i="79"/>
  <c r="B2" i="15"/>
  <c r="AO7" i="1"/>
  <c r="D19" i="82"/>
  <c r="C46" i="15"/>
  <c r="Q47" i="15"/>
  <c r="Q53" i="15"/>
  <c r="Q56" i="15"/>
  <c r="Q62" i="15"/>
  <c r="C83" i="15"/>
  <c r="C82" i="15"/>
  <c r="C43" i="15"/>
  <c r="B7" i="70"/>
  <c r="D102" i="82"/>
  <c r="D21" i="82"/>
  <c r="B3" i="67"/>
  <c r="B2" i="67"/>
  <c r="B3" i="79"/>
  <c r="Q66" i="67"/>
  <c r="Q75" i="67"/>
  <c r="Q57" i="67"/>
  <c r="Q62" i="67"/>
  <c r="D19" i="9"/>
  <c r="AO6" i="1"/>
  <c r="D20" i="82"/>
  <c r="B6" i="70"/>
  <c r="B2" i="70"/>
  <c r="B3" i="70"/>
  <c r="D21" i="9"/>
  <c r="D102" i="9"/>
  <c r="B3" i="15"/>
  <c r="D103" i="82"/>
  <c r="D20" i="9"/>
  <c r="D103"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C6" i="80"/>
  <c r="C7" i="80"/>
  <c r="C5" i="80"/>
  <c r="C20" i="80"/>
  <c r="C23" i="80"/>
  <c r="C25" i="80"/>
  <c r="C22" i="80"/>
  <c r="C28" i="80"/>
  <c r="C27" i="80"/>
  <c r="C31" i="80"/>
  <c r="C52" i="80"/>
  <c r="B2" i="80"/>
  <c r="C19" i="82"/>
  <c r="G19" i="82"/>
  <c r="C32" i="82"/>
  <c r="H118" i="82"/>
  <c r="H101" i="82"/>
  <c r="H107" i="82"/>
  <c r="M49" i="82"/>
  <c r="D45" i="82"/>
  <c r="D55" i="82"/>
  <c r="M53" i="82"/>
  <c r="C85" i="82"/>
  <c r="C93" i="82"/>
  <c r="C86" i="82"/>
  <c r="C95" i="82"/>
  <c r="C96" i="82"/>
  <c r="C97" i="82"/>
  <c r="D58" i="82"/>
  <c r="D56" i="82"/>
  <c r="M54" i="82"/>
  <c r="N57" i="82"/>
  <c r="N59" i="82"/>
  <c r="N60" i="82"/>
  <c r="N61" i="82"/>
  <c r="N61" i="9"/>
  <c r="P57" i="9"/>
  <c r="P57" i="82"/>
  <c r="N58" i="82"/>
  <c r="N58" i="9"/>
  <c r="C72" i="9"/>
  <c r="C78" i="9"/>
  <c r="C73" i="9"/>
  <c r="C79" i="9"/>
  <c r="C80" i="9"/>
  <c r="C81" i="9"/>
  <c r="E96" i="9"/>
  <c r="E97" i="9"/>
  <c r="L63" i="9"/>
  <c r="M63" i="9"/>
  <c r="L64" i="9"/>
  <c r="M64" i="9"/>
  <c r="L65" i="9"/>
  <c r="M65" i="9"/>
  <c r="L66" i="9"/>
  <c r="M66" i="9"/>
  <c r="L67" i="9"/>
  <c r="M67" i="9"/>
  <c r="L68" i="9"/>
  <c r="M68" i="9"/>
  <c r="M69" i="9"/>
  <c r="N69" i="9"/>
  <c r="D122" i="9"/>
  <c r="G14" i="74"/>
  <c r="D122" i="82"/>
  <c r="G15" i="74"/>
  <c r="B6" i="74"/>
  <c r="D6" i="74"/>
  <c r="C6" i="74"/>
  <c r="E80" i="9"/>
  <c r="E81" i="9"/>
  <c r="L63" i="82"/>
  <c r="M63" i="82"/>
  <c r="L64" i="82"/>
  <c r="M64" i="82"/>
  <c r="L65" i="82"/>
  <c r="M65" i="82"/>
  <c r="L66" i="82"/>
  <c r="M66" i="82"/>
  <c r="L67" i="82"/>
  <c r="M67" i="82"/>
  <c r="L68" i="82"/>
  <c r="M68" i="82"/>
  <c r="M69" i="82"/>
  <c r="N69" i="82"/>
  <c r="E96" i="82"/>
  <c r="E97" i="82"/>
  <c r="C72" i="82"/>
  <c r="C78" i="82"/>
  <c r="C73" i="82"/>
  <c r="C79" i="82"/>
  <c r="C80" i="82"/>
  <c r="C81" i="82"/>
  <c r="D123" i="9"/>
  <c r="D9" i="52"/>
  <c r="D8" i="52"/>
  <c r="D13" i="53"/>
  <c r="D14" i="53"/>
  <c r="B32" i="72"/>
  <c r="B30" i="72"/>
  <c r="D123" i="82"/>
  <c r="E80" i="82"/>
  <c r="E81" i="82"/>
  <c r="D53" i="9"/>
  <c r="D52" i="9"/>
  <c r="C64" i="9"/>
  <c r="C63" i="9"/>
  <c r="C67" i="9"/>
  <c r="C68" i="9"/>
  <c r="D54" i="9"/>
  <c r="H108" i="9"/>
  <c r="D15" i="53"/>
  <c r="B31" i="72"/>
  <c r="D5" i="53"/>
  <c r="D6" i="53"/>
  <c r="B22" i="72"/>
  <c r="B20" i="72"/>
  <c r="I118" i="9"/>
  <c r="B3" i="68"/>
  <c r="C57" i="68"/>
  <c r="D35" i="9"/>
  <c r="C35" i="9"/>
  <c r="F118" i="9"/>
  <c r="G118" i="9"/>
  <c r="E118" i="9"/>
  <c r="E4" i="52"/>
  <c r="B48" i="72"/>
  <c r="C34" i="9"/>
  <c r="D118" i="9"/>
  <c r="D119" i="9"/>
  <c r="D5" i="52"/>
  <c r="B49" i="72"/>
  <c r="D53" i="82"/>
  <c r="C64" i="82"/>
  <c r="C63" i="82"/>
  <c r="C67" i="82"/>
  <c r="C68" i="82"/>
  <c r="D54" i="82"/>
  <c r="D52" i="82"/>
  <c r="H108" i="82"/>
  <c r="D14" i="74"/>
  <c r="D15" i="74"/>
  <c r="B5" i="74"/>
  <c r="C5" i="74"/>
  <c r="D5" i="74"/>
  <c r="M48" i="9"/>
  <c r="F4" i="52"/>
  <c r="B51" i="72"/>
  <c r="G4" i="52"/>
  <c r="B52" i="72"/>
  <c r="F119" i="9"/>
  <c r="F5" i="52"/>
  <c r="B53" i="72"/>
  <c r="E14" i="74"/>
  <c r="F14" i="74"/>
  <c r="C105" i="9"/>
  <c r="I4" i="52"/>
  <c r="H102" i="9"/>
  <c r="D7" i="53"/>
  <c r="B21" i="72"/>
  <c r="D4" i="52"/>
  <c r="B47" i="72"/>
  <c r="M48" i="82"/>
  <c r="I118" i="82"/>
  <c r="H102" i="82"/>
  <c r="C105" i="82"/>
  <c r="B3" i="80"/>
  <c r="C57" i="80"/>
  <c r="D35" i="82"/>
  <c r="C35" i="82"/>
  <c r="F118" i="82"/>
  <c r="G118" i="82"/>
  <c r="E118" i="82"/>
  <c r="E15" i="74"/>
  <c r="F15" i="74"/>
  <c r="C104" i="9"/>
  <c r="H119" i="9"/>
  <c r="H5" i="52"/>
  <c r="H4" i="52"/>
  <c r="F119" i="82"/>
  <c r="H119" i="82"/>
  <c r="C104" i="82"/>
  <c r="C34" i="82"/>
  <c r="D118" i="82"/>
  <c r="D119" i="82"/>
  <c r="C56" i="80"/>
  <c r="D34" i="82"/>
  <c r="G21" i="9"/>
  <c r="C102" i="9"/>
  <c r="D22" i="9"/>
  <c r="C21" i="9"/>
  <c r="C20" i="9"/>
  <c r="G20" i="9"/>
  <c r="C103" i="9"/>
  <c r="C56" i="68"/>
  <c r="D34" i="9"/>
  <c r="C20" i="82"/>
  <c r="G20" i="82"/>
  <c r="G21" i="82"/>
  <c r="D22" i="82"/>
  <c r="C102" i="82"/>
  <c r="C21" i="82"/>
  <c r="C103" i="82"/>
  <c r="C47" i="39"/>
  <c r="I47" i="39"/>
  <c r="I51" i="39"/>
  <c r="J51" i="39"/>
  <c r="G47" i="39"/>
  <c r="G52" i="39"/>
  <c r="H52" i="39"/>
  <c r="E47" i="39"/>
  <c r="I52" i="39"/>
  <c r="J52" i="39"/>
  <c r="W10" i="39"/>
  <c r="J10" i="40"/>
  <c r="W10" i="40"/>
  <c r="AC10" i="40"/>
  <c r="H10" i="40"/>
  <c r="AB10" i="40"/>
  <c r="U10" i="40"/>
  <c r="E51" i="39"/>
  <c r="F51" i="39"/>
  <c r="E52" i="39"/>
  <c r="F52" i="39"/>
  <c r="G51" i="39"/>
  <c r="H51" i="39"/>
  <c r="F10" i="40"/>
  <c r="AA10" i="40"/>
  <c r="S10" i="40"/>
  <c r="U10" i="39"/>
  <c r="S10" i="39"/>
  <c r="E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<sst xmlns="http://schemas.openxmlformats.org/spreadsheetml/2006/main" count="8829" uniqueCount="3431">
  <si>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</si>
  <si>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</si>
  <si>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</si>
  <si>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</si>
  <si>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</si>
  <si>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</si>
  <si>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工业</t>
  </si>
  <si>
    <t>1-2.1</t>
  </si>
  <si>
    <t>1-2.2</t>
  </si>
  <si>
    <t>1-2.3</t>
  </si>
  <si>
    <t>1-2.4</t>
  </si>
  <si>
    <t>1-3.1</t>
  </si>
  <si>
    <t>1-3.2</t>
  </si>
  <si>
    <t>1-3.3</t>
  </si>
  <si>
    <t>1-3.4</t>
    <phoneticPr fontId="21" type="noConversion"/>
  </si>
  <si>
    <t>v</t>
    <phoneticPr fontId="21" type="noConversion"/>
  </si>
  <si>
    <t>——</t>
    <phoneticPr fontId="21" type="noConversion"/>
  </si>
  <si>
    <t>100/</t>
    <phoneticPr fontId="8" type="noConversion"/>
  </si>
  <si>
    <t>——</t>
    <phoneticPr fontId="8" type="noConversion"/>
  </si>
  <si>
    <t>——</t>
    <phoneticPr fontId="8" type="noConversion"/>
  </si>
  <si>
    <t>100/</t>
    <phoneticPr fontId="8" type="noConversion"/>
  </si>
  <si>
    <t>100/</t>
    <phoneticPr fontId="8" type="noConversion"/>
  </si>
  <si>
    <t>——</t>
    <phoneticPr fontId="21" type="noConversion"/>
  </si>
  <si>
    <t>100/</t>
    <phoneticPr fontId="8" type="noConversion"/>
  </si>
  <si>
    <t>-</t>
    <phoneticPr fontId="36" type="noConversion"/>
  </si>
  <si>
    <t>-</t>
    <phoneticPr fontId="36" type="noConversion"/>
  </si>
  <si>
    <t>-</t>
    <phoneticPr fontId="36" type="noConversion"/>
  </si>
  <si>
    <t>办公</t>
  </si>
  <si>
    <t>-</t>
    <phoneticPr fontId="36" type="noConversion"/>
  </si>
  <si>
    <t>-</t>
    <phoneticPr fontId="36" type="noConversion"/>
  </si>
  <si>
    <t>五级</t>
    <phoneticPr fontId="8" type="noConversion"/>
  </si>
  <si>
    <t>六级</t>
    <phoneticPr fontId="8" type="noConversion"/>
  </si>
  <si>
    <t>——</t>
    <phoneticPr fontId="43" type="noConversion"/>
  </si>
  <si>
    <t>——</t>
    <phoneticPr fontId="30"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</si>
  <si>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</si>
  <si>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</si>
  <si>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</si>
  <si>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</si>
  <si>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</si>
  <si>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</si>
  <si>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</si>
  <si>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</si>
  <si>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</si>
  <si>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</si>
  <si>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</si>
  <si>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</si>
  <si>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</si>
  <si>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</si>
  <si>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</si>
  <si>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7" type="noConversion"/>
  </si>
  <si>
    <t>地下公共配套设施</t>
    <phoneticPr fontId="47" type="noConversion"/>
  </si>
  <si>
    <t>地上物业管理用房</t>
    <phoneticPr fontId="47" type="noConversion"/>
  </si>
  <si>
    <t>地下设备及其他</t>
    <phoneticPr fontId="47" type="noConversion"/>
  </si>
  <si>
    <t>分摊土地面积</t>
    <phoneticPr fontId="47" type="noConversion"/>
  </si>
  <si>
    <t>建筑面积</t>
    <phoneticPr fontId="47" type="noConversion"/>
  </si>
  <si>
    <t>面积合计</t>
    <phoneticPr fontId="47"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</si>
  <si>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</si>
  <si>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</si>
  <si>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</si>
  <si>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</si>
  <si>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</si>
  <si>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</si>
  <si>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</si>
  <si>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</si>
  <si>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1" type="noConversion"/>
  </si>
  <si>
    <r>
      <t>3.</t>
    </r>
    <r>
      <rPr>
        <b/>
        <sz val="12"/>
        <rFont val="楷体_GB2312"/>
        <family val="3"/>
        <charset val="134"/>
      </rPr>
      <t>成本价值</t>
    </r>
    <phoneticPr fontId="21" type="noConversion"/>
  </si>
  <si>
    <r>
      <rPr>
        <b/>
        <sz val="10"/>
        <color indexed="10"/>
        <rFont val="楷体_GB2312"/>
        <family val="3"/>
        <charset val="134"/>
      </rPr>
      <t>成本比率</t>
    </r>
    <phoneticPr fontId="8" type="noConversion"/>
  </si>
  <si>
    <r>
      <rPr>
        <sz val="10"/>
        <color indexed="8"/>
        <rFont val="楷体_GB2312"/>
        <family val="3"/>
        <charset val="134"/>
      </rPr>
      <t>建筑物价值比率</t>
    </r>
    <phoneticPr fontId="8" type="noConversion"/>
  </si>
  <si>
    <r>
      <rPr>
        <sz val="10"/>
        <color indexed="8"/>
        <rFont val="楷体_GB2312"/>
        <family val="3"/>
        <charset val="134"/>
      </rPr>
      <t>土地价值比率</t>
    </r>
    <phoneticPr fontId="8" type="noConversion"/>
  </si>
  <si>
    <t>项目基本情况</t>
    <phoneticPr fontId="8" type="noConversion"/>
  </si>
  <si>
    <t>——</t>
  </si>
  <si>
    <t>用途类型</t>
    <phoneticPr fontId="21" type="noConversion"/>
  </si>
  <si>
    <t>红色字体</t>
    <phoneticPr fontId="39" type="noConversion"/>
  </si>
  <si>
    <t>下拉菜单</t>
  </si>
  <si>
    <t>错误提示</t>
    <phoneticPr fontId="39" type="noConversion"/>
  </si>
  <si>
    <t>特别提示</t>
    <phoneticPr fontId="39" type="noConversion"/>
  </si>
  <si>
    <t>需要新增方法表时，请右键点击所选方法标签，选择‘移动或复制’，勾选建立副本，以保证公示链接无误</t>
    <phoneticPr fontId="39" type="noConversion"/>
  </si>
  <si>
    <t>1.该表需录入项目全部面积数据以及未进入估价范围的面积值，抵押物面积为计算得出，位于整表的右侧。建筑面积按经营性用途和非经营性用途进行设置</t>
    <phoneticPr fontId="8" type="noConversion"/>
  </si>
  <si>
    <t>2.在抵押物范围的先录,以便核对</t>
    <phoneticPr fontId="8"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</si>
  <si>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8" type="noConversion"/>
  </si>
  <si>
    <t>4.未注明用途的计入非经营性用途——"未注明"一项，单独录入，计算时按设备用房处理</t>
    <phoneticPr fontId="8" type="noConversion"/>
  </si>
  <si>
    <t>5.面积依据不同时，以每部分取得的最新数据文件为依据。</t>
    <phoneticPr fontId="8" type="noConversion"/>
  </si>
  <si>
    <t>录入项</t>
    <phoneticPr fontId="8" type="noConversion"/>
  </si>
  <si>
    <r>
      <rPr>
        <b/>
        <sz val="16"/>
        <color indexed="10"/>
        <rFont val="楷体_GB2312"/>
        <family val="3"/>
        <charset val="134"/>
      </rPr>
      <t>成本法</t>
    </r>
    <phoneticPr fontId="21" type="noConversion"/>
  </si>
  <si>
    <r>
      <rPr>
        <b/>
        <sz val="12"/>
        <rFont val="楷体_GB2312"/>
        <family val="3"/>
        <charset val="134"/>
      </rPr>
      <t>总价</t>
    </r>
    <phoneticPr fontId="23" type="noConversion"/>
  </si>
  <si>
    <r>
      <rPr>
        <b/>
        <sz val="12"/>
        <rFont val="楷体_GB2312"/>
        <family val="3"/>
        <charset val="134"/>
      </rPr>
      <t>楼面单价</t>
    </r>
    <phoneticPr fontId="23" type="noConversion"/>
  </si>
  <si>
    <r>
      <t>1.</t>
    </r>
    <r>
      <rPr>
        <b/>
        <sz val="12"/>
        <rFont val="楷体_GB2312"/>
        <family val="3"/>
        <charset val="134"/>
      </rPr>
      <t>土地价值</t>
    </r>
    <phoneticPr fontId="21" type="noConversion"/>
  </si>
  <si>
    <r>
      <rPr>
        <b/>
        <sz val="10"/>
        <rFont val="楷体_GB2312"/>
        <family val="3"/>
        <charset val="134"/>
      </rPr>
      <t>土地取得成本</t>
    </r>
    <phoneticPr fontId="21" type="noConversion"/>
  </si>
  <si>
    <r>
      <rPr>
        <b/>
        <sz val="10"/>
        <rFont val="楷体_GB2312"/>
        <family val="3"/>
        <charset val="134"/>
      </rPr>
      <t>面积</t>
    </r>
    <phoneticPr fontId="21" type="noConversion"/>
  </si>
  <si>
    <r>
      <rPr>
        <b/>
        <sz val="10"/>
        <rFont val="楷体_GB2312"/>
        <family val="3"/>
        <charset val="134"/>
      </rPr>
      <t>单价</t>
    </r>
    <phoneticPr fontId="21" type="noConversion"/>
  </si>
  <si>
    <r>
      <rPr>
        <b/>
        <sz val="10"/>
        <rFont val="楷体_GB2312"/>
        <family val="3"/>
        <charset val="134"/>
      </rPr>
      <t>系数</t>
    </r>
    <phoneticPr fontId="21" type="noConversion"/>
  </si>
  <si>
    <r>
      <rPr>
        <sz val="10"/>
        <rFont val="楷体_GB2312"/>
        <family val="3"/>
        <charset val="134"/>
      </rPr>
      <t>土地购买价格</t>
    </r>
    <phoneticPr fontId="23" type="noConversion"/>
  </si>
  <si>
    <r>
      <rPr>
        <sz val="10"/>
        <rFont val="楷体_GB2312"/>
        <family val="3"/>
        <charset val="134"/>
      </rPr>
      <t>城市基础设施建设费（行政收费）</t>
    </r>
    <phoneticPr fontId="21" type="noConversion"/>
  </si>
  <si>
    <r>
      <rPr>
        <i/>
        <sz val="10"/>
        <rFont val="楷体_GB2312"/>
        <family val="3"/>
        <charset val="134"/>
      </rPr>
      <t>住宅</t>
    </r>
    <phoneticPr fontId="21" type="noConversion"/>
  </si>
  <si>
    <r>
      <rPr>
        <i/>
        <sz val="10"/>
        <rFont val="楷体_GB2312"/>
        <family val="3"/>
        <charset val="134"/>
      </rPr>
      <t>非住宅</t>
    </r>
    <phoneticPr fontId="21" type="noConversion"/>
  </si>
  <si>
    <r>
      <rPr>
        <sz val="10"/>
        <rFont val="楷体_GB2312"/>
        <family val="3"/>
        <charset val="134"/>
      </rPr>
      <t>土地使用权出让金</t>
    </r>
    <phoneticPr fontId="21" type="noConversion"/>
  </si>
  <si>
    <r>
      <rPr>
        <sz val="10"/>
        <rFont val="楷体_GB2312"/>
        <family val="3"/>
        <charset val="134"/>
      </rPr>
      <t>相关税费</t>
    </r>
    <phoneticPr fontId="21" type="noConversion"/>
  </si>
  <si>
    <r>
      <rPr>
        <sz val="10"/>
        <rFont val="楷体_GB2312"/>
        <family val="3"/>
        <charset val="134"/>
      </rPr>
      <t>征地补偿安置费及其相关税费</t>
    </r>
    <phoneticPr fontId="21" type="noConversion"/>
  </si>
  <si>
    <r>
      <rPr>
        <sz val="10"/>
        <rFont val="楷体_GB2312"/>
        <family val="3"/>
        <charset val="134"/>
      </rPr>
      <t>以建筑面积为计算基数，按各区发文标准</t>
    </r>
    <phoneticPr fontId="21" type="noConversion"/>
  </si>
  <si>
    <r>
      <rPr>
        <sz val="10"/>
        <rFont val="楷体_GB2312"/>
        <family val="3"/>
        <charset val="134"/>
      </rPr>
      <t>出让金</t>
    </r>
    <phoneticPr fontId="21" type="noConversion"/>
  </si>
  <si>
    <r>
      <rPr>
        <sz val="10"/>
        <rFont val="楷体_GB2312"/>
        <family val="3"/>
        <charset val="134"/>
      </rPr>
      <t>采用比较法求取</t>
    </r>
    <phoneticPr fontId="21" type="noConversion"/>
  </si>
  <si>
    <r>
      <rPr>
        <sz val="10"/>
        <rFont val="楷体_GB2312"/>
        <family val="3"/>
        <charset val="134"/>
      </rPr>
      <t>开发补偿费用</t>
    </r>
    <phoneticPr fontId="21" type="noConversion"/>
  </si>
  <si>
    <r>
      <rPr>
        <sz val="10"/>
        <rFont val="楷体_GB2312"/>
        <family val="3"/>
        <charset val="134"/>
      </rPr>
      <t>契税及印花税</t>
    </r>
    <phoneticPr fontId="21" type="noConversion"/>
  </si>
  <si>
    <r>
      <rPr>
        <sz val="10"/>
        <rFont val="楷体_GB2312"/>
        <family val="3"/>
        <charset val="134"/>
      </rPr>
      <t>以上述三项为基数计算</t>
    </r>
    <phoneticPr fontId="21" type="noConversion"/>
  </si>
  <si>
    <r>
      <rPr>
        <b/>
        <sz val="10"/>
        <rFont val="楷体_GB2312"/>
        <family val="3"/>
        <charset val="134"/>
      </rPr>
      <t>管理费用</t>
    </r>
    <phoneticPr fontId="21" type="noConversion"/>
  </si>
  <si>
    <r>
      <rPr>
        <b/>
        <sz val="10"/>
        <rFont val="楷体_GB2312"/>
        <family val="3"/>
        <charset val="134"/>
      </rPr>
      <t>销售费用</t>
    </r>
    <phoneticPr fontId="21" type="noConversion"/>
  </si>
  <si>
    <r>
      <rPr>
        <b/>
        <sz val="10"/>
        <rFont val="楷体_GB2312"/>
        <family val="3"/>
        <charset val="134"/>
      </rPr>
      <t>以土地价值为基数</t>
    </r>
    <phoneticPr fontId="21" type="noConversion"/>
  </si>
  <si>
    <r>
      <rPr>
        <b/>
        <sz val="10"/>
        <rFont val="楷体_GB2312"/>
        <family val="3"/>
        <charset val="134"/>
      </rPr>
      <t>贷款利息</t>
    </r>
    <phoneticPr fontId="21" type="noConversion"/>
  </si>
  <si>
    <r>
      <rPr>
        <sz val="10"/>
        <rFont val="楷体_GB2312"/>
        <family val="3"/>
        <charset val="134"/>
      </rPr>
      <t>计项目已运行全期</t>
    </r>
    <phoneticPr fontId="21" type="noConversion"/>
  </si>
  <si>
    <r>
      <rPr>
        <sz val="10"/>
        <rFont val="楷体_GB2312"/>
        <family val="3"/>
        <charset val="134"/>
      </rPr>
      <t>土地开发期均匀投入、已建工期计全期</t>
    </r>
    <phoneticPr fontId="21" type="noConversion"/>
  </si>
  <si>
    <r>
      <rPr>
        <sz val="10"/>
        <rFont val="楷体_GB2312"/>
        <family val="3"/>
        <charset val="134"/>
      </rPr>
      <t>管理费用及销售费用于项目已运行期内均匀投入</t>
    </r>
    <phoneticPr fontId="21"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</si>
  <si>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1" type="noConversion"/>
  </si>
  <si>
    <r>
      <rPr>
        <b/>
        <sz val="10"/>
        <rFont val="楷体_GB2312"/>
        <family val="3"/>
        <charset val="134"/>
      </rPr>
      <t>利润</t>
    </r>
    <phoneticPr fontId="21" type="noConversion"/>
  </si>
  <si>
    <r>
      <rPr>
        <b/>
        <sz val="10"/>
        <rFont val="楷体_GB2312"/>
        <family val="3"/>
        <charset val="134"/>
      </rPr>
      <t>以房地产价值为基数</t>
    </r>
    <phoneticPr fontId="21"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</si>
  <si>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1" type="noConversion"/>
  </si>
  <si>
    <r>
      <rPr>
        <b/>
        <sz val="10"/>
        <rFont val="楷体_GB2312"/>
        <family val="3"/>
        <charset val="134"/>
      </rPr>
      <t>建筑物建造</t>
    </r>
    <r>
      <rPr>
        <b/>
        <sz val="10"/>
        <rFont val="Arial"/>
        <family val="2"/>
      </rPr>
      <t>/</t>
    </r>
    <r>
      <rPr>
        <b/>
        <sz val="10"/>
        <rFont val="楷体_GB2312"/>
        <family val="3"/>
        <charset val="134"/>
      </rPr>
      <t>已建成本</t>
    </r>
    <phoneticPr fontId="21" type="noConversion"/>
  </si>
  <si>
    <r>
      <rPr>
        <sz val="10"/>
        <rFont val="楷体_GB2312"/>
        <family val="3"/>
        <charset val="134"/>
      </rPr>
      <t>现房</t>
    </r>
    <r>
      <rPr>
        <sz val="10"/>
        <rFont val="Arial"/>
        <family val="2"/>
      </rPr>
      <t>100%</t>
    </r>
    <r>
      <rPr>
        <sz val="10"/>
        <rFont val="楷体_GB2312"/>
        <family val="3"/>
        <charset val="134"/>
      </rPr>
      <t>；在建为综合进度</t>
    </r>
    <phoneticPr fontId="21" type="noConversion"/>
  </si>
  <si>
    <r>
      <rPr>
        <sz val="10"/>
        <rFont val="楷体_GB2312"/>
        <family val="3"/>
        <charset val="134"/>
      </rPr>
      <t>以建安费用为基数计取</t>
    </r>
    <phoneticPr fontId="21" type="noConversion"/>
  </si>
  <si>
    <r>
      <rPr>
        <sz val="10"/>
        <rFont val="楷体_GB2312"/>
        <family val="3"/>
        <charset val="134"/>
      </rPr>
      <t>红线内市政费用</t>
    </r>
    <phoneticPr fontId="21" type="noConversion"/>
  </si>
  <si>
    <r>
      <rPr>
        <sz val="10"/>
        <rFont val="楷体_GB2312"/>
        <family val="3"/>
        <charset val="134"/>
      </rPr>
      <t>按工程进度计取或按实际情况计取</t>
    </r>
    <phoneticPr fontId="21" type="noConversion"/>
  </si>
  <si>
    <r>
      <rPr>
        <b/>
        <sz val="10"/>
        <rFont val="楷体_GB2312"/>
        <family val="3"/>
        <charset val="134"/>
      </rPr>
      <t>以</t>
    </r>
    <r>
      <rPr>
        <b/>
        <sz val="10"/>
        <rFont val="Arial"/>
        <family val="2"/>
      </rPr>
      <t>V</t>
    </r>
    <r>
      <rPr>
        <b/>
        <sz val="10"/>
        <rFont val="楷体_GB2312"/>
        <family val="3"/>
        <charset val="134"/>
      </rPr>
      <t>建为基数</t>
    </r>
    <phoneticPr fontId="21" type="noConversion"/>
  </si>
  <si>
    <r>
      <rPr>
        <sz val="10"/>
        <rFont val="楷体_GB2312"/>
        <family val="3"/>
        <charset val="134"/>
      </rPr>
      <t>已建工期均匀投入</t>
    </r>
    <phoneticPr fontId="21" type="noConversion"/>
  </si>
  <si>
    <r>
      <rPr>
        <b/>
        <sz val="10"/>
        <rFont val="楷体_GB2312"/>
        <family val="3"/>
        <charset val="134"/>
      </rPr>
      <t>销售税费</t>
    </r>
    <phoneticPr fontId="21" type="noConversion"/>
  </si>
  <si>
    <r>
      <rPr>
        <b/>
        <sz val="10"/>
        <rFont val="楷体_GB2312"/>
        <family val="3"/>
        <charset val="134"/>
      </rPr>
      <t>以成本价值为基数</t>
    </r>
    <phoneticPr fontId="21" type="noConversion"/>
  </si>
  <si>
    <r>
      <rPr>
        <b/>
        <sz val="10"/>
        <rFont val="楷体_GB2312"/>
        <family val="3"/>
        <charset val="134"/>
      </rPr>
      <t>成新率</t>
    </r>
    <phoneticPr fontId="21" type="noConversion"/>
  </si>
  <si>
    <r>
      <rPr>
        <b/>
        <sz val="10"/>
        <rFont val="楷体_GB2312"/>
        <family val="3"/>
        <charset val="134"/>
      </rPr>
      <t>现房为成新率，在建依实际情况（停工）记取</t>
    </r>
    <phoneticPr fontId="23" type="noConversion"/>
  </si>
  <si>
    <r>
      <t>V</t>
    </r>
    <r>
      <rPr>
        <b/>
        <vertAlign val="subscript"/>
        <sz val="10"/>
        <rFont val="楷体_GB2312"/>
        <family val="3"/>
        <charset val="134"/>
      </rPr>
      <t>土</t>
    </r>
    <phoneticPr fontId="21" type="noConversion"/>
  </si>
  <si>
    <r>
      <t>V</t>
    </r>
    <r>
      <rPr>
        <b/>
        <vertAlign val="subscript"/>
        <sz val="10"/>
        <rFont val="楷体_GB2312"/>
        <family val="3"/>
        <charset val="134"/>
      </rPr>
      <t>土</t>
    </r>
    <r>
      <rPr>
        <b/>
        <sz val="10"/>
        <rFont val="Arial"/>
        <family val="2"/>
      </rPr>
      <t>/(1+5%)</t>
    </r>
    <phoneticPr fontId="21"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</si>
  <si>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1" type="noConversion"/>
  </si>
  <si>
    <r>
      <t>V</t>
    </r>
    <r>
      <rPr>
        <b/>
        <vertAlign val="subscript"/>
        <sz val="10"/>
        <rFont val="楷体_GB2312"/>
        <family val="3"/>
        <charset val="134"/>
      </rPr>
      <t>建</t>
    </r>
    <phoneticPr fontId="21" type="noConversion"/>
  </si>
  <si>
    <r>
      <t>V</t>
    </r>
    <r>
      <rPr>
        <b/>
        <vertAlign val="subscript"/>
        <sz val="10"/>
        <rFont val="楷体_GB2312"/>
        <family val="3"/>
        <charset val="134"/>
      </rPr>
      <t>建</t>
    </r>
    <r>
      <rPr>
        <b/>
        <sz val="10"/>
        <rFont val="Arial"/>
        <family val="2"/>
      </rPr>
      <t>/(1+5%)</t>
    </r>
    <phoneticPr fontId="21"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</si>
  <si>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1"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</si>
  <si>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1" type="noConversion"/>
  </si>
  <si>
    <t>万元</t>
    <phoneticPr fontId="23" type="noConversion"/>
  </si>
  <si>
    <t>元/平方米</t>
    <phoneticPr fontId="23" type="noConversion"/>
  </si>
  <si>
    <t>锁定项</t>
    <phoneticPr fontId="8" type="noConversion"/>
  </si>
  <si>
    <t>定义</t>
    <phoneticPr fontId="8" type="noConversion"/>
  </si>
  <si>
    <t>四级</t>
  </si>
  <si>
    <t>Ⅱ—03</t>
  </si>
  <si>
    <t>A1</t>
    <phoneticPr fontId="8" type="noConversion"/>
  </si>
  <si>
    <t>A2</t>
  </si>
  <si>
    <t>A3</t>
  </si>
  <si>
    <t>A4</t>
  </si>
  <si>
    <t>2016-2</t>
  </si>
  <si>
    <t>2014-1</t>
  </si>
  <si>
    <t>2014-2</t>
  </si>
  <si>
    <t>2014-3</t>
  </si>
  <si>
    <t>2014-4</t>
  </si>
  <si>
    <t>2015-1</t>
  </si>
  <si>
    <t>2015-2</t>
  </si>
  <si>
    <t>2015-3</t>
  </si>
  <si>
    <t>2015-4</t>
  </si>
  <si>
    <t>2016-1</t>
  </si>
  <si>
    <t>2016-3</t>
  </si>
  <si>
    <t>2016-4</t>
  </si>
  <si>
    <t>R&gt;10</t>
    <phoneticPr fontId="8" type="noConversion"/>
  </si>
  <si>
    <t>北京市区片基准地价表</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</si>
  <si>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</si>
  <si>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</si>
  <si>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</si>
  <si>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</si>
  <si>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</si>
  <si>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</si>
  <si>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</si>
  <si>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</si>
  <si>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</si>
  <si>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</si>
  <si>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t>十一级</t>
    <phoneticPr fontId="8" type="noConversion"/>
  </si>
  <si>
    <t>十二级</t>
    <phoneticPr fontId="8" type="noConversion"/>
  </si>
  <si>
    <t>基准日期：2014年1月1日                                                    单位：元/建筑平方米</t>
    <phoneticPr fontId="8" type="noConversion"/>
  </si>
  <si>
    <t>Ⅰ—01</t>
    <phoneticPr fontId="8" type="noConversion"/>
  </si>
  <si>
    <t>Ⅱ—01</t>
    <phoneticPr fontId="8" type="noConversion"/>
  </si>
  <si>
    <t>Ⅲ—01</t>
    <phoneticPr fontId="8" type="noConversion"/>
  </si>
  <si>
    <t>Ⅳ-01</t>
    <phoneticPr fontId="8" type="noConversion"/>
  </si>
  <si>
    <t>Ⅴ-01</t>
    <phoneticPr fontId="8" type="noConversion"/>
  </si>
  <si>
    <t>Ⅵ-01</t>
    <phoneticPr fontId="8" type="noConversion"/>
  </si>
  <si>
    <t>Ⅶ-01</t>
    <phoneticPr fontId="8" type="noConversion"/>
  </si>
  <si>
    <t>Ⅷ-01</t>
    <phoneticPr fontId="8" type="noConversion"/>
  </si>
  <si>
    <t>Ⅸ-01</t>
    <phoneticPr fontId="8" type="noConversion"/>
  </si>
  <si>
    <t>Ⅹ-01</t>
    <phoneticPr fontId="8" type="noConversion"/>
  </si>
  <si>
    <t>Ⅺ-门1</t>
    <phoneticPr fontId="8" type="noConversion"/>
  </si>
  <si>
    <t>Ⅻ-门1</t>
    <phoneticPr fontId="8" type="noConversion"/>
  </si>
  <si>
    <t>级别</t>
    <phoneticPr fontId="8" type="noConversion"/>
  </si>
  <si>
    <t>商业</t>
    <phoneticPr fontId="8" type="noConversion"/>
  </si>
  <si>
    <t>办公</t>
    <phoneticPr fontId="8" type="noConversion"/>
  </si>
  <si>
    <t>居住</t>
    <phoneticPr fontId="8" type="noConversion"/>
  </si>
  <si>
    <t>工业</t>
    <phoneticPr fontId="8" type="noConversion"/>
  </si>
  <si>
    <t>Ⅰ—02</t>
    <phoneticPr fontId="8" type="noConversion"/>
  </si>
  <si>
    <t>Ⅱ—02</t>
  </si>
  <si>
    <t>Ⅲ—02</t>
  </si>
  <si>
    <t>Ⅳ-02</t>
  </si>
  <si>
    <t>Ⅴ-02</t>
  </si>
  <si>
    <t>Ⅵ-02</t>
  </si>
  <si>
    <t>Ⅶ-02</t>
  </si>
  <si>
    <t>Ⅷ-02</t>
  </si>
  <si>
    <t>Ⅸ-02</t>
  </si>
  <si>
    <t>Ⅹ-02</t>
  </si>
  <si>
    <t>Ⅺ-门斋</t>
    <phoneticPr fontId="8" type="noConversion"/>
  </si>
  <si>
    <t>Ⅻ-房1</t>
    <phoneticPr fontId="8" type="noConversion"/>
  </si>
  <si>
    <t>区片编号</t>
    <phoneticPr fontId="8" type="noConversion"/>
  </si>
  <si>
    <t>区片价格</t>
    <phoneticPr fontId="8" type="noConversion"/>
  </si>
  <si>
    <t>Ⅰ—03</t>
  </si>
  <si>
    <t>Ⅲ—03</t>
  </si>
  <si>
    <t>Ⅳ-03</t>
  </si>
  <si>
    <t>Ⅴ-03</t>
  </si>
  <si>
    <t>Ⅵ-03</t>
  </si>
  <si>
    <t>Ⅶ-03</t>
  </si>
  <si>
    <t>Ⅷ-03</t>
  </si>
  <si>
    <t>Ⅸ-门1</t>
    <phoneticPr fontId="8" type="noConversion"/>
  </si>
  <si>
    <t>Ⅹ-门1</t>
    <phoneticPr fontId="8" type="noConversion"/>
  </si>
  <si>
    <t>Ⅺ-房1</t>
    <phoneticPr fontId="8" type="noConversion"/>
  </si>
  <si>
    <t>Ⅻ-昌1</t>
    <phoneticPr fontId="8" type="noConversion"/>
  </si>
  <si>
    <t>一级</t>
  </si>
  <si>
    <t>Ⅰ—04</t>
  </si>
  <si>
    <t>Ⅱ—04</t>
  </si>
  <si>
    <t>Ⅲ—04</t>
  </si>
  <si>
    <t>Ⅳ-04</t>
  </si>
  <si>
    <t>Ⅴ-04</t>
  </si>
  <si>
    <t>Ⅵ-04</t>
  </si>
  <si>
    <t>Ⅶ-04</t>
  </si>
  <si>
    <t>Ⅷ-04</t>
  </si>
  <si>
    <t>Ⅸ-门2</t>
    <phoneticPr fontId="8" type="noConversion"/>
  </si>
  <si>
    <t>Ⅹ-房1</t>
    <phoneticPr fontId="8" type="noConversion"/>
  </si>
  <si>
    <t>Ⅺ-房2</t>
  </si>
  <si>
    <t>Ⅻ-平1</t>
    <phoneticPr fontId="8" type="noConversion"/>
  </si>
  <si>
    <t>Ⅰ—05</t>
  </si>
  <si>
    <t>Ⅱ—05</t>
  </si>
  <si>
    <t>Ⅲ—05</t>
  </si>
  <si>
    <t>Ⅳ-05</t>
  </si>
  <si>
    <t>Ⅴ-05</t>
  </si>
  <si>
    <t>Ⅵ-05</t>
  </si>
  <si>
    <t>Ⅶ-05</t>
  </si>
  <si>
    <t>Ⅷ-门1</t>
    <phoneticPr fontId="8" type="noConversion"/>
  </si>
  <si>
    <t>Ⅸ-门潭</t>
    <phoneticPr fontId="8" type="noConversion"/>
  </si>
  <si>
    <t>Ⅹ-房2</t>
  </si>
  <si>
    <t>Ⅺ-通1</t>
    <phoneticPr fontId="8" type="noConversion"/>
  </si>
  <si>
    <t>Ⅻ-怀1</t>
    <phoneticPr fontId="8" type="noConversion"/>
  </si>
  <si>
    <t>Ⅱ—06</t>
  </si>
  <si>
    <t>Ⅲ—06</t>
  </si>
  <si>
    <t>Ⅳ-06</t>
  </si>
  <si>
    <t>Ⅴ-06</t>
  </si>
  <si>
    <t>Ⅵ-06</t>
  </si>
  <si>
    <t>Ⅶ-06</t>
  </si>
  <si>
    <t>Ⅷ-门军</t>
    <phoneticPr fontId="8" type="noConversion"/>
  </si>
  <si>
    <t>Ⅸ-房1</t>
    <phoneticPr fontId="8" type="noConversion"/>
  </si>
  <si>
    <t>Ⅹ-通1</t>
    <phoneticPr fontId="8" type="noConversion"/>
  </si>
  <si>
    <t>Ⅺ-顺1</t>
    <phoneticPr fontId="8" type="noConversion"/>
  </si>
  <si>
    <t>Ⅻ-密1</t>
    <phoneticPr fontId="8" type="noConversion"/>
  </si>
  <si>
    <t>Ⅱ—07</t>
  </si>
  <si>
    <t>Ⅲ—07</t>
  </si>
  <si>
    <t>Ⅳ-07</t>
  </si>
  <si>
    <t>Ⅴ-07</t>
  </si>
  <si>
    <t>Ⅵ-07</t>
  </si>
  <si>
    <t>Ⅶ-07</t>
  </si>
  <si>
    <t>Ⅷ-房1</t>
    <phoneticPr fontId="8" type="noConversion"/>
  </si>
  <si>
    <t>Ⅸ-房2</t>
  </si>
  <si>
    <t>Ⅹ-顺1</t>
    <phoneticPr fontId="8" type="noConversion"/>
  </si>
  <si>
    <t>Ⅺ-兴1</t>
    <phoneticPr fontId="8" type="noConversion"/>
  </si>
  <si>
    <t>Ⅻ-延1</t>
    <phoneticPr fontId="8" type="noConversion"/>
  </si>
  <si>
    <t>Ⅱ—08</t>
  </si>
  <si>
    <t>Ⅲ—08</t>
  </si>
  <si>
    <t>Ⅳ-08</t>
  </si>
  <si>
    <t>Ⅴ-08</t>
  </si>
  <si>
    <t>Ⅵ-08</t>
  </si>
  <si>
    <t>Ⅶ-08</t>
  </si>
  <si>
    <t>Ⅷ-房2</t>
  </si>
  <si>
    <t>Ⅸ-房3</t>
  </si>
  <si>
    <t>Ⅹ-顺2</t>
  </si>
  <si>
    <t>Ⅺ-兴2</t>
    <phoneticPr fontId="8" type="noConversion"/>
  </si>
  <si>
    <t>二级</t>
  </si>
  <si>
    <t>Ⅱ—01</t>
    <phoneticPr fontId="8" type="noConversion"/>
  </si>
  <si>
    <t>Ⅱ—09</t>
  </si>
  <si>
    <t>Ⅲ—09</t>
  </si>
  <si>
    <t>Ⅳ-09</t>
  </si>
  <si>
    <t>Ⅴ-09</t>
  </si>
  <si>
    <t>Ⅵ-09</t>
  </si>
  <si>
    <t>Ⅶ-09</t>
  </si>
  <si>
    <t>Ⅷ-房3</t>
  </si>
  <si>
    <t>Ⅸ-房4</t>
  </si>
  <si>
    <t>Ⅹ-顺3</t>
  </si>
  <si>
    <t>Ⅺ-昌1</t>
    <phoneticPr fontId="8" type="noConversion"/>
  </si>
  <si>
    <t>Ⅱ—10</t>
  </si>
  <si>
    <t>Ⅲ—10</t>
  </si>
  <si>
    <t>Ⅳ-10</t>
  </si>
  <si>
    <t>Ⅴ-10</t>
  </si>
  <si>
    <t>Ⅵ-10</t>
  </si>
  <si>
    <t>Ⅶ-10</t>
  </si>
  <si>
    <t>Ⅷ-通1</t>
    <phoneticPr fontId="8" type="noConversion"/>
  </si>
  <si>
    <t>Ⅸ-房5</t>
  </si>
  <si>
    <t>Ⅹ-兴1</t>
    <phoneticPr fontId="8" type="noConversion"/>
  </si>
  <si>
    <t>Ⅺ-昌2</t>
  </si>
  <si>
    <t>Ⅱ—11</t>
  </si>
  <si>
    <t>Ⅲ—11</t>
  </si>
  <si>
    <t>Ⅳ-11</t>
  </si>
  <si>
    <t>Ⅴ-11</t>
  </si>
  <si>
    <t>Ⅵ-11</t>
  </si>
  <si>
    <t>Ⅶ-11</t>
  </si>
  <si>
    <t>Ⅷ-通2</t>
  </si>
  <si>
    <t>Ⅸ-房6</t>
  </si>
  <si>
    <t>Ⅹ-兴2</t>
  </si>
  <si>
    <t>Ⅺ-平1</t>
    <phoneticPr fontId="8" type="noConversion"/>
  </si>
  <si>
    <t>Ⅱ—12</t>
  </si>
  <si>
    <t>Ⅲ—12</t>
  </si>
  <si>
    <t>Ⅳ-12</t>
  </si>
  <si>
    <t>Ⅴ-12</t>
  </si>
  <si>
    <t>Ⅵ-12</t>
  </si>
  <si>
    <t>Ⅶ-12</t>
  </si>
  <si>
    <t>Ⅷ-通3</t>
  </si>
  <si>
    <t>Ⅸ-通1</t>
    <phoneticPr fontId="8" type="noConversion"/>
  </si>
  <si>
    <t>Ⅹ-昌1</t>
    <phoneticPr fontId="8" type="noConversion"/>
  </si>
  <si>
    <t>Ⅺ-平2</t>
  </si>
  <si>
    <t>Ⅱ—13</t>
  </si>
  <si>
    <t>Ⅲ—13</t>
  </si>
  <si>
    <t>Ⅳ-13</t>
  </si>
  <si>
    <t>Ⅴ-13</t>
  </si>
  <si>
    <t>Ⅵ-13</t>
  </si>
  <si>
    <t>Ⅶ-13</t>
  </si>
  <si>
    <t>Ⅷ-顺1</t>
    <phoneticPr fontId="8" type="noConversion"/>
  </si>
  <si>
    <t>Ⅸ-通2</t>
  </si>
  <si>
    <t>Ⅹ-昌2</t>
  </si>
  <si>
    <t>Ⅺ-平3</t>
  </si>
  <si>
    <t>十一级</t>
    <phoneticPr fontId="8" type="noConversion"/>
  </si>
  <si>
    <t>Ⅱ—14</t>
  </si>
  <si>
    <t>Ⅲ—14</t>
  </si>
  <si>
    <t>Ⅳ-14</t>
  </si>
  <si>
    <t>Ⅴ-14</t>
  </si>
  <si>
    <t>Ⅵ-14</t>
  </si>
  <si>
    <t>Ⅶ-门1</t>
    <phoneticPr fontId="8" type="noConversion"/>
  </si>
  <si>
    <t>Ⅷ-顺2</t>
  </si>
  <si>
    <t>Ⅸ-通3</t>
  </si>
  <si>
    <t>Ⅹ-昌3</t>
  </si>
  <si>
    <t>Ⅺ-平4</t>
  </si>
  <si>
    <t>十二级</t>
    <phoneticPr fontId="8" type="noConversion"/>
  </si>
  <si>
    <t>Ⅱ—15</t>
  </si>
  <si>
    <t>Ⅲ—15</t>
  </si>
  <si>
    <t>Ⅳ-15</t>
  </si>
  <si>
    <t>Ⅴ-15</t>
  </si>
  <si>
    <t>Ⅵ-15</t>
  </si>
  <si>
    <t>Ⅶ-房1</t>
    <phoneticPr fontId="8" type="noConversion"/>
  </si>
  <si>
    <t>Ⅷ-顺3</t>
    <phoneticPr fontId="8" type="noConversion"/>
  </si>
  <si>
    <t>Ⅸ-顺1</t>
    <phoneticPr fontId="8" type="noConversion"/>
  </si>
  <si>
    <t>Ⅹ-平1</t>
    <phoneticPr fontId="8" type="noConversion"/>
  </si>
  <si>
    <t>Ⅺ-怀1</t>
    <phoneticPr fontId="8" type="noConversion"/>
  </si>
  <si>
    <t>Ⅱ—16</t>
  </si>
  <si>
    <t>Ⅲ—16</t>
  </si>
  <si>
    <t>Ⅳ-16</t>
  </si>
  <si>
    <t>Ⅴ-16</t>
  </si>
  <si>
    <t>Ⅵ-16</t>
  </si>
  <si>
    <t>Ⅶ-房2</t>
  </si>
  <si>
    <t>Ⅷ-顺4</t>
  </si>
  <si>
    <t>Ⅸ-顺2</t>
  </si>
  <si>
    <t>Ⅹ-平2</t>
  </si>
  <si>
    <t>Ⅺ-怀2</t>
  </si>
  <si>
    <t>Ⅱ—17</t>
  </si>
  <si>
    <t>Ⅲ—17</t>
  </si>
  <si>
    <t>Ⅳ-17</t>
  </si>
  <si>
    <t>Ⅴ-17</t>
  </si>
  <si>
    <t>Ⅵ-17</t>
  </si>
  <si>
    <t>Ⅶ-通1</t>
    <phoneticPr fontId="8" type="noConversion"/>
  </si>
  <si>
    <t>Ⅷ-顺5</t>
  </si>
  <si>
    <t>Ⅸ-顺3</t>
  </si>
  <si>
    <t>Ⅹ-怀1</t>
    <phoneticPr fontId="8" type="noConversion"/>
  </si>
  <si>
    <t>Ⅺ-密1</t>
    <phoneticPr fontId="8" type="noConversion"/>
  </si>
  <si>
    <t>Ⅱ—18</t>
  </si>
  <si>
    <t>Ⅲ—18</t>
  </si>
  <si>
    <t>Ⅳ-18</t>
  </si>
  <si>
    <t>Ⅴ-18</t>
  </si>
  <si>
    <t>Ⅵ-18</t>
  </si>
  <si>
    <t>Ⅶ-顺1</t>
    <phoneticPr fontId="8" type="noConversion"/>
  </si>
  <si>
    <t>Ⅷ-顺6</t>
  </si>
  <si>
    <t>Ⅸ-顺4</t>
  </si>
  <si>
    <t>Ⅹ-怀2</t>
  </si>
  <si>
    <t>Ⅺ-密2</t>
  </si>
  <si>
    <t>Ⅱ—19</t>
  </si>
  <si>
    <t>Ⅲ—19</t>
  </si>
  <si>
    <t>Ⅳ-19</t>
  </si>
  <si>
    <t>Ⅴ-19</t>
  </si>
  <si>
    <t>Ⅵ-19</t>
  </si>
  <si>
    <t>Ⅶ-顺2</t>
  </si>
  <si>
    <t>Ⅷ-顺7</t>
  </si>
  <si>
    <t>Ⅸ-兴1</t>
    <phoneticPr fontId="8" type="noConversion"/>
  </si>
  <si>
    <t>Ⅹ-怀3</t>
  </si>
  <si>
    <t>Ⅺ-密3</t>
  </si>
  <si>
    <t>Ⅲ—20</t>
  </si>
  <si>
    <t>Ⅳ-20</t>
  </si>
  <si>
    <t>Ⅴ-20</t>
  </si>
  <si>
    <t>Ⅵ-20</t>
  </si>
  <si>
    <t>Ⅶ-兴1</t>
    <phoneticPr fontId="8" type="noConversion"/>
  </si>
  <si>
    <t>Ⅷ-兴1</t>
    <phoneticPr fontId="8" type="noConversion"/>
  </si>
  <si>
    <t>Ⅸ-兴2</t>
  </si>
  <si>
    <t>Ⅹ-密1</t>
    <phoneticPr fontId="8" type="noConversion"/>
  </si>
  <si>
    <t>Ⅺ-延1</t>
    <phoneticPr fontId="8" type="noConversion"/>
  </si>
  <si>
    <t>Ⅱ—13</t>
    <phoneticPr fontId="8" type="noConversion"/>
  </si>
  <si>
    <t>Ⅳ-21</t>
  </si>
  <si>
    <t>Ⅴ-21</t>
  </si>
  <si>
    <t>Ⅵ-21</t>
  </si>
  <si>
    <t>Ⅶ-兴2</t>
  </si>
  <si>
    <t>Ⅷ-兴2</t>
  </si>
  <si>
    <t>Ⅸ-兴3</t>
  </si>
  <si>
    <t>Ⅹ-延1</t>
    <phoneticPr fontId="8" type="noConversion"/>
  </si>
  <si>
    <t>Ⅺ-延2</t>
  </si>
  <si>
    <t>Ⅳ-22</t>
  </si>
  <si>
    <t>Ⅴ-22</t>
  </si>
  <si>
    <t>Ⅵ-22</t>
  </si>
  <si>
    <t>Ⅶ-兴3</t>
  </si>
  <si>
    <t>Ⅷ-昌1</t>
    <phoneticPr fontId="8" type="noConversion"/>
  </si>
  <si>
    <t>Ⅸ-兴4</t>
  </si>
  <si>
    <t>Ⅹ-延2</t>
  </si>
  <si>
    <t>Ⅳ-23</t>
  </si>
  <si>
    <t>Ⅴ-23</t>
  </si>
  <si>
    <t>Ⅵ-23</t>
  </si>
  <si>
    <t>Ⅶ-昌1</t>
    <phoneticPr fontId="8" type="noConversion"/>
  </si>
  <si>
    <t>Ⅷ-昌2</t>
  </si>
  <si>
    <t>Ⅸ-兴5</t>
  </si>
  <si>
    <t>Ⅹ-亦1</t>
    <phoneticPr fontId="8" type="noConversion"/>
  </si>
  <si>
    <t>Ⅳ-电子城东</t>
    <phoneticPr fontId="8" type="noConversion"/>
  </si>
  <si>
    <t>Ⅴ-24</t>
  </si>
  <si>
    <t>Ⅵ-24</t>
  </si>
  <si>
    <t>Ⅶ-昌2</t>
  </si>
  <si>
    <t>Ⅷ-昌3</t>
  </si>
  <si>
    <t>Ⅸ-昌1</t>
    <phoneticPr fontId="8" type="noConversion"/>
  </si>
  <si>
    <t>Ⅹ-马坊工业园</t>
    <phoneticPr fontId="8" type="noConversion"/>
  </si>
  <si>
    <t>Ⅳ-电子城西</t>
    <phoneticPr fontId="8" type="noConversion"/>
  </si>
  <si>
    <t>Ⅴ-25</t>
  </si>
  <si>
    <t>Ⅵ-通1</t>
    <phoneticPr fontId="8" type="noConversion"/>
  </si>
  <si>
    <t>Ⅶ-昌3</t>
  </si>
  <si>
    <t>Ⅷ-昌4</t>
  </si>
  <si>
    <t>Ⅸ-昌2</t>
  </si>
  <si>
    <t>Ⅹ-延庆开发区</t>
    <phoneticPr fontId="8" type="noConversion"/>
  </si>
  <si>
    <t>Ⅳ-上地核心</t>
    <phoneticPr fontId="8" type="noConversion"/>
  </si>
  <si>
    <t>Ⅴ-26</t>
  </si>
  <si>
    <t>Ⅵ-通2</t>
  </si>
  <si>
    <t>Ⅶ-昌4</t>
  </si>
  <si>
    <t>Ⅷ-平1</t>
    <phoneticPr fontId="8" type="noConversion"/>
  </si>
  <si>
    <t>Ⅸ-昌3</t>
  </si>
  <si>
    <t>Ⅹ-八达岭开发区</t>
    <phoneticPr fontId="8" type="noConversion"/>
  </si>
  <si>
    <t>Ⅳ-丰台园东</t>
    <phoneticPr fontId="8" type="noConversion"/>
  </si>
  <si>
    <t>Ⅴ-电子城北</t>
    <phoneticPr fontId="8" type="noConversion"/>
  </si>
  <si>
    <t>Ⅵ-通3</t>
  </si>
  <si>
    <t>Ⅶ-昌5</t>
  </si>
  <si>
    <t>Ⅷ-怀1</t>
    <phoneticPr fontId="8" type="noConversion"/>
  </si>
  <si>
    <t>Ⅸ-昌4</t>
  </si>
  <si>
    <t>三级</t>
  </si>
  <si>
    <t>Ⅲ—01</t>
    <phoneticPr fontId="8" type="noConversion"/>
  </si>
  <si>
    <t>Ⅴ-永丰产业基地</t>
    <phoneticPr fontId="8" type="noConversion"/>
  </si>
  <si>
    <t>Ⅵ-通4</t>
  </si>
  <si>
    <t>Ⅶ-亦1</t>
    <phoneticPr fontId="8" type="noConversion"/>
  </si>
  <si>
    <t>Ⅷ-密1</t>
    <phoneticPr fontId="8" type="noConversion"/>
  </si>
  <si>
    <t>Ⅸ-昌5</t>
  </si>
  <si>
    <t>Ⅴ-航天城</t>
    <phoneticPr fontId="8" type="noConversion"/>
  </si>
  <si>
    <t>Ⅵ-顺1</t>
    <phoneticPr fontId="8" type="noConversion"/>
  </si>
  <si>
    <t>Ⅶ-国际教育园</t>
    <phoneticPr fontId="8" type="noConversion"/>
  </si>
  <si>
    <t>Ⅸ-昌南</t>
    <phoneticPr fontId="8" type="noConversion"/>
  </si>
  <si>
    <r>
      <t>Ⅴ-西北旺</t>
    </r>
    <r>
      <rPr>
        <sz val="10"/>
        <color indexed="8"/>
        <rFont val="宋体"/>
        <family val="3"/>
        <charset val="134"/>
      </rPr>
      <t>Ⅰ</t>
    </r>
    <phoneticPr fontId="8" type="noConversion"/>
  </si>
  <si>
    <t>Ⅵ-兴1</t>
    <phoneticPr fontId="8" type="noConversion"/>
  </si>
  <si>
    <t>Ⅶ-农林园</t>
    <phoneticPr fontId="8" type="noConversion"/>
  </si>
  <si>
    <t>Ⅷ-亦1</t>
    <phoneticPr fontId="8" type="noConversion"/>
  </si>
  <si>
    <t>Ⅸ-平1</t>
    <phoneticPr fontId="8" type="noConversion"/>
  </si>
  <si>
    <r>
      <t>Ⅴ-西北旺</t>
    </r>
    <r>
      <rPr>
        <sz val="10"/>
        <color indexed="8"/>
        <rFont val="宋体"/>
        <family val="3"/>
        <charset val="134"/>
      </rPr>
      <t>Ⅱ</t>
    </r>
    <phoneticPr fontId="8" type="noConversion"/>
  </si>
  <si>
    <t>Ⅵ-昌1</t>
    <phoneticPr fontId="8" type="noConversion"/>
  </si>
  <si>
    <t>Ⅶ-上庄科技</t>
    <phoneticPr fontId="8" type="noConversion"/>
  </si>
  <si>
    <t>Ⅷ-亦2</t>
  </si>
  <si>
    <t>Ⅸ-怀1</t>
    <phoneticPr fontId="8" type="noConversion"/>
  </si>
  <si>
    <t>Ⅴ-石景山园南区</t>
    <phoneticPr fontId="8" type="noConversion"/>
  </si>
  <si>
    <t>Ⅵ-昌2</t>
  </si>
  <si>
    <t>Ⅶ-文化教育基地</t>
    <phoneticPr fontId="8" type="noConversion"/>
  </si>
  <si>
    <t>Ⅷ-良乡开发区A</t>
    <phoneticPr fontId="8" type="noConversion"/>
  </si>
  <si>
    <t>Ⅸ-密1</t>
    <phoneticPr fontId="8" type="noConversion"/>
  </si>
  <si>
    <r>
      <t>Ⅴ-石景山园北</t>
    </r>
    <r>
      <rPr>
        <sz val="10"/>
        <color indexed="8"/>
        <rFont val="宋体"/>
        <family val="3"/>
        <charset val="134"/>
      </rPr>
      <t>Ⅰ</t>
    </r>
    <phoneticPr fontId="8" type="noConversion"/>
  </si>
  <si>
    <t>Ⅵ-昌3</t>
  </si>
  <si>
    <r>
      <t>Ⅶ-苏家坨科技</t>
    </r>
    <r>
      <rPr>
        <sz val="10"/>
        <color indexed="8"/>
        <rFont val="宋体"/>
        <family val="3"/>
        <charset val="134"/>
      </rPr>
      <t>Ⅰ</t>
    </r>
    <phoneticPr fontId="8" type="noConversion"/>
  </si>
  <si>
    <t>Ⅷ-良乡开发区B</t>
    <phoneticPr fontId="8" type="noConversion"/>
  </si>
  <si>
    <t>Ⅸ-延1</t>
    <phoneticPr fontId="8" type="noConversion"/>
  </si>
  <si>
    <r>
      <t>Ⅴ-石景山园北</t>
    </r>
    <r>
      <rPr>
        <sz val="10"/>
        <color indexed="8"/>
        <rFont val="宋体"/>
        <family val="3"/>
        <charset val="134"/>
      </rPr>
      <t>Ⅱ</t>
    </r>
    <phoneticPr fontId="8" type="noConversion"/>
  </si>
  <si>
    <t>Ⅵ-昌4</t>
  </si>
  <si>
    <r>
      <t>Ⅶ-苏家坨科技</t>
    </r>
    <r>
      <rPr>
        <sz val="10"/>
        <color indexed="8"/>
        <rFont val="宋体"/>
        <family val="3"/>
        <charset val="134"/>
      </rPr>
      <t>Ⅱ</t>
    </r>
    <phoneticPr fontId="8" type="noConversion"/>
  </si>
  <si>
    <t>Ⅷ-良乡开发区C</t>
    <phoneticPr fontId="8" type="noConversion"/>
  </si>
  <si>
    <t>Ⅸ-亦1</t>
    <phoneticPr fontId="8" type="noConversion"/>
  </si>
  <si>
    <t>Ⅵ-亦1</t>
    <phoneticPr fontId="8" type="noConversion"/>
  </si>
  <si>
    <r>
      <t>Ⅶ-丰台园西</t>
    </r>
    <r>
      <rPr>
        <sz val="10"/>
        <color indexed="8"/>
        <rFont val="宋体"/>
        <family val="3"/>
        <charset val="134"/>
      </rPr>
      <t>Ⅰ</t>
    </r>
    <phoneticPr fontId="8" type="noConversion"/>
  </si>
  <si>
    <t>Ⅷ-通州环保园</t>
    <phoneticPr fontId="8" type="noConversion"/>
  </si>
  <si>
    <t>Ⅸ-房山工业园东</t>
    <phoneticPr fontId="8" type="noConversion"/>
  </si>
  <si>
    <t>Ⅵ-创新园</t>
    <phoneticPr fontId="8" type="noConversion"/>
  </si>
  <si>
    <r>
      <t>Ⅶ-丰台园西</t>
    </r>
    <r>
      <rPr>
        <sz val="10"/>
        <color indexed="8"/>
        <rFont val="宋体"/>
        <family val="3"/>
        <charset val="134"/>
      </rPr>
      <t>Ⅱ</t>
    </r>
    <phoneticPr fontId="8" type="noConversion"/>
  </si>
  <si>
    <t>Ⅷ-空港北区A</t>
    <phoneticPr fontId="8" type="noConversion"/>
  </si>
  <si>
    <t>Ⅸ-房山工业园西</t>
    <phoneticPr fontId="8" type="noConversion"/>
  </si>
  <si>
    <t>Ⅵ-海淀环保园</t>
    <phoneticPr fontId="8" type="noConversion"/>
  </si>
  <si>
    <t>Ⅶ-石龙开发区</t>
    <phoneticPr fontId="8" type="noConversion"/>
  </si>
  <si>
    <t>Ⅷ-空港北区B</t>
    <phoneticPr fontId="8" type="noConversion"/>
  </si>
  <si>
    <t>Ⅸ-通州开发区东</t>
    <phoneticPr fontId="8" type="noConversion"/>
  </si>
  <si>
    <r>
      <t>Ⅵ-温泉科技</t>
    </r>
    <r>
      <rPr>
        <sz val="10"/>
        <color indexed="8"/>
        <rFont val="宋体"/>
        <family val="3"/>
        <charset val="134"/>
      </rPr>
      <t>Ⅰ</t>
    </r>
    <phoneticPr fontId="8" type="noConversion"/>
  </si>
  <si>
    <t>Ⅶ-光机电</t>
    <phoneticPr fontId="8" type="noConversion"/>
  </si>
  <si>
    <t>Ⅷ-生物医药基地</t>
    <phoneticPr fontId="8" type="noConversion"/>
  </si>
  <si>
    <t>Ⅸ-永乐开发区</t>
    <phoneticPr fontId="8" type="noConversion"/>
  </si>
  <si>
    <r>
      <t>Ⅵ-温泉科技</t>
    </r>
    <r>
      <rPr>
        <sz val="10"/>
        <color indexed="8"/>
        <rFont val="宋体"/>
        <family val="3"/>
        <charset val="134"/>
      </rPr>
      <t>Ⅱ</t>
    </r>
    <phoneticPr fontId="8" type="noConversion"/>
  </si>
  <si>
    <t>Ⅶ-通州开发区西</t>
    <phoneticPr fontId="8" type="noConversion"/>
  </si>
  <si>
    <t>Ⅷ-小汤山工业园</t>
    <phoneticPr fontId="8" type="noConversion"/>
  </si>
  <si>
    <t>Ⅸ-采育开发区</t>
    <phoneticPr fontId="8" type="noConversion"/>
  </si>
  <si>
    <r>
      <t>Ⅵ-温泉科技</t>
    </r>
    <r>
      <rPr>
        <sz val="10"/>
        <color indexed="8"/>
        <rFont val="宋体"/>
        <family val="3"/>
        <charset val="134"/>
      </rPr>
      <t>Ⅲ</t>
    </r>
    <phoneticPr fontId="8" type="noConversion"/>
  </si>
  <si>
    <t>Ⅶ-林河开发区</t>
    <phoneticPr fontId="8" type="noConversion"/>
  </si>
  <si>
    <t>Ⅸ-兴谷开发区A</t>
    <phoneticPr fontId="8" type="noConversion"/>
  </si>
  <si>
    <t>Ⅵ-天竺保税区南</t>
    <phoneticPr fontId="8" type="noConversion"/>
  </si>
  <si>
    <t>Ⅶ-大兴开发区</t>
    <phoneticPr fontId="8" type="noConversion"/>
  </si>
  <si>
    <t>Ⅸ-兴谷开发区B</t>
    <phoneticPr fontId="8" type="noConversion"/>
  </si>
  <si>
    <t>Ⅵ-天竺保税区北1</t>
    <phoneticPr fontId="8" type="noConversion"/>
  </si>
  <si>
    <r>
      <t>Ⅶ-昌平园南</t>
    </r>
    <r>
      <rPr>
        <sz val="10"/>
        <color indexed="8"/>
        <rFont val="宋体"/>
        <family val="3"/>
        <charset val="134"/>
      </rPr>
      <t>Ⅰ</t>
    </r>
    <phoneticPr fontId="8" type="noConversion"/>
  </si>
  <si>
    <t>Ⅸ-雁栖开发区A</t>
    <phoneticPr fontId="8" type="noConversion"/>
  </si>
  <si>
    <t>Ⅵ-天竺保税区北2</t>
  </si>
  <si>
    <r>
      <t>Ⅶ-昌平园南</t>
    </r>
    <r>
      <rPr>
        <sz val="10"/>
        <color indexed="8"/>
        <rFont val="宋体"/>
        <family val="3"/>
        <charset val="134"/>
      </rPr>
      <t>Ⅱ</t>
    </r>
    <phoneticPr fontId="8" type="noConversion"/>
  </si>
  <si>
    <t>Ⅸ-雁栖开发区B</t>
    <phoneticPr fontId="8" type="noConversion"/>
  </si>
  <si>
    <t>Ⅵ-空港A</t>
    <phoneticPr fontId="8" type="noConversion"/>
  </si>
  <si>
    <r>
      <t>Ⅶ-昌平园北</t>
    </r>
    <r>
      <rPr>
        <sz val="10"/>
        <color indexed="8"/>
        <rFont val="宋体"/>
        <family val="3"/>
        <charset val="134"/>
      </rPr>
      <t>Ⅰ</t>
    </r>
    <phoneticPr fontId="8" type="noConversion"/>
  </si>
  <si>
    <t>Ⅸ-雁栖开发区C</t>
    <phoneticPr fontId="8" type="noConversion"/>
  </si>
  <si>
    <t>Ⅵ-空港B</t>
    <phoneticPr fontId="8" type="noConversion"/>
  </si>
  <si>
    <r>
      <t>Ⅶ-昌平园北</t>
    </r>
    <r>
      <rPr>
        <sz val="10"/>
        <color indexed="8"/>
        <rFont val="宋体"/>
        <family val="3"/>
        <charset val="134"/>
      </rPr>
      <t>Ⅱ</t>
    </r>
    <phoneticPr fontId="8" type="noConversion"/>
  </si>
  <si>
    <t>Ⅸ-密云开发区</t>
    <phoneticPr fontId="8" type="noConversion"/>
  </si>
  <si>
    <t>Ⅵ-生命科学园</t>
    <phoneticPr fontId="8" type="noConversion"/>
  </si>
  <si>
    <r>
      <t>Ⅶ-昌平园北</t>
    </r>
    <r>
      <rPr>
        <sz val="10"/>
        <color indexed="8"/>
        <rFont val="宋体"/>
        <family val="3"/>
        <charset val="134"/>
      </rPr>
      <t>Ⅲ</t>
    </r>
    <phoneticPr fontId="8" type="noConversion"/>
  </si>
  <si>
    <t>Ⅵ-昌三一光电</t>
    <phoneticPr fontId="8" type="noConversion"/>
  </si>
  <si>
    <t>Ⅶ-BDA东</t>
    <phoneticPr fontId="8" type="noConversion"/>
  </si>
  <si>
    <t>Ⅳ-01</t>
    <phoneticPr fontId="8" type="noConversion"/>
  </si>
  <si>
    <t>Ⅵ-BDA核心</t>
    <phoneticPr fontId="8" type="noConversion"/>
  </si>
  <si>
    <t>Ⅶ-BDA西</t>
    <phoneticPr fontId="8" type="noConversion"/>
  </si>
  <si>
    <t>五级</t>
  </si>
  <si>
    <t>Ⅴ-01</t>
    <phoneticPr fontId="8" type="noConversion"/>
  </si>
  <si>
    <t>Ⅵ-01</t>
    <phoneticPr fontId="8" type="noConversion"/>
  </si>
  <si>
    <t>七级</t>
  </si>
  <si>
    <t>Ⅶ-01</t>
    <phoneticPr fontId="8" type="noConversion"/>
  </si>
  <si>
    <t>八级</t>
  </si>
  <si>
    <t>Ⅷ-01</t>
    <phoneticPr fontId="8" type="noConversion"/>
  </si>
  <si>
    <t>九级</t>
  </si>
  <si>
    <t>Ⅸ-01</t>
    <phoneticPr fontId="8" type="noConversion"/>
  </si>
  <si>
    <t>Ⅸ-门1</t>
    <phoneticPr fontId="8" type="noConversion"/>
  </si>
  <si>
    <t>Ⅸ-门2</t>
    <phoneticPr fontId="8" type="noConversion"/>
  </si>
  <si>
    <t>十级</t>
  </si>
  <si>
    <t>Ⅹ-01</t>
    <phoneticPr fontId="8" type="noConversion"/>
  </si>
  <si>
    <t>Ⅹ-门1</t>
    <phoneticPr fontId="8" type="noConversion"/>
  </si>
  <si>
    <t>Ⅹ-门斋</t>
    <phoneticPr fontId="8" type="noConversion"/>
  </si>
  <si>
    <t>Ⅹ-房1</t>
    <phoneticPr fontId="8" type="noConversion"/>
  </si>
  <si>
    <t>Ⅺ-门1</t>
    <phoneticPr fontId="8" type="noConversion"/>
  </si>
  <si>
    <t>Ⅺ-门斋</t>
    <phoneticPr fontId="8" type="noConversion"/>
  </si>
  <si>
    <t>Ⅺ-房1</t>
    <phoneticPr fontId="8" type="noConversion"/>
  </si>
  <si>
    <t>Ⅻ-门1</t>
    <phoneticPr fontId="8" type="noConversion"/>
  </si>
  <si>
    <t>Ⅻ-房1</t>
    <phoneticPr fontId="8" type="noConversion"/>
  </si>
  <si>
    <t>Ⅻ-昌1</t>
    <phoneticPr fontId="8" type="noConversion"/>
  </si>
  <si>
    <t>Ⅻ-平1</t>
    <phoneticPr fontId="8" type="noConversion"/>
  </si>
  <si>
    <t>土地级别</t>
    <phoneticPr fontId="8" type="noConversion"/>
  </si>
  <si>
    <t>通路</t>
    <phoneticPr fontId="8" type="noConversion"/>
  </si>
  <si>
    <t>通电</t>
    <phoneticPr fontId="8" type="noConversion"/>
  </si>
  <si>
    <t>通讯</t>
    <phoneticPr fontId="8" type="noConversion"/>
  </si>
  <si>
    <t>通上水</t>
    <phoneticPr fontId="8" type="noConversion"/>
  </si>
  <si>
    <t>通下水</t>
    <phoneticPr fontId="8" type="noConversion"/>
  </si>
  <si>
    <t>通热</t>
    <phoneticPr fontId="8" type="noConversion"/>
  </si>
  <si>
    <t>燃气</t>
    <phoneticPr fontId="8" type="noConversion"/>
  </si>
  <si>
    <t>平整</t>
    <phoneticPr fontId="8" type="noConversion"/>
  </si>
  <si>
    <t>——</t>
    <phoneticPr fontId="8" type="noConversion"/>
  </si>
  <si>
    <t>北京市基准地价用途修正系数表</t>
    <phoneticPr fontId="8" type="noConversion"/>
  </si>
  <si>
    <t>用途</t>
    <phoneticPr fontId="8" type="noConversion"/>
  </si>
  <si>
    <t>用途类别划分</t>
    <phoneticPr fontId="8" type="noConversion"/>
  </si>
  <si>
    <t>用途修正  系数</t>
    <phoneticPr fontId="8" type="noConversion"/>
  </si>
  <si>
    <t>比准类别</t>
    <phoneticPr fontId="8" type="noConversion"/>
  </si>
  <si>
    <t>批发零售用地</t>
    <phoneticPr fontId="8" type="noConversion"/>
  </si>
  <si>
    <t>（指主要用于商品批发、零售的用地，包括商场、商店、超市、各类批发（零售）市场、加油站等及其附属的小型仓库、车间、工场等）</t>
    <phoneticPr fontId="8" type="noConversion"/>
  </si>
  <si>
    <t>其他类别</t>
    <phoneticPr fontId="8" type="noConversion"/>
  </si>
  <si>
    <t>住宿餐饮用地</t>
    <phoneticPr fontId="8" type="noConversion"/>
  </si>
  <si>
    <t>（指主要用于提供住宿、餐饮服务的用地，包括宾馆、酒店、饭店、旅馆、招待所、度假村、餐厅、酒吧等）</t>
    <phoneticPr fontId="8" type="noConversion"/>
  </si>
  <si>
    <t>商务金融用地（商业类）</t>
    <phoneticPr fontId="8" type="noConversion"/>
  </si>
  <si>
    <t>（指金融、证券、通讯、保险等营业网点用地）</t>
    <phoneticPr fontId="8" type="noConversion"/>
  </si>
  <si>
    <t>其他商服用地</t>
    <phoneticPr fontId="8" type="noConversion"/>
  </si>
  <si>
    <t>（指上述用地以外的其他商业、服务业用地，包括洗车场、洗染店、废旧物资回收站、维修网点、照相馆、理发美容店、洗浴场所、俱乐部、康乐中心、歌舞厅、赛车场、影视基地、影剧院、邮政、电信营业网点等）</t>
    <phoneticPr fontId="8" type="noConversion"/>
  </si>
  <si>
    <t>殡葬用地等特殊用地</t>
    <phoneticPr fontId="8" type="noConversion"/>
  </si>
  <si>
    <t>商务金融用地（办公类）</t>
    <phoneticPr fontId="8" type="noConversion"/>
  </si>
  <si>
    <t>（指企业、服务业等办公用地，以及经营性的办公场所用地，包括写字楼、商业性办公楼和企业厂区外独立的办公楼）</t>
    <phoneticPr fontId="8" type="noConversion"/>
  </si>
  <si>
    <t>其他商服用地（停车场、停车楼等用地）</t>
    <phoneticPr fontId="8" type="noConversion"/>
  </si>
  <si>
    <t>其他商服用地（指展览馆、会展中心等用地）</t>
    <phoneticPr fontId="8" type="noConversion"/>
  </si>
  <si>
    <t>机场航站楼用地</t>
    <phoneticPr fontId="8" type="noConversion"/>
  </si>
  <si>
    <t>科教用地</t>
    <phoneticPr fontId="8" type="noConversion"/>
  </si>
  <si>
    <t>（指用于各类教育，独立的科研、勘测、设计、技术推广、科普等的用地）</t>
    <phoneticPr fontId="8" type="noConversion"/>
  </si>
  <si>
    <t>新闻出版用地</t>
    <phoneticPr fontId="8" type="noConversion"/>
  </si>
  <si>
    <t>（指用于广播电台、电视台、电影厂、报社、杂志社、通讯社、出版社等的用地）、</t>
    <phoneticPr fontId="8" type="noConversion"/>
  </si>
  <si>
    <t>机关团体用地</t>
    <phoneticPr fontId="8" type="noConversion"/>
  </si>
  <si>
    <t>（指用于党政机关、社会团体、群众自治组织等的用地）</t>
    <phoneticPr fontId="8" type="noConversion"/>
  </si>
  <si>
    <t>医卫慈善用地</t>
    <phoneticPr fontId="8" type="noConversion"/>
  </si>
  <si>
    <t>（指用于医疗保健、卫生防疫、急救康复、医检药检、福利救助、养老设施等的用地）</t>
    <phoneticPr fontId="8" type="noConversion"/>
  </si>
  <si>
    <t>文体娱乐用地</t>
    <phoneticPr fontId="8" type="noConversion"/>
  </si>
  <si>
    <t>（指各类文化、体育及公共广场用地）</t>
    <phoneticPr fontId="8" type="noConversion"/>
  </si>
  <si>
    <t>产业用地</t>
    <phoneticPr fontId="8" type="noConversion"/>
  </si>
  <si>
    <t>（指高新技术产业研发与展示中心等产业用地）</t>
    <phoneticPr fontId="8" type="noConversion"/>
  </si>
  <si>
    <t>居住用地（指二类居住用地）</t>
    <phoneticPr fontId="8" type="noConversion"/>
  </si>
  <si>
    <t>（指二类居住用地（地上容积率≥１。）</t>
    <phoneticPr fontId="8" type="noConversion"/>
  </si>
  <si>
    <t>居住用地（指一类居住用地）</t>
    <phoneticPr fontId="8" type="noConversion"/>
  </si>
  <si>
    <t>（指一类居住用地（地上容积率＜１。）</t>
    <phoneticPr fontId="8" type="noConversion"/>
  </si>
  <si>
    <t>工业用地</t>
    <phoneticPr fontId="8" type="noConversion"/>
  </si>
  <si>
    <t>（指工业生产及直接为工业生产服务的附属设施用地）</t>
    <phoneticPr fontId="8" type="noConversion"/>
  </si>
  <si>
    <t>采矿用地</t>
    <phoneticPr fontId="8" type="noConversion"/>
  </si>
  <si>
    <t>（指采矿、采石、采砂（沙）场，盐田，砖瓦窑等地面生产设施及尾矿堆放地）</t>
    <phoneticPr fontId="8" type="noConversion"/>
  </si>
  <si>
    <t>仓储用地</t>
    <phoneticPr fontId="8" type="noConversion"/>
  </si>
  <si>
    <t>（指用于物资储备、中转的物流仓储场所等用地）</t>
    <phoneticPr fontId="8" type="noConversion"/>
  </si>
  <si>
    <t>公共设施用地</t>
    <phoneticPr fontId="8" type="noConversion"/>
  </si>
  <si>
    <t>（指用于城乡基础设施的用地，包括给排水、供电、供热、供气、邮政、电信、消防、环卫、公用设施维修等用地。）</t>
    <phoneticPr fontId="8" type="noConversion"/>
  </si>
  <si>
    <t>交通用地</t>
    <phoneticPr fontId="8" type="noConversion"/>
  </si>
  <si>
    <t>（指铁路用地、公路用地、机场用地、管道运输用地等，包括铁路、公路、机场、管道运输的地面线路、站场等用地以及城市道路、车站及其相应附属设施用地）</t>
    <phoneticPr fontId="8" type="noConversion"/>
  </si>
  <si>
    <t>备注：本用途修正系数仅适用于地上部分各类用途的修正，地下空间部分不适用上表中的用途修正，直接使用地下空间修正</t>
    <phoneticPr fontId="8" type="noConversion"/>
  </si>
  <si>
    <t>地下</t>
    <phoneticPr fontId="8" type="noConversion"/>
  </si>
  <si>
    <t>地下仓储</t>
    <phoneticPr fontId="8" type="noConversion"/>
  </si>
  <si>
    <t>车库</t>
    <phoneticPr fontId="8" type="noConversion"/>
  </si>
  <si>
    <t>—</t>
    <phoneticPr fontId="8" type="noConversion"/>
  </si>
  <si>
    <t>北京市商业路线价加价幅度表</t>
    <phoneticPr fontId="8" type="noConversion"/>
  </si>
  <si>
    <t>序号</t>
    <phoneticPr fontId="8" type="noConversion"/>
  </si>
  <si>
    <t>区县</t>
    <phoneticPr fontId="8" type="noConversion"/>
  </si>
  <si>
    <t>商业街名称</t>
    <phoneticPr fontId="8" type="noConversion"/>
  </si>
  <si>
    <t>起止点</t>
    <phoneticPr fontId="8" type="noConversion"/>
  </si>
  <si>
    <t>加价幅度</t>
    <phoneticPr fontId="8" type="noConversion"/>
  </si>
  <si>
    <t>标准深度（m）</t>
    <phoneticPr fontId="8" type="noConversion"/>
  </si>
  <si>
    <t>东城区</t>
    <phoneticPr fontId="8" type="noConversion"/>
  </si>
  <si>
    <t>东长安街</t>
    <phoneticPr fontId="8" type="noConversion"/>
  </si>
  <si>
    <t>天安门——东单</t>
    <phoneticPr fontId="8" type="noConversion"/>
  </si>
  <si>
    <t>建国门内大街</t>
    <phoneticPr fontId="8" type="noConversion"/>
  </si>
  <si>
    <t>建国门——东单</t>
    <phoneticPr fontId="8" type="noConversion"/>
  </si>
  <si>
    <t>王府井商业街</t>
    <phoneticPr fontId="8" type="noConversion"/>
  </si>
  <si>
    <t>东长安街——五四大街</t>
    <phoneticPr fontId="8" type="noConversion"/>
  </si>
  <si>
    <t>东单北大街</t>
    <phoneticPr fontId="8" type="noConversion"/>
  </si>
  <si>
    <t>金鱼胡同——东单路口</t>
    <phoneticPr fontId="8" type="noConversion"/>
  </si>
  <si>
    <t>东四南大街</t>
    <phoneticPr fontId="8" type="noConversion"/>
  </si>
  <si>
    <t>东四路口——金鱼胡同</t>
    <phoneticPr fontId="8" type="noConversion"/>
  </si>
  <si>
    <t>东直门内大街      （簋街）</t>
    <phoneticPr fontId="8" type="noConversion"/>
  </si>
  <si>
    <t>东直门桥——北新桥</t>
    <phoneticPr fontId="8" type="noConversion"/>
  </si>
  <si>
    <t>北京站东街</t>
    <phoneticPr fontId="8" type="noConversion"/>
  </si>
  <si>
    <t>建国门南大街——北京站</t>
    <phoneticPr fontId="8" type="noConversion"/>
  </si>
  <si>
    <t>北京站街</t>
    <phoneticPr fontId="8" type="noConversion"/>
  </si>
  <si>
    <t>建国门内大街——北京站</t>
    <phoneticPr fontId="8" type="noConversion"/>
  </si>
  <si>
    <t>东四十条</t>
    <phoneticPr fontId="8" type="noConversion"/>
  </si>
  <si>
    <t>东四十条桥——东四北大街</t>
    <phoneticPr fontId="8" type="noConversion"/>
  </si>
  <si>
    <t>张自忠路</t>
    <phoneticPr fontId="8" type="noConversion"/>
  </si>
  <si>
    <t>东四北大街——交道口南大街</t>
    <phoneticPr fontId="8" type="noConversion"/>
  </si>
  <si>
    <t>地安门东大街</t>
    <phoneticPr fontId="8" type="noConversion"/>
  </si>
  <si>
    <t>交道口南大街——地安门外大街</t>
    <phoneticPr fontId="8" type="noConversion"/>
  </si>
  <si>
    <t>前门商业街</t>
    <phoneticPr fontId="8" type="noConversion"/>
  </si>
  <si>
    <t>前门箭楼——珠市口</t>
    <phoneticPr fontId="8" type="noConversion"/>
  </si>
  <si>
    <t>崇外商业街</t>
    <phoneticPr fontId="8" type="noConversion"/>
  </si>
  <si>
    <t>崇文门——磁器口</t>
    <phoneticPr fontId="8" type="noConversion"/>
  </si>
  <si>
    <t>广渠门内大街</t>
    <phoneticPr fontId="8" type="noConversion"/>
  </si>
  <si>
    <t>广渠门——磁器口</t>
    <phoneticPr fontId="8" type="noConversion"/>
  </si>
  <si>
    <t>珠市口东大街</t>
    <phoneticPr fontId="8" type="noConversion"/>
  </si>
  <si>
    <t>磁器口——珠市口</t>
    <phoneticPr fontId="8" type="noConversion"/>
  </si>
  <si>
    <t>西城区</t>
    <phoneticPr fontId="8" type="noConversion"/>
  </si>
  <si>
    <t>西长安街</t>
    <phoneticPr fontId="8" type="noConversion"/>
  </si>
  <si>
    <t>天安门——西单</t>
    <phoneticPr fontId="8" type="noConversion"/>
  </si>
  <si>
    <t>复兴门内大街</t>
    <phoneticPr fontId="8" type="noConversion"/>
  </si>
  <si>
    <t>西单——复兴门</t>
    <phoneticPr fontId="8" type="noConversion"/>
  </si>
  <si>
    <t>复兴门外大街</t>
    <phoneticPr fontId="8" type="noConversion"/>
  </si>
  <si>
    <t>复兴门——木樨地</t>
    <phoneticPr fontId="8" type="noConversion"/>
  </si>
  <si>
    <t>西单商业街</t>
    <phoneticPr fontId="8" type="noConversion"/>
  </si>
  <si>
    <t>西单——辟才胡同</t>
    <phoneticPr fontId="8" type="noConversion"/>
  </si>
  <si>
    <t>西四商业街</t>
    <phoneticPr fontId="8" type="noConversion"/>
  </si>
  <si>
    <t>辟才胡同——平安里</t>
    <phoneticPr fontId="8" type="noConversion"/>
  </si>
  <si>
    <t>新街口商业街</t>
    <phoneticPr fontId="8" type="noConversion"/>
  </si>
  <si>
    <t>平安里——积水潭桥</t>
    <phoneticPr fontId="8" type="noConversion"/>
  </si>
  <si>
    <t>双旗杆西街       （福利特商业街）</t>
    <phoneticPr fontId="8" type="noConversion"/>
  </si>
  <si>
    <t>北三环中路——黄寺大街</t>
    <phoneticPr fontId="8" type="noConversion"/>
  </si>
  <si>
    <t>地安门西大街</t>
    <phoneticPr fontId="8" type="noConversion"/>
  </si>
  <si>
    <t>地安门外大街——新街口南大街</t>
    <phoneticPr fontId="8" type="noConversion"/>
  </si>
  <si>
    <t>平安里西大街</t>
    <phoneticPr fontId="8" type="noConversion"/>
  </si>
  <si>
    <t>新街口南大街——车公庄</t>
    <phoneticPr fontId="8" type="noConversion"/>
  </si>
  <si>
    <t>大栅栏商业街</t>
    <phoneticPr fontId="8" type="noConversion"/>
  </si>
  <si>
    <t>前门大街——煤市街</t>
    <phoneticPr fontId="8" type="noConversion"/>
  </si>
  <si>
    <t>珠市口西大街</t>
    <phoneticPr fontId="8" type="noConversion"/>
  </si>
  <si>
    <t>珠市口——南新华街</t>
    <phoneticPr fontId="8" type="noConversion"/>
  </si>
  <si>
    <t>骡马市大街</t>
    <phoneticPr fontId="8" type="noConversion"/>
  </si>
  <si>
    <t>南新华街——菜市口</t>
    <phoneticPr fontId="8" type="noConversion"/>
  </si>
  <si>
    <t>广安门内大街</t>
    <phoneticPr fontId="8" type="noConversion"/>
  </si>
  <si>
    <t>菜市口——广安门桥</t>
    <phoneticPr fontId="8" type="noConversion"/>
  </si>
  <si>
    <t>宣武门外大街</t>
    <phoneticPr fontId="8" type="noConversion"/>
  </si>
  <si>
    <t>宣武门——菜市口</t>
    <phoneticPr fontId="8" type="noConversion"/>
  </si>
  <si>
    <t>菜市口大街</t>
    <phoneticPr fontId="8" type="noConversion"/>
  </si>
  <si>
    <t>菜市口——开阳桥</t>
    <phoneticPr fontId="8" type="noConversion"/>
  </si>
  <si>
    <t>马连道路</t>
    <phoneticPr fontId="8" type="noConversion"/>
  </si>
  <si>
    <t>广安门外大街——红莲南路</t>
    <phoneticPr fontId="8" type="noConversion"/>
  </si>
  <si>
    <t>朝阳区</t>
    <phoneticPr fontId="8" type="noConversion"/>
  </si>
  <si>
    <t>朝外商业街</t>
    <phoneticPr fontId="8" type="noConversion"/>
  </si>
  <si>
    <t>朝阳门——东大桥</t>
    <phoneticPr fontId="8" type="noConversion"/>
  </si>
  <si>
    <t>安立路</t>
    <phoneticPr fontId="8" type="noConversion"/>
  </si>
  <si>
    <t>安慧桥——慧忠北路</t>
    <phoneticPr fontId="8" type="noConversion"/>
  </si>
  <si>
    <t>三里屯路</t>
    <phoneticPr fontId="8" type="noConversion"/>
  </si>
  <si>
    <t>工人体育场北路——东直门外大街</t>
    <phoneticPr fontId="8" type="noConversion"/>
  </si>
  <si>
    <t>秀水街</t>
    <phoneticPr fontId="8" type="noConversion"/>
  </si>
  <si>
    <t>建国门外大街——光华路</t>
    <phoneticPr fontId="8" type="noConversion"/>
  </si>
  <si>
    <t>大羊坊路         （十里河建材商业街）</t>
    <phoneticPr fontId="8" type="noConversion"/>
  </si>
  <si>
    <t>十里河桥——小武基路</t>
    <phoneticPr fontId="8" type="noConversion"/>
  </si>
  <si>
    <t>建国门外大街</t>
    <phoneticPr fontId="8" type="noConversion"/>
  </si>
  <si>
    <t>建国门桥——国贸桥</t>
    <phoneticPr fontId="8" type="noConversion"/>
  </si>
  <si>
    <t>建国路</t>
    <phoneticPr fontId="8" type="noConversion"/>
  </si>
  <si>
    <t>国贸桥——西大望路</t>
    <phoneticPr fontId="8" type="noConversion"/>
  </si>
  <si>
    <t>海淀区</t>
    <phoneticPr fontId="8" type="noConversion"/>
  </si>
  <si>
    <t>中关村大街</t>
    <phoneticPr fontId="8" type="noConversion"/>
  </si>
  <si>
    <t>海淀南路——北四环</t>
    <phoneticPr fontId="8" type="noConversion"/>
  </si>
  <si>
    <t>复兴路</t>
    <phoneticPr fontId="8" type="noConversion"/>
  </si>
  <si>
    <t>木樨地——万寿路</t>
    <phoneticPr fontId="8" type="noConversion"/>
  </si>
  <si>
    <t>海淀中路</t>
    <phoneticPr fontId="8" type="noConversion"/>
  </si>
  <si>
    <t>丰台区</t>
    <phoneticPr fontId="8" type="noConversion"/>
  </si>
  <si>
    <t>蒲芳路、紫芳路    （方庄商业街）</t>
    <phoneticPr fontId="8" type="noConversion"/>
  </si>
  <si>
    <t>蒲黄榆路——方庄东路</t>
    <phoneticPr fontId="8" type="noConversion"/>
  </si>
  <si>
    <t>石景山区</t>
    <phoneticPr fontId="8" type="noConversion"/>
  </si>
  <si>
    <t>石景山路</t>
    <phoneticPr fontId="8" type="noConversion"/>
  </si>
  <si>
    <t>八宝山——八角桥</t>
    <phoneticPr fontId="8" type="noConversion"/>
  </si>
  <si>
    <t>门头沟区</t>
    <phoneticPr fontId="8" type="noConversion"/>
  </si>
  <si>
    <t>新桥大街</t>
    <phoneticPr fontId="8" type="noConversion"/>
  </si>
  <si>
    <t>门头沟路——双峪路</t>
    <phoneticPr fontId="8" type="noConversion"/>
  </si>
  <si>
    <t>房山区</t>
    <phoneticPr fontId="8" type="noConversion"/>
  </si>
  <si>
    <t>南关大街</t>
    <phoneticPr fontId="8" type="noConversion"/>
  </si>
  <si>
    <t>房山东大街——南关立交桥</t>
    <phoneticPr fontId="8" type="noConversion"/>
  </si>
  <si>
    <t>拱辰大街</t>
    <phoneticPr fontId="8" type="noConversion"/>
  </si>
  <si>
    <t>良乡中路——月华大街</t>
    <phoneticPr fontId="8" type="noConversion"/>
  </si>
  <si>
    <t>通州区</t>
    <phoneticPr fontId="8" type="noConversion"/>
  </si>
  <si>
    <t>新华大街</t>
    <phoneticPr fontId="8" type="noConversion"/>
  </si>
  <si>
    <t>车站路——通惠南路</t>
    <phoneticPr fontId="8" type="noConversion"/>
  </si>
  <si>
    <t>云景东路</t>
    <phoneticPr fontId="8" type="noConversion"/>
  </si>
  <si>
    <t>地铁八通线——云景南大街</t>
    <phoneticPr fontId="8" type="noConversion"/>
  </si>
  <si>
    <t>顺义区</t>
    <phoneticPr fontId="8" type="noConversion"/>
  </si>
  <si>
    <t>新顺大街</t>
    <phoneticPr fontId="8" type="noConversion"/>
  </si>
  <si>
    <t>幸福西街——站前街</t>
    <phoneticPr fontId="8" type="noConversion"/>
  </si>
  <si>
    <t>大兴区</t>
    <phoneticPr fontId="8" type="noConversion"/>
  </si>
  <si>
    <t>兴华大街</t>
    <phoneticPr fontId="8" type="noConversion"/>
  </si>
  <si>
    <t>金星西路——黄村火车站</t>
    <phoneticPr fontId="8" type="noConversion"/>
  </si>
  <si>
    <t>昌平区</t>
    <phoneticPr fontId="8" type="noConversion"/>
  </si>
  <si>
    <t>回龙观西大街</t>
    <phoneticPr fontId="8" type="noConversion"/>
  </si>
  <si>
    <t>京藏高速公路——文华西路</t>
    <phoneticPr fontId="8" type="noConversion"/>
  </si>
  <si>
    <t>鼓楼东、西街</t>
    <phoneticPr fontId="8" type="noConversion"/>
  </si>
  <si>
    <t>东环路——西环路</t>
    <phoneticPr fontId="8" type="noConversion"/>
  </si>
  <si>
    <t>鼓楼南、北街</t>
    <phoneticPr fontId="8" type="noConversion"/>
  </si>
  <si>
    <t>北环路——府学路</t>
    <phoneticPr fontId="8" type="noConversion"/>
  </si>
  <si>
    <t>平谷区</t>
    <phoneticPr fontId="8" type="noConversion"/>
  </si>
  <si>
    <t>步行街</t>
    <phoneticPr fontId="8" type="noConversion"/>
  </si>
  <si>
    <t>文化北街——向阳北街</t>
    <phoneticPr fontId="8" type="noConversion"/>
  </si>
  <si>
    <t>怀柔区</t>
    <phoneticPr fontId="8" type="noConversion"/>
  </si>
  <si>
    <t>商业街</t>
    <phoneticPr fontId="8" type="noConversion"/>
  </si>
  <si>
    <t>迎宾路——青春路</t>
    <phoneticPr fontId="8" type="noConversion"/>
  </si>
  <si>
    <t>密云县</t>
    <phoneticPr fontId="8" type="noConversion"/>
  </si>
  <si>
    <t>鼓楼东、西大街</t>
    <phoneticPr fontId="8" type="noConversion"/>
  </si>
  <si>
    <t>新中街——南更道</t>
    <phoneticPr fontId="8" type="noConversion"/>
  </si>
  <si>
    <t>鼓楼大街</t>
    <phoneticPr fontId="8" type="noConversion"/>
  </si>
  <si>
    <t>西大桥路——康复路</t>
    <phoneticPr fontId="8" type="noConversion"/>
  </si>
  <si>
    <t>延庆县</t>
    <phoneticPr fontId="8" type="noConversion"/>
  </si>
  <si>
    <t>东外大街</t>
    <phoneticPr fontId="8" type="noConversion"/>
  </si>
  <si>
    <t>香苑街——东顺城街</t>
    <phoneticPr fontId="8" type="noConversion"/>
  </si>
  <si>
    <t>不临58条商业街</t>
    <phoneticPr fontId="8" type="noConversion"/>
  </si>
  <si>
    <t>容积率</t>
    <phoneticPr fontId="8" type="noConversion"/>
  </si>
  <si>
    <t>北京市基准地价容积率修正系数表（商业）</t>
    <phoneticPr fontId="8" type="noConversion"/>
  </si>
  <si>
    <t>北京市基准地价容积率修正系数表（办公）</t>
    <phoneticPr fontId="8" type="noConversion"/>
  </si>
  <si>
    <t>北京市基准地价容积率修正系数表（居住）</t>
    <phoneticPr fontId="8" type="noConversion"/>
  </si>
  <si>
    <t>北京市基准地价容积率修正系数表（工业）</t>
    <phoneticPr fontId="8" type="noConversion"/>
  </si>
  <si>
    <t>住宅</t>
    <phoneticPr fontId="8" type="noConversion"/>
  </si>
  <si>
    <t>住宅</t>
    <phoneticPr fontId="8" type="noConversion"/>
  </si>
  <si>
    <t>区域土地利用方向</t>
    <phoneticPr fontId="50" type="noConversion"/>
  </si>
  <si>
    <r>
      <rPr>
        <sz val="10"/>
        <color indexed="8"/>
        <rFont val="宋体"/>
        <family val="3"/>
        <charset val="134"/>
      </rPr>
      <t>修正系数</t>
    </r>
    <phoneticPr fontId="84" type="noConversion"/>
  </si>
  <si>
    <t>五等判定</t>
    <phoneticPr fontId="21" type="noConversion"/>
  </si>
  <si>
    <t>基准地价修正</t>
    <phoneticPr fontId="21" type="noConversion"/>
  </si>
  <si>
    <t>*</t>
    <phoneticPr fontId="21" type="noConversion"/>
  </si>
  <si>
    <t>二级分类</t>
    <phoneticPr fontId="8" type="noConversion"/>
  </si>
  <si>
    <t>土地级别</t>
    <phoneticPr fontId="21" type="noConversion"/>
  </si>
  <si>
    <t>一级</t>
    <phoneticPr fontId="8" type="noConversion"/>
  </si>
  <si>
    <t>二级</t>
    <phoneticPr fontId="8" type="noConversion"/>
  </si>
  <si>
    <t>三级</t>
    <phoneticPr fontId="8" type="noConversion"/>
  </si>
  <si>
    <t>四级</t>
    <phoneticPr fontId="8" type="noConversion"/>
  </si>
  <si>
    <t>七级</t>
    <phoneticPr fontId="8" type="noConversion"/>
  </si>
  <si>
    <t>八级</t>
    <phoneticPr fontId="8" type="noConversion"/>
  </si>
  <si>
    <t>九级</t>
    <phoneticPr fontId="8" type="noConversion"/>
  </si>
  <si>
    <t>十级</t>
    <phoneticPr fontId="8" type="noConversion"/>
  </si>
  <si>
    <t>十一级</t>
    <phoneticPr fontId="8" type="noConversion"/>
  </si>
  <si>
    <t>十二级</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</si>
  <si>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43" type="noConversion"/>
  </si>
  <si>
    <r>
      <rPr>
        <sz val="10"/>
        <color indexed="8"/>
        <rFont val="宋体"/>
        <family val="3"/>
        <charset val="134"/>
      </rPr>
      <t>（</t>
    </r>
    <r>
      <rPr>
        <sz val="10"/>
        <color indexed="8"/>
        <rFont val="Arial"/>
        <family val="2"/>
      </rPr>
      <t>2</t>
    </r>
    <r>
      <rPr>
        <sz val="10"/>
        <color indexed="8"/>
        <rFont val="宋体"/>
        <family val="3"/>
        <charset val="134"/>
      </rPr>
      <t>）</t>
    </r>
    <phoneticPr fontId="43" type="noConversion"/>
  </si>
  <si>
    <t>2.</t>
    <phoneticPr fontId="43" type="noConversion"/>
  </si>
  <si>
    <t>3.</t>
    <phoneticPr fontId="43" type="noConversion"/>
  </si>
  <si>
    <t>4.</t>
    <phoneticPr fontId="39" type="noConversion"/>
  </si>
  <si>
    <t>1.</t>
    <phoneticPr fontId="43" type="noConversion"/>
  </si>
  <si>
    <r>
      <t>1</t>
    </r>
    <r>
      <rPr>
        <sz val="10"/>
        <color indexed="8"/>
        <rFont val="宋体"/>
        <family val="3"/>
        <charset val="134"/>
      </rPr>
      <t>）</t>
    </r>
    <phoneticPr fontId="43" type="noConversion"/>
  </si>
  <si>
    <r>
      <t>2</t>
    </r>
    <r>
      <rPr>
        <sz val="10"/>
        <color indexed="8"/>
        <rFont val="宋体"/>
        <family val="3"/>
        <charset val="134"/>
      </rPr>
      <t>）</t>
    </r>
    <phoneticPr fontId="43" type="noConversion"/>
  </si>
  <si>
    <r>
      <t>3</t>
    </r>
    <r>
      <rPr>
        <sz val="10"/>
        <color indexed="8"/>
        <rFont val="宋体"/>
        <family val="3"/>
        <charset val="134"/>
      </rPr>
      <t>）</t>
    </r>
    <phoneticPr fontId="43" type="noConversion"/>
  </si>
  <si>
    <t>3.</t>
    <phoneticPr fontId="43" type="noConversion"/>
  </si>
  <si>
    <t>4.</t>
    <phoneticPr fontId="43" type="noConversion"/>
  </si>
  <si>
    <t>5.</t>
    <phoneticPr fontId="43" type="noConversion"/>
  </si>
  <si>
    <r>
      <rPr>
        <b/>
        <sz val="10"/>
        <rFont val="宋体"/>
        <family val="3"/>
        <charset val="134"/>
      </rPr>
      <t>（</t>
    </r>
    <r>
      <rPr>
        <b/>
        <sz val="10"/>
        <rFont val="Arial"/>
        <family val="2"/>
      </rPr>
      <t>1</t>
    </r>
    <r>
      <rPr>
        <b/>
        <sz val="10"/>
        <rFont val="宋体"/>
        <family val="3"/>
        <charset val="134"/>
      </rPr>
      <t>）</t>
    </r>
    <phoneticPr fontId="23" type="noConversion"/>
  </si>
  <si>
    <t>（2）</t>
    <phoneticPr fontId="23" type="noConversion"/>
  </si>
  <si>
    <t>（3）</t>
    <phoneticPr fontId="23" type="noConversion"/>
  </si>
  <si>
    <t>（4）</t>
    <phoneticPr fontId="23" type="noConversion"/>
  </si>
  <si>
    <t>（5）</t>
    <phoneticPr fontId="23" type="noConversion"/>
  </si>
  <si>
    <t>（6）</t>
    <phoneticPr fontId="23" type="noConversion"/>
  </si>
  <si>
    <t>（7）</t>
    <phoneticPr fontId="23" type="noConversion"/>
  </si>
  <si>
    <t>（8）</t>
    <phoneticPr fontId="23" type="noConversion"/>
  </si>
  <si>
    <t>（9）</t>
    <phoneticPr fontId="23" type="noConversion"/>
  </si>
  <si>
    <r>
      <t>1</t>
    </r>
    <r>
      <rPr>
        <sz val="10"/>
        <rFont val="宋体"/>
        <family val="3"/>
        <charset val="134"/>
      </rPr>
      <t>）</t>
    </r>
    <phoneticPr fontId="21" type="noConversion"/>
  </si>
  <si>
    <r>
      <t>2</t>
    </r>
    <r>
      <rPr>
        <sz val="10"/>
        <rFont val="宋体"/>
        <family val="3"/>
        <charset val="134"/>
      </rPr>
      <t>）</t>
    </r>
    <phoneticPr fontId="21" type="noConversion"/>
  </si>
  <si>
    <r>
      <t>3</t>
    </r>
    <r>
      <rPr>
        <sz val="10"/>
        <rFont val="宋体"/>
        <family val="3"/>
        <charset val="134"/>
      </rPr>
      <t>）</t>
    </r>
    <phoneticPr fontId="21" type="noConversion"/>
  </si>
  <si>
    <r>
      <t>1</t>
    </r>
    <r>
      <rPr>
        <sz val="10"/>
        <rFont val="宋体"/>
        <family val="3"/>
        <charset val="134"/>
      </rPr>
      <t>）</t>
    </r>
    <phoneticPr fontId="21" type="noConversion"/>
  </si>
  <si>
    <r>
      <t>4</t>
    </r>
    <r>
      <rPr>
        <sz val="10"/>
        <rFont val="宋体"/>
        <family val="3"/>
        <charset val="134"/>
      </rPr>
      <t>）</t>
    </r>
    <phoneticPr fontId="21" type="noConversion"/>
  </si>
  <si>
    <r>
      <t>2</t>
    </r>
    <r>
      <rPr>
        <sz val="10"/>
        <rFont val="宋体"/>
        <family val="3"/>
        <charset val="134"/>
      </rPr>
      <t>）</t>
    </r>
    <phoneticPr fontId="23" type="noConversion"/>
  </si>
  <si>
    <r>
      <t>3</t>
    </r>
    <r>
      <rPr>
        <sz val="10"/>
        <rFont val="宋体"/>
        <family val="3"/>
        <charset val="134"/>
      </rPr>
      <t>）</t>
    </r>
    <phoneticPr fontId="23" type="noConversion"/>
  </si>
  <si>
    <r>
      <t>4</t>
    </r>
    <r>
      <rPr>
        <sz val="10"/>
        <rFont val="宋体"/>
        <family val="3"/>
        <charset val="134"/>
      </rPr>
      <t>）</t>
    </r>
    <phoneticPr fontId="23" type="noConversion"/>
  </si>
  <si>
    <r>
      <t>5</t>
    </r>
    <r>
      <rPr>
        <sz val="10"/>
        <rFont val="宋体"/>
        <family val="3"/>
        <charset val="134"/>
      </rPr>
      <t>）</t>
    </r>
    <phoneticPr fontId="23" type="noConversion"/>
  </si>
  <si>
    <t>A</t>
    <phoneticPr fontId="21" type="noConversion"/>
  </si>
  <si>
    <t>B</t>
    <phoneticPr fontId="21" type="noConversion"/>
  </si>
  <si>
    <r>
      <rPr>
        <sz val="10"/>
        <color indexed="8"/>
        <rFont val="宋体"/>
        <family val="3"/>
        <charset val="134"/>
      </rPr>
      <t>（</t>
    </r>
    <r>
      <rPr>
        <sz val="10"/>
        <color indexed="8"/>
        <rFont val="Arial"/>
        <family val="2"/>
      </rPr>
      <t>1</t>
    </r>
    <r>
      <rPr>
        <sz val="10"/>
        <color indexed="8"/>
        <rFont val="宋体"/>
        <family val="3"/>
        <charset val="134"/>
      </rPr>
      <t>）</t>
    </r>
    <phoneticPr fontId="23" type="noConversion"/>
  </si>
  <si>
    <r>
      <t>1</t>
    </r>
    <r>
      <rPr>
        <sz val="10"/>
        <color indexed="8"/>
        <rFont val="宋体"/>
        <family val="3"/>
        <charset val="134"/>
      </rPr>
      <t>）</t>
    </r>
    <phoneticPr fontId="21" type="noConversion"/>
  </si>
  <si>
    <r>
      <t>2</t>
    </r>
    <r>
      <rPr>
        <sz val="10"/>
        <color indexed="8"/>
        <rFont val="宋体"/>
        <family val="3"/>
        <charset val="134"/>
      </rPr>
      <t>）</t>
    </r>
    <phoneticPr fontId="21" type="noConversion"/>
  </si>
  <si>
    <t>A</t>
    <phoneticPr fontId="23" type="noConversion"/>
  </si>
  <si>
    <t>B</t>
    <phoneticPr fontId="23" type="noConversion"/>
  </si>
  <si>
    <t>1.</t>
    <phoneticPr fontId="84" type="noConversion"/>
  </si>
  <si>
    <t>2.</t>
    <phoneticPr fontId="84" type="noConversion"/>
  </si>
  <si>
    <t>3.</t>
    <phoneticPr fontId="84" type="noConversion"/>
  </si>
  <si>
    <t>4.</t>
    <phoneticPr fontId="8" type="noConversion"/>
  </si>
  <si>
    <t>5.</t>
    <phoneticPr fontId="8" type="noConversion"/>
  </si>
  <si>
    <t>6.</t>
    <phoneticPr fontId="8" type="noConversion"/>
  </si>
  <si>
    <t>7.</t>
    <phoneticPr fontId="8" type="noConversion"/>
  </si>
  <si>
    <t>十一级</t>
  </si>
  <si>
    <t>十二级</t>
  </si>
  <si>
    <t>一级</t>
    <phoneticPr fontId="84" type="noConversion"/>
  </si>
  <si>
    <t>Ⅰ—01</t>
    <phoneticPr fontId="8" type="noConversion"/>
  </si>
  <si>
    <t xml:space="preserve">— </t>
    <phoneticPr fontId="90" type="noConversion"/>
  </si>
  <si>
    <t>估价项目名称：</t>
    <phoneticPr fontId="90" type="noConversion"/>
  </si>
  <si>
    <t>估价委托人：</t>
    <phoneticPr fontId="90" type="noConversion"/>
  </si>
  <si>
    <t>房地产估价机构：</t>
    <phoneticPr fontId="90" type="noConversion"/>
  </si>
  <si>
    <t>北京康正宏基房地产评估有限公司</t>
    <phoneticPr fontId="90" type="noConversion"/>
  </si>
  <si>
    <t>注册房地产估价师：</t>
    <phoneticPr fontId="90" type="noConversion"/>
  </si>
  <si>
    <t>估价报告编号：</t>
    <phoneticPr fontId="90" type="noConversion"/>
  </si>
  <si>
    <t>今日</t>
    <phoneticPr fontId="90" type="noConversion"/>
  </si>
  <si>
    <t>资质过期显示为红色</t>
    <phoneticPr fontId="90" type="noConversion"/>
  </si>
  <si>
    <t>注册房地产估价师</t>
    <phoneticPr fontId="90" type="noConversion"/>
  </si>
  <si>
    <t>注册证号</t>
    <phoneticPr fontId="90" type="noConversion"/>
  </si>
  <si>
    <t>资质有效期</t>
    <phoneticPr fontId="90" type="noConversion"/>
  </si>
  <si>
    <t>土地估价师</t>
    <phoneticPr fontId="90" type="noConversion"/>
  </si>
  <si>
    <t>证号</t>
    <phoneticPr fontId="90" type="noConversion"/>
  </si>
  <si>
    <t>梁津</t>
    <phoneticPr fontId="90" type="noConversion"/>
  </si>
  <si>
    <t>李立</t>
    <phoneticPr fontId="90" type="noConversion"/>
  </si>
  <si>
    <t>叶凌</t>
    <phoneticPr fontId="90" type="noConversion"/>
  </si>
  <si>
    <t>王鹏</t>
    <phoneticPr fontId="90" type="noConversion"/>
  </si>
  <si>
    <t>欧红伟</t>
    <phoneticPr fontId="90" type="noConversion"/>
  </si>
  <si>
    <t>吴薇</t>
    <phoneticPr fontId="90" type="noConversion"/>
  </si>
  <si>
    <t>陈颖</t>
    <phoneticPr fontId="90" type="noConversion"/>
  </si>
  <si>
    <t>崔锴</t>
    <phoneticPr fontId="90" type="noConversion"/>
  </si>
  <si>
    <t>郑燚</t>
    <phoneticPr fontId="90" type="noConversion"/>
  </si>
  <si>
    <t>赵雯</t>
    <phoneticPr fontId="90" type="noConversion"/>
  </si>
  <si>
    <t>刘敬东</t>
    <phoneticPr fontId="90" type="noConversion"/>
  </si>
  <si>
    <t>估价机构</t>
    <phoneticPr fontId="90" type="noConversion"/>
  </si>
  <si>
    <t>房地产</t>
    <phoneticPr fontId="90" type="noConversion"/>
  </si>
  <si>
    <t>土地</t>
    <phoneticPr fontId="90" type="noConversion"/>
  </si>
  <si>
    <t>证书名称</t>
    <phoneticPr fontId="90" type="noConversion"/>
  </si>
  <si>
    <t>号码</t>
    <phoneticPr fontId="90" type="noConversion"/>
  </si>
  <si>
    <t>资质有效期</t>
    <phoneticPr fontId="90" type="noConversion"/>
  </si>
  <si>
    <t>资质证书：一级</t>
    <phoneticPr fontId="90" type="noConversion"/>
  </si>
  <si>
    <t>建房估证字[2013]081号</t>
    <phoneticPr fontId="90" type="noConversion"/>
  </si>
  <si>
    <t>注册证书</t>
    <phoneticPr fontId="90" type="noConversion"/>
  </si>
  <si>
    <t>A201111009</t>
    <phoneticPr fontId="90" type="noConversion"/>
  </si>
  <si>
    <t>资信等级：A级</t>
    <phoneticPr fontId="90" type="noConversion"/>
  </si>
  <si>
    <t>估价目的</t>
    <phoneticPr fontId="92" type="noConversion"/>
  </si>
  <si>
    <t>优先受偿</t>
    <phoneticPr fontId="92" type="noConversion"/>
  </si>
  <si>
    <t>抵押</t>
    <phoneticPr fontId="92" type="noConversion"/>
  </si>
  <si>
    <t>2.估价师所知悉的法定优先受偿款</t>
    <phoneticPr fontId="92" type="noConversion"/>
  </si>
  <si>
    <t>2.估价师所知悉的除抵押担保权以外的法定优先受偿款</t>
    <phoneticPr fontId="92" type="noConversion"/>
  </si>
  <si>
    <t>价值类型及定义</t>
    <phoneticPr fontId="92" type="noConversion"/>
  </si>
  <si>
    <t>房地产价值</t>
    <phoneticPr fontId="92" type="noConversion"/>
  </si>
  <si>
    <t>房地产抵押价值</t>
    <phoneticPr fontId="92" type="noConversion"/>
  </si>
  <si>
    <t>已注销</t>
    <phoneticPr fontId="92" type="noConversion"/>
  </si>
  <si>
    <t>已注销及未注销</t>
    <phoneticPr fontId="92" type="noConversion"/>
  </si>
  <si>
    <t>抵押净值</t>
    <phoneticPr fontId="92" type="noConversion"/>
  </si>
  <si>
    <t>——</t>
    <phoneticPr fontId="21" type="noConversion"/>
  </si>
  <si>
    <t>XX</t>
  </si>
  <si>
    <t>附表：</t>
    <phoneticPr fontId="100" type="noConversion"/>
  </si>
  <si>
    <t>北京市区片基准地价因素总修正幅度表</t>
    <phoneticPr fontId="8" type="noConversion"/>
  </si>
  <si>
    <t>级别</t>
    <phoneticPr fontId="8" type="noConversion"/>
  </si>
  <si>
    <t>区片编号</t>
    <phoneticPr fontId="8" type="noConversion"/>
  </si>
  <si>
    <t>商业</t>
    <phoneticPr fontId="8" type="noConversion"/>
  </si>
  <si>
    <t>办公</t>
    <phoneticPr fontId="8" type="noConversion"/>
  </si>
  <si>
    <t>住宅</t>
    <phoneticPr fontId="8" type="noConversion"/>
  </si>
  <si>
    <t>工业</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</si>
  <si>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</si>
  <si>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</si>
  <si>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</si>
  <si>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</si>
  <si>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</si>
  <si>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</si>
  <si>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</si>
  <si>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</si>
  <si>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</si>
  <si>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</si>
  <si>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</si>
  <si>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</si>
  <si>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</si>
  <si>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</si>
  <si>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</si>
  <si>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</si>
  <si>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</si>
  <si>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</si>
  <si>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</si>
  <si>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</si>
  <si>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</si>
  <si>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</si>
  <si>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</si>
  <si>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</si>
  <si>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</si>
  <si>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</si>
  <si>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</si>
  <si>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</si>
  <si>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</si>
  <si>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</si>
  <si>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</si>
  <si>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</si>
  <si>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</si>
  <si>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</si>
  <si>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</si>
  <si>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</si>
  <si>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</si>
  <si>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</si>
  <si>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</si>
  <si>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</si>
  <si>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</si>
  <si>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</si>
  <si>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</si>
  <si>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</si>
  <si>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</si>
  <si>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</si>
  <si>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</si>
  <si>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</si>
  <si>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</si>
  <si>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</si>
  <si>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</si>
  <si>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</si>
  <si>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</si>
  <si>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</si>
  <si>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</si>
  <si>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</si>
  <si>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</si>
  <si>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</si>
  <si>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</si>
  <si>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</si>
  <si>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</si>
  <si>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</si>
  <si>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</si>
  <si>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</si>
  <si>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</si>
  <si>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</si>
  <si>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</si>
  <si>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</si>
  <si>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</si>
  <si>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</si>
  <si>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</si>
  <si>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</si>
  <si>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</si>
  <si>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</si>
  <si>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</si>
  <si>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</si>
  <si>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</si>
  <si>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</si>
  <si>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</si>
  <si>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</si>
  <si>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</si>
  <si>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</si>
  <si>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</si>
  <si>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</si>
  <si>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</si>
  <si>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</si>
  <si>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</si>
  <si>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</si>
  <si>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</si>
  <si>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</si>
  <si>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</si>
  <si>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</si>
  <si>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</si>
  <si>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</si>
  <si>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</si>
  <si>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</si>
  <si>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</si>
  <si>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</si>
  <si>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</si>
  <si>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</si>
  <si>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</si>
  <si>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</si>
  <si>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</si>
  <si>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</si>
  <si>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</si>
  <si>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</si>
  <si>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</si>
  <si>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</si>
  <si>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</si>
  <si>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</si>
  <si>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</si>
  <si>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</si>
  <si>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</si>
  <si>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</si>
  <si>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</si>
  <si>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</si>
  <si>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</si>
  <si>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</si>
  <si>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</si>
  <si>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</si>
  <si>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</si>
  <si>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</si>
  <si>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</si>
  <si>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</si>
  <si>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</si>
  <si>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</si>
  <si>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</si>
  <si>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</si>
  <si>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</si>
  <si>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</si>
  <si>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</si>
  <si>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</si>
  <si>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</si>
  <si>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</si>
  <si>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</si>
  <si>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</si>
  <si>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</si>
  <si>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</si>
  <si>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</si>
  <si>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</si>
  <si>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</si>
  <si>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</si>
  <si>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</si>
  <si>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</si>
  <si>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</si>
  <si>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</si>
  <si>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</si>
  <si>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Ⅻ-平1</t>
    <phoneticPr fontId="8" type="noConversion"/>
  </si>
  <si>
    <t>Ⅻ-怀1</t>
    <phoneticPr fontId="8" type="noConversion"/>
  </si>
  <si>
    <t>Ⅻ-密1</t>
    <phoneticPr fontId="8" type="noConversion"/>
  </si>
  <si>
    <t>Ⅻ-延1</t>
    <phoneticPr fontId="8" type="noConversion"/>
  </si>
  <si>
    <t>-</t>
    <phoneticPr fontId="8" type="noConversion"/>
  </si>
  <si>
    <t>3</t>
    <phoneticPr fontId="8" type="noConversion"/>
  </si>
  <si>
    <t>4</t>
    <phoneticPr fontId="8" type="noConversion"/>
  </si>
  <si>
    <t>5</t>
    <phoneticPr fontId="8" type="noConversion"/>
  </si>
  <si>
    <t>6</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</si>
  <si>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</si>
  <si>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</si>
  <si>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2</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</si>
  <si>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</si>
  <si>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</si>
  <si>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</si>
  <si>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A</t>
  </si>
  <si>
    <t>B</t>
  </si>
  <si>
    <t>(A)</t>
  </si>
  <si>
    <t>(B)</t>
  </si>
  <si>
    <t>(C)</t>
  </si>
  <si>
    <t>(D)</t>
  </si>
  <si>
    <t>C</t>
  </si>
  <si>
    <t>A+B</t>
  </si>
  <si>
    <t>a</t>
  </si>
  <si>
    <t>b</t>
  </si>
  <si>
    <t>c</t>
  </si>
  <si>
    <t>a-b×c</t>
    <phoneticPr fontId="8" type="noConversion"/>
  </si>
  <si>
    <t>(E)</t>
    <phoneticPr fontId="8" type="noConversion"/>
  </si>
  <si>
    <t>Ⅷ-延1</t>
    <phoneticPr fontId="8" type="noConversion"/>
  </si>
  <si>
    <r>
      <rPr>
        <b/>
        <sz val="10"/>
        <rFont val="宋体"/>
        <family val="3"/>
        <charset val="134"/>
      </rPr>
      <t>（</t>
    </r>
    <r>
      <rPr>
        <b/>
        <sz val="10"/>
        <rFont val="Arial"/>
        <family val="2"/>
      </rPr>
      <t>1</t>
    </r>
    <r>
      <rPr>
        <b/>
        <sz val="10"/>
        <rFont val="宋体"/>
        <family val="3"/>
        <charset val="134"/>
      </rPr>
      <t>）</t>
    </r>
    <phoneticPr fontId="23" type="noConversion"/>
  </si>
  <si>
    <t>（2）</t>
    <phoneticPr fontId="23"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</si>
  <si>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1" type="noConversion"/>
  </si>
  <si>
    <t>（3）</t>
    <phoneticPr fontId="23"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</si>
  <si>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1" type="noConversion"/>
  </si>
  <si>
    <t>（4）</t>
    <phoneticPr fontId="23"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</si>
  <si>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1" type="noConversion"/>
  </si>
  <si>
    <r>
      <rPr>
        <sz val="10"/>
        <rFont val="楷体_GB2312"/>
        <family val="3"/>
        <charset val="134"/>
      </rPr>
      <t>（</t>
    </r>
    <r>
      <rPr>
        <sz val="10"/>
        <rFont val="Arial"/>
        <family val="2"/>
      </rPr>
      <t>1</t>
    </r>
    <r>
      <rPr>
        <sz val="10"/>
        <rFont val="楷体_GB2312"/>
        <family val="3"/>
        <charset val="134"/>
      </rPr>
      <t>）项产生的利息</t>
    </r>
    <phoneticPr fontId="21"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</si>
  <si>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1" type="noConversion"/>
  </si>
  <si>
    <r>
      <rPr>
        <sz val="10"/>
        <rFont val="楷体_GB2312"/>
        <family val="3"/>
        <charset val="134"/>
      </rPr>
      <t>（</t>
    </r>
    <r>
      <rPr>
        <sz val="10"/>
        <rFont val="Arial"/>
        <family val="2"/>
      </rPr>
      <t>4</t>
    </r>
    <r>
      <rPr>
        <sz val="10"/>
        <rFont val="楷体_GB2312"/>
        <family val="3"/>
        <charset val="134"/>
      </rPr>
      <t>）项产生的利润</t>
    </r>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</si>
  <si>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1"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</si>
  <si>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</si>
  <si>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1" type="noConversion"/>
  </si>
  <si>
    <r>
      <rPr>
        <sz val="10"/>
        <rFont val="楷体_GB2312"/>
        <family val="3"/>
        <charset val="134"/>
      </rPr>
      <t>（</t>
    </r>
    <r>
      <rPr>
        <sz val="10"/>
        <rFont val="Arial"/>
        <family val="2"/>
      </rPr>
      <t>3</t>
    </r>
    <r>
      <rPr>
        <sz val="10"/>
        <rFont val="楷体_GB2312"/>
        <family val="3"/>
        <charset val="134"/>
      </rPr>
      <t>）项产生的利润</t>
    </r>
    <phoneticPr fontId="21" type="noConversion"/>
  </si>
  <si>
    <t>以前述2项为基数</t>
    <phoneticPr fontId="21"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</si>
  <si>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1" type="noConversion"/>
  </si>
  <si>
    <r>
      <rPr>
        <b/>
        <sz val="10"/>
        <rFont val="楷体_GB2312"/>
        <family val="3"/>
        <charset val="134"/>
      </rPr>
      <t>前述</t>
    </r>
    <r>
      <rPr>
        <b/>
        <sz val="10"/>
        <rFont val="Arial"/>
        <family val="2"/>
      </rPr>
      <t>7</t>
    </r>
    <r>
      <rPr>
        <b/>
        <sz val="10"/>
        <rFont val="楷体_GB2312"/>
        <family val="3"/>
        <charset val="134"/>
      </rPr>
      <t>项相加</t>
    </r>
    <phoneticPr fontId="21" type="noConversion"/>
  </si>
  <si>
    <t>以（1）为基数</t>
    <phoneticPr fontId="21"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</si>
  <si>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1" type="noConversion"/>
  </si>
  <si>
    <r>
      <rPr>
        <b/>
        <sz val="10"/>
        <rFont val="楷体_GB2312"/>
        <family val="3"/>
        <charset val="134"/>
      </rPr>
      <t>前述</t>
    </r>
    <r>
      <rPr>
        <b/>
        <sz val="10"/>
        <rFont val="Arial"/>
        <family val="2"/>
      </rPr>
      <t>6</t>
    </r>
    <r>
      <rPr>
        <b/>
        <sz val="10"/>
        <rFont val="楷体_GB2312"/>
        <family val="3"/>
        <charset val="134"/>
      </rPr>
      <t>项相加</t>
    </r>
    <phoneticPr fontId="21"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</si>
  <si>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</si>
  <si>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</si>
  <si>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</si>
  <si>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</si>
  <si>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</si>
  <si>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</si>
  <si>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</si>
  <si>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</si>
  <si>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</si>
  <si>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</si>
  <si>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</si>
  <si>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</si>
  <si>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</si>
  <si>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</si>
  <si>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</si>
  <si>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</si>
  <si>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</si>
  <si>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</si>
  <si>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</si>
  <si>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</si>
  <si>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</si>
  <si>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</si>
  <si>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</si>
  <si>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</si>
  <si>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</si>
  <si>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</si>
  <si>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</si>
  <si>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</si>
  <si>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</si>
  <si>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</si>
  <si>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</si>
  <si>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</si>
  <si>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</si>
  <si>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</si>
  <si>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</si>
  <si>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</si>
  <si>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</si>
  <si>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</si>
  <si>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</si>
  <si>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</si>
  <si>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</si>
  <si>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</si>
  <si>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</si>
  <si>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</si>
  <si>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</si>
  <si>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</si>
  <si>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</si>
  <si>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</si>
  <si>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其他收入</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</si>
  <si>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</si>
  <si>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</si>
  <si>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</si>
  <si>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</si>
  <si>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</si>
  <si>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</si>
  <si>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</si>
  <si>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</si>
  <si>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</si>
  <si>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</si>
  <si>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</si>
  <si>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</si>
  <si>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1</t>
    <phoneticPr fontId="8" type="noConversion"/>
  </si>
  <si>
    <r>
      <rPr>
        <b/>
        <sz val="10"/>
        <color indexed="8"/>
        <rFont val="宋体"/>
        <family val="3"/>
        <charset val="134"/>
      </rPr>
      <t>（</t>
    </r>
    <r>
      <rPr>
        <b/>
        <sz val="10"/>
        <color indexed="8"/>
        <rFont val="Arial"/>
        <family val="2"/>
      </rPr>
      <t>1</t>
    </r>
    <r>
      <rPr>
        <b/>
        <sz val="10"/>
        <color indexed="8"/>
        <rFont val="宋体"/>
        <family val="3"/>
        <charset val="134"/>
      </rPr>
      <t>）</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</si>
  <si>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</si>
  <si>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基础设施水平</t>
    <phoneticPr fontId="21" type="noConversion"/>
  </si>
  <si>
    <t>六通</t>
    <phoneticPr fontId="21" type="noConversion"/>
  </si>
  <si>
    <t>七通</t>
    <phoneticPr fontId="21" type="noConversion"/>
  </si>
  <si>
    <t>五通</t>
    <phoneticPr fontId="21" type="noConversion"/>
  </si>
  <si>
    <t>四通</t>
    <phoneticPr fontId="21" type="noConversion"/>
  </si>
  <si>
    <t>三通</t>
    <phoneticPr fontId="21" type="noConversion"/>
  </si>
  <si>
    <t>公共配套设施</t>
    <phoneticPr fontId="21" type="noConversion"/>
  </si>
  <si>
    <t>成本法 (元)</t>
    <phoneticPr fontId="21" type="noConversion"/>
  </si>
  <si>
    <t>收益法 (元)</t>
    <phoneticPr fontId="21" type="noConversion"/>
  </si>
  <si>
    <t>收益法（汇总）</t>
    <phoneticPr fontId="21" type="noConversion"/>
  </si>
  <si>
    <t>已包含在土地购买价格中</t>
  </si>
  <si>
    <t>公示地价指数</t>
    <phoneticPr fontId="156" type="noConversion"/>
  </si>
  <si>
    <r>
      <rPr>
        <b/>
        <sz val="10"/>
        <color theme="1"/>
        <rFont val="楷体_GB2312"/>
        <family val="2"/>
        <charset val="134"/>
      </rPr>
      <t>公示增长率</t>
    </r>
    <phoneticPr fontId="156" type="noConversion"/>
  </si>
  <si>
    <r>
      <rPr>
        <b/>
        <sz val="10"/>
        <color theme="1"/>
        <rFont val="楷体_GB2312"/>
        <family val="2"/>
        <charset val="134"/>
      </rPr>
      <t>核算至百分数</t>
    </r>
    <phoneticPr fontId="156" type="noConversion"/>
  </si>
  <si>
    <r>
      <rPr>
        <b/>
        <sz val="10"/>
        <color theme="1"/>
        <rFont val="楷体_GB2312"/>
        <family val="2"/>
        <charset val="134"/>
      </rPr>
      <t>验证</t>
    </r>
    <phoneticPr fontId="156" type="noConversion"/>
  </si>
  <si>
    <t>季度连乘</t>
    <phoneticPr fontId="148" type="noConversion"/>
  </si>
  <si>
    <t>平均增幅</t>
    <phoneticPr fontId="148" type="noConversion"/>
  </si>
  <si>
    <t>综合</t>
    <phoneticPr fontId="8" type="noConversion"/>
  </si>
  <si>
    <r>
      <rPr>
        <sz val="11"/>
        <color indexed="8"/>
        <rFont val="楷体_GB2312"/>
        <family val="3"/>
        <charset val="134"/>
      </rPr>
      <t>商业</t>
    </r>
    <phoneticPr fontId="8" type="noConversion"/>
  </si>
  <si>
    <t>办公</t>
    <phoneticPr fontId="8" type="noConversion"/>
  </si>
  <si>
    <t>住宅</t>
    <phoneticPr fontId="8" type="noConversion"/>
  </si>
  <si>
    <r>
      <rPr>
        <sz val="11"/>
        <color indexed="8"/>
        <rFont val="楷体_GB2312"/>
        <family val="3"/>
        <charset val="134"/>
      </rPr>
      <t>工业</t>
    </r>
    <phoneticPr fontId="8" type="noConversion"/>
  </si>
  <si>
    <t>2017-1</t>
    <phoneticPr fontId="8" type="noConversion"/>
  </si>
  <si>
    <t>基准季度</t>
    <phoneticPr fontId="148" type="noConversion"/>
  </si>
  <si>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</si>
  <si>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</si>
  <si>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</si>
  <si>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</si>
  <si>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</si>
  <si>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</si>
  <si>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</si>
  <si>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</si>
  <si>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</si>
  <si>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</si>
  <si>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</si>
  <si>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</si>
  <si>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</si>
  <si>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</si>
  <si>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</si>
  <si>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</si>
  <si>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</si>
  <si>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</si>
  <si>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</si>
  <si>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</si>
  <si>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</si>
  <si>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</si>
  <si>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</si>
  <si>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</si>
  <si>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</si>
  <si>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</si>
  <si>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</si>
  <si>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</si>
  <si>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</si>
  <si>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</si>
  <si>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</si>
  <si>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</si>
  <si>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</si>
  <si>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</si>
  <si>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</si>
  <si>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</si>
  <si>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</si>
  <si>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</si>
  <si>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</si>
  <si>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</si>
  <si>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</si>
  <si>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</si>
  <si>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</si>
  <si>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</si>
  <si>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</si>
  <si>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</si>
  <si>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</si>
  <si>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</si>
  <si>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</si>
  <si>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</si>
  <si>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</si>
  <si>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</si>
  <si>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</si>
  <si>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</si>
  <si>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</si>
  <si>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</si>
  <si>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</si>
  <si>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</si>
  <si>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</si>
  <si>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</si>
  <si>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</si>
  <si>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</si>
  <si>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</si>
  <si>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</si>
  <si>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</si>
  <si>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6" type="noConversion"/>
  </si>
  <si>
    <t>致函-价值类型-抵押</t>
    <phoneticPr fontId="156" type="noConversion"/>
  </si>
  <si>
    <t>致函-价值类型-优先受偿</t>
    <phoneticPr fontId="156" type="noConversion"/>
  </si>
  <si>
    <t>致函-价值类型-净值</t>
    <phoneticPr fontId="156" type="noConversion"/>
  </si>
  <si>
    <t>致函-估价方法</t>
    <phoneticPr fontId="156" type="noConversion"/>
  </si>
  <si>
    <t>致函-估价结果</t>
    <phoneticPr fontId="148" type="noConversion"/>
  </si>
  <si>
    <t>致函-估价结果-表1-总</t>
    <phoneticPr fontId="156" type="noConversion"/>
  </si>
  <si>
    <t>致函-估价结果-表1-单</t>
    <phoneticPr fontId="156" type="noConversion"/>
  </si>
  <si>
    <t>致函-估价结果-表1-大</t>
    <phoneticPr fontId="156" type="noConversion"/>
  </si>
  <si>
    <t>致函-估价结果-表1-优先（大）</t>
    <phoneticPr fontId="156" type="noConversion"/>
  </si>
  <si>
    <t>致函-估价结果-表1-优先-抵押</t>
    <phoneticPr fontId="156" type="noConversion"/>
  </si>
  <si>
    <t>致函-估价结果-表1-优先-工程</t>
    <phoneticPr fontId="156" type="noConversion"/>
  </si>
  <si>
    <t>致函-估价结果-表1-优先-其他</t>
    <phoneticPr fontId="156" type="noConversion"/>
  </si>
  <si>
    <t>致函-估价结果-表1-抵押（大）</t>
    <phoneticPr fontId="156" type="noConversion"/>
  </si>
  <si>
    <t>致函-估价结果-表1-已注（大）</t>
    <phoneticPr fontId="156" type="noConversion"/>
  </si>
  <si>
    <t>致函-估价结果-表1-净值（单）</t>
    <phoneticPr fontId="156" type="noConversion"/>
  </si>
  <si>
    <t>致函-估价结果-表1-净值（大）</t>
    <phoneticPr fontId="156" type="noConversion"/>
  </si>
  <si>
    <t>致函-估价结果-表2-土地面积</t>
    <phoneticPr fontId="156" type="noConversion"/>
  </si>
  <si>
    <t>致函-估价结果-表2-地（总）</t>
    <phoneticPr fontId="156" type="noConversion"/>
  </si>
  <si>
    <t>致函-估价结果-表2-地（单）</t>
    <phoneticPr fontId="156" type="noConversion"/>
  </si>
  <si>
    <t>致函-估价结果-表2-地（大）</t>
    <phoneticPr fontId="156" type="noConversion"/>
  </si>
  <si>
    <t>致函-估价结果-表2-建（总）</t>
    <phoneticPr fontId="156" type="noConversion"/>
  </si>
  <si>
    <t>致函-估价结果-表2-建（单）</t>
    <phoneticPr fontId="156" type="noConversion"/>
  </si>
  <si>
    <t>致函-特别提示-1</t>
    <phoneticPr fontId="156" type="noConversion"/>
  </si>
  <si>
    <t>致函-特别提示-2</t>
  </si>
  <si>
    <t>致函-特别提示-优先受偿-1</t>
    <phoneticPr fontId="156" type="noConversion"/>
  </si>
  <si>
    <t>致函-特别提示-优先受偿-2</t>
  </si>
  <si>
    <t>致函-特别提示-优先受偿-3</t>
  </si>
  <si>
    <t>致函-特别提示-优先受偿-4</t>
  </si>
  <si>
    <t>致函-特别提示-4</t>
    <phoneticPr fontId="156"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</si>
  <si>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</si>
  <si>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</si>
  <si>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</si>
  <si>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</si>
  <si>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</si>
  <si>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</si>
  <si>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致函-估价对象-现房-1</t>
    <phoneticPr fontId="148" type="noConversion"/>
  </si>
  <si>
    <t>致函-估价对象-现房-2</t>
  </si>
  <si>
    <t>致函-估价对象-在建-1</t>
    <phoneticPr fontId="148" type="noConversion"/>
  </si>
  <si>
    <t>致函-估价对象-在建-2</t>
  </si>
  <si>
    <t>致函-特别提示-优先受偿-5</t>
  </si>
  <si>
    <t>致函-特别提示-6</t>
  </si>
  <si>
    <t>致函-特别提示-7</t>
  </si>
  <si>
    <t>致函-估价结果-表2-地（名称）</t>
    <phoneticPr fontId="156" type="noConversion"/>
  </si>
  <si>
    <t>致函-估价结果-表2-建（名称）</t>
    <phoneticPr fontId="156" type="noConversion"/>
  </si>
  <si>
    <t>致函-估价结果-表2-土地面积（名称）</t>
    <phoneticPr fontId="156" type="noConversion"/>
  </si>
  <si>
    <t>致函-估价结果-表1-抵押（单）</t>
    <phoneticPr fontId="156" type="noConversion"/>
  </si>
  <si>
    <t>致函-估价结果-表1-已注（单）</t>
    <phoneticPr fontId="156" type="noConversion"/>
  </si>
  <si>
    <t>致函-估价结果-表1-已注（名称）</t>
    <phoneticPr fontId="156" type="noConversion"/>
  </si>
  <si>
    <t>致函-估价结果-表1-净值（名称）</t>
    <phoneticPr fontId="156" type="noConversion"/>
  </si>
  <si>
    <t>致函-估价结果-表2-建（大）</t>
  </si>
  <si>
    <t>致函-估价结果-表2-已注（名称）</t>
    <phoneticPr fontId="156" type="noConversion"/>
  </si>
  <si>
    <t>致函-估价结果-表2-净值（名称）</t>
    <phoneticPr fontId="156" type="noConversion"/>
  </si>
  <si>
    <t>本次估价的“房地产抵押价值”是指估价对象在价值时点的“房地产价值”扣减估价师于价值时点所知悉的法定优先受偿款后的余额。</t>
    <phoneticPr fontId="92" type="noConversion"/>
  </si>
  <si>
    <t>本次估价的“抵押担保权已注销时的房地产抵押价值”是指估价对象在价值时点的“房地产价值”扣减估价师于价值时点所知悉的除抵押担保权以外的其他法定优先受偿款后的余额。</t>
    <phoneticPr fontId="92" type="noConversion"/>
  </si>
  <si>
    <t>本次估价的“抵押净值”是指估价对象“房地产抵押价值”减去估价对象在价值时点以“房地产销售收入”为基数计算的预计抵押权实现进行处置时需缴纳的各项费用、税金等相关费用后的价值。</t>
    <phoneticPr fontId="92" type="noConversion"/>
  </si>
  <si>
    <t>为估价委托人了解估价对象房地产市场价值提供参考依据。</t>
    <phoneticPr fontId="21"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</si>
  <si>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</si>
  <si>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2" type="noConversion"/>
  </si>
  <si>
    <t>致函-估价结果-表1-优先（名称）</t>
    <phoneticPr fontId="156" type="noConversion"/>
  </si>
  <si>
    <t>致函-估价结果-表2-建筑面积（名称）</t>
    <phoneticPr fontId="156" type="noConversion"/>
  </si>
  <si>
    <t>致函-估价结果-表2-建筑面积</t>
    <phoneticPr fontId="156" type="noConversion"/>
  </si>
  <si>
    <t>致函-估价结果-表2-项目名称</t>
    <phoneticPr fontId="156" type="noConversion"/>
  </si>
  <si>
    <t>致函-估价结果-表1-抵押（名称）</t>
    <phoneticPr fontId="156" type="noConversion"/>
  </si>
  <si>
    <t>致函-估价结果-表1-抵押（总）</t>
    <phoneticPr fontId="156" type="noConversion"/>
  </si>
  <si>
    <t>致函-估价结果-表1-优先（总）</t>
    <phoneticPr fontId="156" type="noConversion"/>
  </si>
  <si>
    <t>致函-估价结果-表1-已注（总）</t>
    <phoneticPr fontId="156" type="noConversion"/>
  </si>
  <si>
    <t>致函-估价结果-表1-净值（总）</t>
    <phoneticPr fontId="156" type="noConversion"/>
  </si>
  <si>
    <t>致函-估价结果-表2-抵押（名称）</t>
    <phoneticPr fontId="148" type="noConversion"/>
  </si>
  <si>
    <t>致函-估价结果-表2-优先（名称）</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</si>
  <si>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6" type="noConversion"/>
  </si>
  <si>
    <t>致函-其他专业人员</t>
    <phoneticPr fontId="148" type="noConversion"/>
  </si>
  <si>
    <t>价值时点</t>
    <phoneticPr fontId="8" type="noConversion"/>
  </si>
  <si>
    <t>开发期</t>
    <phoneticPr fontId="148" type="noConversion"/>
  </si>
  <si>
    <t>贷款利率</t>
    <phoneticPr fontId="8" type="noConversion"/>
  </si>
  <si>
    <t>贷款利率</t>
    <phoneticPr fontId="148" type="noConversion"/>
  </si>
  <si>
    <t>存款利率</t>
    <phoneticPr fontId="14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</si>
  <si>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</si>
  <si>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</si>
  <si>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</si>
  <si>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</si>
  <si>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</si>
  <si>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</si>
  <si>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</si>
  <si>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</si>
  <si>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</si>
  <si>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</si>
  <si>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</si>
  <si>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</si>
  <si>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</si>
  <si>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</si>
  <si>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</si>
  <si>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</si>
  <si>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</si>
  <si>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</si>
  <si>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</si>
  <si>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</si>
  <si>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</si>
  <si>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</si>
  <si>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</si>
  <si>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</si>
  <si>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</si>
  <si>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</si>
  <si>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</si>
  <si>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1年期存款利率</t>
    <phoneticPr fontId="8" type="noConversion"/>
  </si>
  <si>
    <t>——</t>
    <phoneticPr fontId="91" type="noConversion"/>
  </si>
  <si>
    <t>A</t>
    <phoneticPr fontId="21" type="noConversion"/>
  </si>
  <si>
    <t>B</t>
    <phoneticPr fontId="21" type="noConversion"/>
  </si>
  <si>
    <t>C</t>
    <phoneticPr fontId="23" type="noConversion"/>
  </si>
  <si>
    <t>D</t>
    <phoneticPr fontId="23" type="noConversion"/>
  </si>
  <si>
    <t>E</t>
    <phoneticPr fontId="23" type="noConversion"/>
  </si>
  <si>
    <r>
      <t>3</t>
    </r>
    <r>
      <rPr>
        <sz val="11"/>
        <color theme="1"/>
        <rFont val="宋体"/>
        <family val="3"/>
        <charset val="134"/>
      </rPr>
      <t>）</t>
    </r>
    <phoneticPr fontId="21" type="noConversion"/>
  </si>
  <si>
    <t>此处对应收益法中未来第一年总收益</t>
    <phoneticPr fontId="148" type="noConversion"/>
  </si>
  <si>
    <t>估价对象10</t>
  </si>
  <si>
    <t>估价对象9</t>
  </si>
  <si>
    <t>估价对象8</t>
  </si>
  <si>
    <t>估价对象7</t>
  </si>
  <si>
    <t>估价对象6</t>
  </si>
  <si>
    <t>估价对象5</t>
  </si>
  <si>
    <t>估价对象4</t>
  </si>
  <si>
    <t>估价对象3</t>
  </si>
  <si>
    <t>估价对象2</t>
    <phoneticPr fontId="148" type="noConversion"/>
  </si>
  <si>
    <t>估价对象1（本表）</t>
    <phoneticPr fontId="148" type="noConversion"/>
  </si>
  <si>
    <t>抵押净值（万元）</t>
    <phoneticPr fontId="148" type="noConversion"/>
  </si>
  <si>
    <t>抵押价值（万元）</t>
    <phoneticPr fontId="14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</si>
  <si>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8" type="noConversion"/>
  </si>
  <si>
    <t>租金</t>
    <phoneticPr fontId="148" type="noConversion"/>
  </si>
  <si>
    <t>总投</t>
    <phoneticPr fontId="148" type="noConversion"/>
  </si>
  <si>
    <t>抵押价值</t>
  </si>
  <si>
    <t>市场价值</t>
  </si>
  <si>
    <t>地面单价（元/平方米）</t>
    <phoneticPr fontId="148" type="noConversion"/>
  </si>
  <si>
    <t>楼面单价（元/平方米）</t>
  </si>
  <si>
    <t>总价（万元）</t>
  </si>
  <si>
    <t>价值类型</t>
  </si>
  <si>
    <t>价值时点/估价期日</t>
    <phoneticPr fontId="148" type="noConversion"/>
  </si>
  <si>
    <t>抵押价值-已注销（万元）</t>
    <phoneticPr fontId="148" type="noConversion"/>
  </si>
  <si>
    <t>抵押价值-已注销</t>
    <phoneticPr fontId="14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</si>
  <si>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</si>
  <si>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8" type="noConversion"/>
  </si>
  <si>
    <t>市场价值（万元）</t>
    <phoneticPr fontId="14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</si>
  <si>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8" type="noConversion"/>
  </si>
  <si>
    <t>项目名称</t>
    <phoneticPr fontId="148" type="noConversion"/>
  </si>
  <si>
    <t>重置成新价</t>
    <phoneticPr fontId="14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</si>
  <si>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</si>
  <si>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</si>
  <si>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</si>
  <si>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</si>
  <si>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</si>
  <si>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</si>
  <si>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</si>
  <si>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</si>
  <si>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</si>
  <si>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</si>
  <si>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8" type="noConversion"/>
  </si>
  <si>
    <t>高限</t>
    <phoneticPr fontId="148" type="noConversion"/>
  </si>
  <si>
    <t>平均</t>
    <phoneticPr fontId="148" type="noConversion"/>
  </si>
  <si>
    <t>商服</t>
    <phoneticPr fontId="8" type="noConversion"/>
  </si>
  <si>
    <t>2017-2</t>
    <phoneticPr fontId="8"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</si>
  <si>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8" type="noConversion"/>
  </si>
  <si>
    <r>
      <rPr>
        <i/>
        <sz val="10"/>
        <color indexed="8"/>
        <rFont val="宋体"/>
        <family val="3"/>
        <charset val="134"/>
      </rPr>
      <t>（自定义押金）</t>
    </r>
    <r>
      <rPr>
        <b/>
        <i/>
        <sz val="10"/>
        <color rgb="FFFF0000"/>
        <rFont val="宋体"/>
        <family val="3"/>
        <charset val="134"/>
      </rPr>
      <t>单位：元</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</si>
  <si>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</si>
  <si>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</si>
  <si>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</si>
  <si>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4</t>
    </r>
    <r>
      <rPr>
        <sz val="10"/>
        <color indexed="8"/>
        <rFont val="宋体"/>
        <family val="3"/>
        <charset val="134"/>
      </rPr>
      <t>）</t>
    </r>
    <phoneticPr fontId="8" type="noConversion"/>
  </si>
  <si>
    <r>
      <rPr>
        <sz val="10"/>
        <color indexed="8"/>
        <rFont val="宋体"/>
        <family val="3"/>
        <charset val="134"/>
      </rPr>
      <t>（</t>
    </r>
    <r>
      <rPr>
        <sz val="10"/>
        <color indexed="8"/>
        <rFont val="Arial"/>
        <family val="2"/>
      </rPr>
      <t>4</t>
    </r>
    <r>
      <rPr>
        <sz val="10"/>
        <color indexed="8"/>
        <rFont val="宋体"/>
        <family val="3"/>
        <charset val="134"/>
      </rPr>
      <t>）</t>
    </r>
    <phoneticPr fontId="8" type="noConversion"/>
  </si>
  <si>
    <r>
      <rPr>
        <b/>
        <sz val="12"/>
        <rFont val="宋体"/>
        <family val="3"/>
        <charset val="134"/>
      </rPr>
      <t>总价</t>
    </r>
    <phoneticPr fontId="23" type="noConversion"/>
  </si>
  <si>
    <r>
      <rPr>
        <b/>
        <sz val="12"/>
        <rFont val="宋体"/>
        <family val="3"/>
        <charset val="134"/>
      </rPr>
      <t>楼面单价</t>
    </r>
    <phoneticPr fontId="23" type="noConversion"/>
  </si>
  <si>
    <r>
      <rPr>
        <sz val="10"/>
        <color indexed="8"/>
        <rFont val="宋体"/>
        <family val="3"/>
        <charset val="134"/>
      </rPr>
      <t>序号</t>
    </r>
    <phoneticPr fontId="8" type="noConversion"/>
  </si>
  <si>
    <r>
      <rPr>
        <sz val="10"/>
        <color indexed="8"/>
        <rFont val="宋体"/>
        <family val="3"/>
        <charset val="134"/>
      </rPr>
      <t>项目</t>
    </r>
    <phoneticPr fontId="8" type="noConversion"/>
  </si>
  <si>
    <r>
      <rPr>
        <sz val="10"/>
        <color indexed="8"/>
        <rFont val="宋体"/>
        <family val="3"/>
        <charset val="134"/>
      </rPr>
      <t>数额</t>
    </r>
    <phoneticPr fontId="8" type="noConversion"/>
  </si>
  <si>
    <r>
      <rPr>
        <sz val="10"/>
        <color indexed="8"/>
        <rFont val="宋体"/>
        <family val="3"/>
        <charset val="134"/>
      </rPr>
      <t>计算公式</t>
    </r>
    <phoneticPr fontId="8" type="noConversion"/>
  </si>
  <si>
    <r>
      <rPr>
        <sz val="10"/>
        <color indexed="8"/>
        <rFont val="宋体"/>
        <family val="3"/>
        <charset val="134"/>
      </rPr>
      <t>取费标准</t>
    </r>
    <phoneticPr fontId="8" type="noConversion"/>
  </si>
  <si>
    <r>
      <rPr>
        <b/>
        <sz val="10"/>
        <color indexed="8"/>
        <rFont val="宋体"/>
        <family val="3"/>
        <charset val="134"/>
      </rPr>
      <t>未来第一年年总收益</t>
    </r>
    <phoneticPr fontId="8"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</si>
  <si>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8" type="noConversion"/>
  </si>
  <si>
    <r>
      <rPr>
        <sz val="10"/>
        <color indexed="8"/>
        <rFont val="宋体"/>
        <family val="3"/>
        <charset val="134"/>
      </rPr>
      <t>年租金收入（年经营收入）</t>
    </r>
    <phoneticPr fontId="8"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</si>
  <si>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8" type="noConversion"/>
  </si>
  <si>
    <r>
      <rPr>
        <sz val="10"/>
        <color indexed="8"/>
        <rFont val="宋体"/>
        <family val="3"/>
        <charset val="134"/>
      </rPr>
      <t>租金</t>
    </r>
    <phoneticPr fontId="8"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</si>
  <si>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8" type="noConversion"/>
  </si>
  <si>
    <r>
      <rPr>
        <sz val="10"/>
        <color indexed="8"/>
        <rFont val="宋体"/>
        <family val="3"/>
        <charset val="134"/>
      </rPr>
      <t>天</t>
    </r>
    <r>
      <rPr>
        <sz val="10"/>
        <color indexed="8"/>
        <rFont val="Arial"/>
        <family val="2"/>
      </rPr>
      <t>/</t>
    </r>
    <r>
      <rPr>
        <sz val="10"/>
        <color indexed="8"/>
        <rFont val="宋体"/>
        <family val="3"/>
        <charset val="134"/>
      </rPr>
      <t>月</t>
    </r>
    <phoneticPr fontId="8"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</si>
  <si>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8" type="noConversion"/>
  </si>
  <si>
    <r>
      <rPr>
        <sz val="10"/>
        <color indexed="8"/>
        <rFont val="宋体"/>
        <family val="3"/>
        <charset val="134"/>
      </rPr>
      <t>押金利息收入</t>
    </r>
    <phoneticPr fontId="8" type="noConversion"/>
  </si>
  <si>
    <r>
      <rPr>
        <sz val="10"/>
        <color indexed="8"/>
        <rFont val="宋体"/>
        <family val="3"/>
        <charset val="134"/>
      </rPr>
      <t>押金方式</t>
    </r>
    <phoneticPr fontId="8" type="noConversion"/>
  </si>
  <si>
    <r>
      <rPr>
        <b/>
        <sz val="10"/>
        <color indexed="8"/>
        <rFont val="宋体"/>
        <family val="3"/>
        <charset val="134"/>
      </rPr>
      <t>押二</t>
    </r>
  </si>
  <si>
    <r>
      <rPr>
        <sz val="10"/>
        <color indexed="8"/>
        <rFont val="宋体"/>
        <family val="3"/>
        <charset val="134"/>
      </rPr>
      <t>一年期存款利率</t>
    </r>
    <phoneticPr fontId="8" type="noConversion"/>
  </si>
  <si>
    <r>
      <rPr>
        <sz val="10"/>
        <color indexed="8"/>
        <rFont val="宋体"/>
        <family val="3"/>
        <charset val="134"/>
      </rPr>
      <t>其他收入</t>
    </r>
    <phoneticPr fontId="8" type="noConversion"/>
  </si>
  <si>
    <r>
      <rPr>
        <b/>
        <sz val="10"/>
        <color indexed="8"/>
        <rFont val="宋体"/>
        <family val="3"/>
        <charset val="134"/>
      </rPr>
      <t>建筑物现值</t>
    </r>
    <phoneticPr fontId="8"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</si>
  <si>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8"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</si>
  <si>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8"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</si>
  <si>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</si>
  <si>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8" type="noConversion"/>
  </si>
  <si>
    <r>
      <rPr>
        <sz val="10"/>
        <color indexed="8"/>
        <rFont val="宋体"/>
        <family val="3"/>
        <charset val="134"/>
      </rPr>
      <t>建筑物重置价值</t>
    </r>
    <phoneticPr fontId="8"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</si>
  <si>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</si>
  <si>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8" type="noConversion"/>
  </si>
  <si>
    <r>
      <rPr>
        <sz val="10"/>
        <color indexed="8"/>
        <rFont val="宋体"/>
        <family val="3"/>
        <charset val="134"/>
      </rPr>
      <t>费率（</t>
    </r>
    <r>
      <rPr>
        <sz val="10"/>
        <color indexed="8"/>
        <rFont val="Arial"/>
        <family val="2"/>
      </rPr>
      <t>%</t>
    </r>
    <r>
      <rPr>
        <sz val="10"/>
        <color indexed="8"/>
        <rFont val="宋体"/>
        <family val="3"/>
        <charset val="134"/>
      </rPr>
      <t>）</t>
    </r>
    <phoneticPr fontId="8" type="noConversion"/>
  </si>
  <si>
    <r>
      <rPr>
        <sz val="10"/>
        <color indexed="8"/>
        <rFont val="宋体"/>
        <family val="3"/>
        <charset val="134"/>
      </rPr>
      <t>公共配套设施费用</t>
    </r>
  </si>
  <si>
    <r>
      <rPr>
        <b/>
        <sz val="10"/>
        <color indexed="8"/>
        <rFont val="宋体"/>
        <family val="3"/>
        <charset val="134"/>
      </rPr>
      <t>年经营费用</t>
    </r>
    <phoneticPr fontId="8"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</si>
  <si>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8"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</si>
  <si>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</si>
  <si>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8"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</si>
  <si>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8"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</si>
  <si>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</si>
  <si>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8" type="noConversion"/>
  </si>
  <si>
    <r>
      <rPr>
        <sz val="10"/>
        <color indexed="8"/>
        <rFont val="宋体"/>
        <family val="3"/>
        <charset val="134"/>
      </rPr>
      <t>综合税率</t>
    </r>
    <phoneticPr fontId="8" type="noConversion"/>
  </si>
  <si>
    <r>
      <rPr>
        <sz val="10"/>
        <color indexed="8"/>
        <rFont val="宋体"/>
        <family val="3"/>
        <charset val="134"/>
      </rPr>
      <t>相关税费</t>
    </r>
  </si>
  <si>
    <r>
      <rPr>
        <sz val="10"/>
        <color indexed="8"/>
        <rFont val="宋体"/>
        <family val="3"/>
        <charset val="134"/>
      </rPr>
      <t>两税两费</t>
    </r>
    <phoneticPr fontId="8"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</si>
  <si>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8"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</si>
  <si>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</si>
  <si>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8" type="noConversion"/>
  </si>
  <si>
    <r>
      <rPr>
        <sz val="10"/>
        <color indexed="8"/>
        <rFont val="宋体"/>
        <family val="3"/>
        <charset val="134"/>
      </rPr>
      <t>房产税</t>
    </r>
    <phoneticPr fontId="8"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</si>
  <si>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</si>
  <si>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</si>
  <si>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8" type="noConversion"/>
  </si>
  <si>
    <r>
      <rPr>
        <sz val="10"/>
        <color indexed="8"/>
        <rFont val="宋体"/>
        <family val="3"/>
        <charset val="134"/>
      </rPr>
      <t>城镇土地使用税</t>
    </r>
    <phoneticPr fontId="8"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</si>
  <si>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8"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</si>
  <si>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8" type="noConversion"/>
  </si>
  <si>
    <r>
      <rPr>
        <sz val="10"/>
        <color indexed="8"/>
        <rFont val="宋体"/>
        <family val="3"/>
        <charset val="134"/>
      </rPr>
      <t>销售费用</t>
    </r>
    <phoneticPr fontId="8"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</si>
  <si>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8"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</si>
  <si>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8" type="noConversion"/>
  </si>
  <si>
    <r>
      <rPr>
        <sz val="10"/>
        <color indexed="8"/>
        <rFont val="宋体"/>
        <family val="3"/>
        <charset val="134"/>
      </rPr>
      <t>土地面积（㎡）</t>
    </r>
    <phoneticPr fontId="8" type="noConversion"/>
  </si>
  <si>
    <r>
      <rPr>
        <sz val="10"/>
        <color indexed="8"/>
        <rFont val="宋体"/>
        <family val="3"/>
        <charset val="134"/>
      </rPr>
      <t>贷款利息</t>
    </r>
    <phoneticPr fontId="8" type="noConversion"/>
  </si>
  <si>
    <r>
      <rPr>
        <sz val="10"/>
        <color indexed="8"/>
        <rFont val="宋体"/>
        <family val="3"/>
        <charset val="134"/>
      </rPr>
      <t>维修费</t>
    </r>
    <phoneticPr fontId="8"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</si>
  <si>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8"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</si>
  <si>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8" type="noConversion"/>
  </si>
  <si>
    <r>
      <rPr>
        <sz val="10"/>
        <color indexed="8"/>
        <rFont val="宋体"/>
        <family val="3"/>
        <charset val="134"/>
      </rPr>
      <t>建设周期（年）</t>
    </r>
    <phoneticPr fontId="8"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</si>
  <si>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</si>
  <si>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8" type="noConversion"/>
  </si>
  <si>
    <r>
      <rPr>
        <sz val="10"/>
        <color indexed="8"/>
        <rFont val="宋体"/>
        <family val="3"/>
        <charset val="134"/>
      </rPr>
      <t>费率（</t>
    </r>
    <r>
      <rPr>
        <sz val="10"/>
        <color indexed="8"/>
        <rFont val="Arial"/>
        <family val="2"/>
      </rPr>
      <t>%</t>
    </r>
    <r>
      <rPr>
        <sz val="10"/>
        <color indexed="8"/>
        <rFont val="宋体"/>
        <family val="3"/>
        <charset val="134"/>
      </rPr>
      <t>）</t>
    </r>
    <phoneticPr fontId="8" type="noConversion"/>
  </si>
  <si>
    <r>
      <t>2</t>
    </r>
    <r>
      <rPr>
        <sz val="10"/>
        <color indexed="8"/>
        <rFont val="宋体"/>
        <family val="3"/>
        <charset val="134"/>
      </rPr>
      <t>）</t>
    </r>
    <phoneticPr fontId="8" type="noConversion"/>
  </si>
  <si>
    <r>
      <rPr>
        <sz val="10"/>
        <color indexed="8"/>
        <rFont val="宋体"/>
        <family val="3"/>
        <charset val="134"/>
      </rPr>
      <t>销售费用产生的利息</t>
    </r>
    <phoneticPr fontId="8" type="noConversion"/>
  </si>
  <si>
    <r>
      <rPr>
        <sz val="10"/>
        <color indexed="8"/>
        <rFont val="宋体"/>
        <family val="3"/>
        <charset val="134"/>
      </rPr>
      <t>利息（</t>
    </r>
    <r>
      <rPr>
        <sz val="10"/>
        <color indexed="8"/>
        <rFont val="Arial"/>
        <family val="2"/>
      </rPr>
      <t>%</t>
    </r>
    <r>
      <rPr>
        <sz val="10"/>
        <color indexed="8"/>
        <rFont val="宋体"/>
        <family val="3"/>
        <charset val="134"/>
      </rPr>
      <t>）</t>
    </r>
    <phoneticPr fontId="8"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</si>
  <si>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</si>
  <si>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</si>
  <si>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</si>
  <si>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8" type="noConversion"/>
  </si>
  <si>
    <r>
      <rPr>
        <b/>
        <sz val="10"/>
        <color indexed="8"/>
        <rFont val="宋体"/>
        <family val="3"/>
        <charset val="134"/>
      </rPr>
      <t>房地产未来第一年净收益</t>
    </r>
    <phoneticPr fontId="8"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</si>
  <si>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8"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</si>
  <si>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8"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</si>
  <si>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8"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</si>
  <si>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8" type="noConversion"/>
  </si>
  <si>
    <r>
      <rPr>
        <b/>
        <sz val="10"/>
        <color indexed="8"/>
        <rFont val="宋体"/>
        <family val="3"/>
        <charset val="134"/>
      </rPr>
      <t>租约外房地产收益价值</t>
    </r>
    <phoneticPr fontId="8" type="noConversion"/>
  </si>
  <si>
    <r>
      <rPr>
        <sz val="10"/>
        <color indexed="8"/>
        <rFont val="宋体"/>
        <family val="3"/>
        <charset val="134"/>
      </rPr>
      <t>房地产未来第一年净收益</t>
    </r>
    <r>
      <rPr>
        <sz val="10"/>
        <color indexed="8"/>
        <rFont val="Arial"/>
        <family val="2"/>
      </rPr>
      <t>×</t>
    </r>
    <phoneticPr fontId="8"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</si>
  <si>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8"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</si>
  <si>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</si>
  <si>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8"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</si>
  <si>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8" type="noConversion"/>
  </si>
  <si>
    <r>
      <rPr>
        <sz val="10"/>
        <color indexed="8"/>
        <rFont val="宋体"/>
        <family val="3"/>
        <charset val="134"/>
      </rPr>
      <t>收益年期</t>
    </r>
    <r>
      <rPr>
        <sz val="10"/>
        <color indexed="8"/>
        <rFont val="Arial"/>
        <family val="2"/>
      </rPr>
      <t>(n)</t>
    </r>
    <phoneticPr fontId="8"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</si>
  <si>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</si>
  <si>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8" type="noConversion"/>
  </si>
  <si>
    <r>
      <rPr>
        <sz val="10"/>
        <color indexed="8"/>
        <rFont val="宋体"/>
        <family val="3"/>
        <charset val="134"/>
      </rPr>
      <t>年增长比率</t>
    </r>
    <r>
      <rPr>
        <sz val="10"/>
        <color indexed="8"/>
        <rFont val="Arial"/>
        <family val="2"/>
      </rPr>
      <t>(g)</t>
    </r>
    <phoneticPr fontId="8"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</si>
  <si>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8" type="noConversion"/>
  </si>
  <si>
    <r>
      <rPr>
        <b/>
        <sz val="10"/>
        <color indexed="8"/>
        <rFont val="宋体"/>
        <family val="3"/>
        <charset val="134"/>
      </rPr>
      <t>折现价值</t>
    </r>
    <phoneticPr fontId="8"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</si>
  <si>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8" type="noConversion"/>
  </si>
  <si>
    <r>
      <rPr>
        <sz val="10"/>
        <color indexed="8"/>
        <rFont val="宋体"/>
        <family val="3"/>
        <charset val="134"/>
      </rPr>
      <t>综合税率</t>
    </r>
    <phoneticPr fontId="2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</si>
  <si>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8" type="noConversion"/>
  </si>
  <si>
    <r>
      <rPr>
        <b/>
        <sz val="10"/>
        <color indexed="8"/>
        <rFont val="宋体"/>
        <family val="3"/>
        <charset val="134"/>
      </rPr>
      <t>房地产未来第一年净收益</t>
    </r>
    <phoneticPr fontId="8"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</si>
  <si>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8" type="noConversion"/>
  </si>
  <si>
    <r>
      <rPr>
        <b/>
        <sz val="10"/>
        <color indexed="8"/>
        <rFont val="宋体"/>
        <family val="3"/>
        <charset val="134"/>
      </rPr>
      <t>收益价值</t>
    </r>
    <phoneticPr fontId="8"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</si>
  <si>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5"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</si>
  <si>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8"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</si>
  <si>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8" type="noConversion"/>
  </si>
  <si>
    <r>
      <rPr>
        <sz val="10"/>
        <color indexed="8"/>
        <rFont val="宋体"/>
        <family val="3"/>
        <charset val="134"/>
      </rPr>
      <t>建筑面积（㎡）</t>
    </r>
    <phoneticPr fontId="8" type="noConversion"/>
  </si>
  <si>
    <r>
      <rPr>
        <b/>
        <sz val="10"/>
        <color indexed="8"/>
        <rFont val="宋体"/>
        <family val="3"/>
        <charset val="134"/>
      </rPr>
      <t>租金收入</t>
    </r>
    <phoneticPr fontId="8" type="noConversion"/>
  </si>
  <si>
    <r>
      <rPr>
        <sz val="10"/>
        <color indexed="8"/>
        <rFont val="宋体"/>
        <family val="3"/>
        <charset val="134"/>
      </rPr>
      <t>市场租金</t>
    </r>
    <phoneticPr fontId="8" type="noConversion"/>
  </si>
  <si>
    <r>
      <t>2</t>
    </r>
    <r>
      <rPr>
        <sz val="10"/>
        <color indexed="8"/>
        <rFont val="宋体"/>
        <family val="3"/>
        <charset val="134"/>
      </rPr>
      <t>）</t>
    </r>
  </si>
  <si>
    <r>
      <rPr>
        <sz val="10"/>
        <color indexed="8"/>
        <rFont val="宋体"/>
        <family val="3"/>
        <charset val="134"/>
      </rPr>
      <t>房产税</t>
    </r>
    <phoneticPr fontId="8" type="noConversion"/>
  </si>
  <si>
    <r>
      <rPr>
        <sz val="10"/>
        <color indexed="8"/>
        <rFont val="宋体"/>
        <family val="3"/>
        <charset val="134"/>
      </rPr>
      <t>费率（</t>
    </r>
    <r>
      <rPr>
        <sz val="10"/>
        <color indexed="8"/>
        <rFont val="Arial"/>
        <family val="2"/>
      </rPr>
      <t>%</t>
    </r>
    <r>
      <rPr>
        <sz val="10"/>
        <color indexed="8"/>
        <rFont val="宋体"/>
        <family val="3"/>
        <charset val="134"/>
      </rPr>
      <t>）</t>
    </r>
    <phoneticPr fontId="8" type="noConversion"/>
  </si>
  <si>
    <r>
      <t>3</t>
    </r>
    <r>
      <rPr>
        <sz val="10"/>
        <color indexed="8"/>
        <rFont val="宋体"/>
        <family val="3"/>
        <charset val="134"/>
      </rPr>
      <t>）</t>
    </r>
  </si>
  <si>
    <r>
      <rPr>
        <sz val="10"/>
        <color indexed="8"/>
        <rFont val="宋体"/>
        <family val="3"/>
        <charset val="134"/>
      </rPr>
      <t>城镇土地使用税</t>
    </r>
    <phoneticPr fontId="8"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</si>
  <si>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8"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</si>
  <si>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8" type="noConversion"/>
  </si>
  <si>
    <r>
      <rPr>
        <sz val="10"/>
        <color indexed="8"/>
        <rFont val="宋体"/>
        <family val="3"/>
        <charset val="134"/>
      </rPr>
      <t>土地面积（㎡）</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</si>
  <si>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</si>
  <si>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维修费</t>
    </r>
    <phoneticPr fontId="8"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</si>
  <si>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8"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</si>
  <si>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</si>
  <si>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</si>
  <si>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8" type="noConversion"/>
  </si>
  <si>
    <r>
      <rPr>
        <sz val="10"/>
        <rFont val="宋体"/>
        <family val="3"/>
        <charset val="134"/>
      </rPr>
      <t>房屋年纯收益</t>
    </r>
    <phoneticPr fontId="8" type="noConversion"/>
  </si>
  <si>
    <r>
      <rPr>
        <sz val="10"/>
        <rFont val="宋体"/>
        <family val="3"/>
        <charset val="134"/>
      </rPr>
      <t>建筑物资本化率</t>
    </r>
    <phoneticPr fontId="8" type="noConversion"/>
  </si>
  <si>
    <r>
      <rPr>
        <b/>
        <sz val="10"/>
        <color indexed="8"/>
        <rFont val="宋体"/>
        <family val="3"/>
        <charset val="134"/>
      </rPr>
      <t>确定合理的建筑物与土地价值比例</t>
    </r>
    <phoneticPr fontId="8" type="noConversion"/>
  </si>
  <si>
    <r>
      <t>1.</t>
    </r>
    <r>
      <rPr>
        <b/>
        <sz val="10"/>
        <color indexed="10"/>
        <rFont val="宋体"/>
        <family val="3"/>
        <charset val="134"/>
      </rPr>
      <t>收益比率</t>
    </r>
    <phoneticPr fontId="8" type="noConversion"/>
  </si>
  <si>
    <r>
      <rPr>
        <sz val="10"/>
        <rFont val="宋体"/>
        <family val="3"/>
        <charset val="134"/>
      </rPr>
      <t>土地收益比率</t>
    </r>
    <phoneticPr fontId="8" type="noConversion"/>
  </si>
  <si>
    <r>
      <rPr>
        <sz val="10"/>
        <rFont val="宋体"/>
        <family val="3"/>
        <charset val="134"/>
      </rPr>
      <t>建筑物收益比率</t>
    </r>
    <phoneticPr fontId="8" type="noConversion"/>
  </si>
  <si>
    <r>
      <t>2.</t>
    </r>
    <r>
      <rPr>
        <b/>
        <sz val="10"/>
        <color indexed="10"/>
        <rFont val="宋体"/>
        <family val="3"/>
        <charset val="134"/>
      </rPr>
      <t>成本比率</t>
    </r>
    <phoneticPr fontId="8" type="noConversion"/>
  </si>
  <si>
    <r>
      <rPr>
        <sz val="10"/>
        <color indexed="8"/>
        <rFont val="宋体"/>
        <family val="3"/>
        <charset val="134"/>
      </rPr>
      <t>土地成本比率</t>
    </r>
    <phoneticPr fontId="8" type="noConversion"/>
  </si>
  <si>
    <r>
      <rPr>
        <sz val="10"/>
        <color indexed="8"/>
        <rFont val="宋体"/>
        <family val="3"/>
        <charset val="134"/>
      </rPr>
      <t>建筑物成本比率</t>
    </r>
    <phoneticPr fontId="8" type="noConversion"/>
  </si>
  <si>
    <r>
      <rPr>
        <b/>
        <sz val="10"/>
        <rFont val="宋体"/>
        <family val="3"/>
        <charset val="134"/>
      </rPr>
      <t>总价</t>
    </r>
    <phoneticPr fontId="23" type="noConversion"/>
  </si>
  <si>
    <r>
      <rPr>
        <sz val="10"/>
        <rFont val="宋体"/>
        <family val="3"/>
        <charset val="134"/>
      </rPr>
      <t>万元</t>
    </r>
    <phoneticPr fontId="8" type="noConversion"/>
  </si>
  <si>
    <r>
      <rPr>
        <b/>
        <sz val="10"/>
        <rFont val="宋体"/>
        <family val="3"/>
        <charset val="134"/>
      </rPr>
      <t>楼面单价</t>
    </r>
    <phoneticPr fontId="23" type="noConversion"/>
  </si>
  <si>
    <r>
      <rPr>
        <sz val="10"/>
        <rFont val="宋体"/>
        <family val="3"/>
        <charset val="134"/>
      </rPr>
      <t>元</t>
    </r>
    <r>
      <rPr>
        <sz val="10"/>
        <rFont val="Arial"/>
        <family val="2"/>
      </rPr>
      <t>/</t>
    </r>
    <r>
      <rPr>
        <sz val="10"/>
        <rFont val="宋体"/>
        <family val="3"/>
        <charset val="134"/>
      </rPr>
      <t>平方米</t>
    </r>
    <phoneticPr fontId="8" type="noConversion"/>
  </si>
  <si>
    <r>
      <rPr>
        <b/>
        <sz val="10"/>
        <color rgb="FFFF0000"/>
        <rFont val="宋体"/>
        <family val="3"/>
        <charset val="134"/>
      </rPr>
      <t>计算建筑物剩余价值折现</t>
    </r>
    <phoneticPr fontId="8" type="noConversion"/>
  </si>
  <si>
    <r>
      <rPr>
        <b/>
        <sz val="10"/>
        <color rgb="FFFF0000"/>
        <rFont val="宋体"/>
        <family val="3"/>
        <charset val="134"/>
      </rPr>
      <t>承租人权益价值</t>
    </r>
    <phoneticPr fontId="8" type="noConversion"/>
  </si>
  <si>
    <r>
      <rPr>
        <b/>
        <sz val="10"/>
        <color rgb="FFFF0000"/>
        <rFont val="宋体"/>
        <family val="3"/>
        <charset val="134"/>
      </rPr>
      <t>超出收益期的土地使用年限或建筑物价值折现计算</t>
    </r>
    <phoneticPr fontId="8"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</si>
  <si>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</si>
  <si>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</si>
  <si>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</si>
  <si>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</si>
  <si>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8" type="noConversion"/>
  </si>
  <si>
    <r>
      <rPr>
        <sz val="10"/>
        <rFont val="宋体"/>
        <family val="3"/>
        <charset val="134"/>
      </rPr>
      <t>土地使用年限</t>
    </r>
    <phoneticPr fontId="8" type="noConversion"/>
  </si>
  <si>
    <r>
      <rPr>
        <sz val="10"/>
        <color theme="1"/>
        <rFont val="宋体"/>
        <family val="3"/>
        <charset val="134"/>
      </rPr>
      <t>收益期内收益价值（万元）</t>
    </r>
    <phoneticPr fontId="8" type="noConversion"/>
  </si>
  <si>
    <r>
      <rPr>
        <sz val="10"/>
        <color theme="1"/>
        <rFont val="宋体"/>
        <family val="3"/>
        <charset val="134"/>
      </rPr>
      <t>依前述测算</t>
    </r>
  </si>
  <si>
    <r>
      <rPr>
        <sz val="10"/>
        <rFont val="宋体"/>
        <family val="3"/>
        <charset val="134"/>
      </rPr>
      <t>建筑使用方向</t>
    </r>
    <phoneticPr fontId="8" type="noConversion"/>
  </si>
  <si>
    <r>
      <rPr>
        <sz val="10"/>
        <color theme="1"/>
        <rFont val="宋体"/>
        <family val="3"/>
        <charset val="134"/>
      </rPr>
      <t>剩余土地使用年限</t>
    </r>
    <phoneticPr fontId="8" type="noConversion"/>
  </si>
  <si>
    <r>
      <rPr>
        <sz val="10"/>
        <color theme="1"/>
        <rFont val="宋体"/>
        <family val="3"/>
        <charset val="134"/>
      </rPr>
      <t>建筑物在收益期结束时的价值折现到价值时点的价值（万元）</t>
    </r>
    <phoneticPr fontId="8"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</si>
  <si>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</si>
  <si>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8" type="noConversion"/>
  </si>
  <si>
    <r>
      <rPr>
        <sz val="10"/>
        <color theme="1"/>
        <rFont val="宋体"/>
        <family val="3"/>
        <charset val="134"/>
      </rPr>
      <t>比较法土地结果</t>
    </r>
    <phoneticPr fontId="8" type="noConversion"/>
  </si>
  <si>
    <r>
      <rPr>
        <sz val="10"/>
        <color theme="1"/>
        <rFont val="宋体"/>
        <family val="3"/>
        <charset val="134"/>
      </rPr>
      <t>建筑物重置价值（万元）</t>
    </r>
    <phoneticPr fontId="8" type="noConversion"/>
  </si>
  <si>
    <r>
      <rPr>
        <sz val="10"/>
        <rFont val="宋体"/>
        <family val="3"/>
        <charset val="134"/>
      </rPr>
      <t>建筑物耐用年限</t>
    </r>
    <phoneticPr fontId="8" type="noConversion"/>
  </si>
  <si>
    <r>
      <rPr>
        <sz val="10"/>
        <color theme="1"/>
        <rFont val="宋体"/>
        <family val="3"/>
        <charset val="134"/>
      </rPr>
      <t>基准地价土地结果</t>
    </r>
    <phoneticPr fontId="8" type="noConversion"/>
  </si>
  <si>
    <r>
      <rPr>
        <sz val="10"/>
        <color theme="1"/>
        <rFont val="宋体"/>
        <family val="3"/>
        <charset val="134"/>
      </rPr>
      <t>成新率（</t>
    </r>
    <r>
      <rPr>
        <sz val="10"/>
        <color theme="1"/>
        <rFont val="Arial"/>
        <family val="2"/>
      </rPr>
      <t>%</t>
    </r>
    <r>
      <rPr>
        <sz val="10"/>
        <color theme="1"/>
        <rFont val="宋体"/>
        <family val="3"/>
        <charset val="134"/>
      </rPr>
      <t>）</t>
    </r>
    <phoneticPr fontId="8" type="noConversion"/>
  </si>
  <si>
    <r>
      <rPr>
        <sz val="10"/>
        <rFont val="宋体"/>
        <family val="3"/>
        <charset val="134"/>
      </rPr>
      <t>建筑物剩余耐用年限</t>
    </r>
    <phoneticPr fontId="8" type="noConversion"/>
  </si>
  <si>
    <r>
      <rPr>
        <sz val="10"/>
        <rFont val="宋体"/>
        <family val="3"/>
        <charset val="134"/>
      </rPr>
      <t>收益还原法土地结果</t>
    </r>
    <phoneticPr fontId="8"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</si>
  <si>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8" type="noConversion"/>
  </si>
  <si>
    <r>
      <rPr>
        <sz val="10"/>
        <rFont val="宋体"/>
        <family val="3"/>
        <charset val="134"/>
      </rPr>
      <t>建筑物报酬率</t>
    </r>
    <phoneticPr fontId="8" type="noConversion"/>
  </si>
  <si>
    <r>
      <rPr>
        <sz val="10"/>
        <rFont val="宋体"/>
        <family val="3"/>
        <charset val="134"/>
      </rPr>
      <t>土地报酬率</t>
    </r>
    <phoneticPr fontId="8"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</si>
  <si>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</si>
  <si>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</si>
  <si>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8"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</si>
  <si>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8" type="noConversion"/>
  </si>
  <si>
    <r>
      <rPr>
        <sz val="10"/>
        <color theme="1"/>
        <rFont val="宋体"/>
        <family val="3"/>
        <charset val="134"/>
      </rPr>
      <t>收益价值（万元）</t>
    </r>
    <phoneticPr fontId="8"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</si>
  <si>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8" type="noConversion"/>
  </si>
  <si>
    <r>
      <rPr>
        <b/>
        <sz val="10"/>
        <rFont val="宋体"/>
        <family val="3"/>
        <charset val="134"/>
      </rPr>
      <t>建筑物计算</t>
    </r>
    <phoneticPr fontId="8" type="noConversion"/>
  </si>
  <si>
    <r>
      <rPr>
        <b/>
        <sz val="10"/>
        <rFont val="宋体"/>
        <family val="3"/>
        <charset val="134"/>
      </rPr>
      <t>土地使用权计算</t>
    </r>
    <phoneticPr fontId="8" type="noConversion"/>
  </si>
  <si>
    <r>
      <rPr>
        <sz val="10"/>
        <rFont val="宋体"/>
        <family val="3"/>
        <charset val="134"/>
      </rPr>
      <t>收益还原</t>
    </r>
  </si>
  <si>
    <r>
      <rPr>
        <sz val="10"/>
        <rFont val="宋体"/>
        <family val="3"/>
        <charset val="134"/>
      </rPr>
      <t>是否约定土地使用期结束后无偿收回房地产（非住宅）</t>
    </r>
    <phoneticPr fontId="8" type="noConversion"/>
  </si>
  <si>
    <r>
      <rPr>
        <sz val="10"/>
        <rFont val="宋体"/>
        <family val="3"/>
        <charset val="134"/>
      </rPr>
      <t>建筑物耐用年限结束后剩余土地使用年限</t>
    </r>
    <phoneticPr fontId="8" type="noConversion"/>
  </si>
  <si>
    <r>
      <rPr>
        <sz val="10"/>
        <rFont val="宋体"/>
        <family val="3"/>
        <charset val="134"/>
      </rPr>
      <t>土地使用年限结束后建筑物耐用年期</t>
    </r>
    <phoneticPr fontId="8" type="noConversion"/>
  </si>
  <si>
    <r>
      <rPr>
        <sz val="10"/>
        <rFont val="宋体"/>
        <family val="3"/>
        <charset val="134"/>
      </rPr>
      <t>价值时点下的土地价值（土地购买价格）</t>
    </r>
    <r>
      <rPr>
        <sz val="10"/>
        <rFont val="Arial"/>
        <family val="2"/>
      </rPr>
      <t>Vn</t>
    </r>
    <phoneticPr fontId="8" type="noConversion"/>
  </si>
  <si>
    <r>
      <rPr>
        <sz val="10"/>
        <color theme="1"/>
        <rFont val="宋体"/>
        <family val="3"/>
        <charset val="134"/>
      </rPr>
      <t>剩余土地价值折现到价值时点的价值（万元）</t>
    </r>
    <phoneticPr fontId="8"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</si>
  <si>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8" type="noConversion"/>
  </si>
  <si>
    <r>
      <rPr>
        <sz val="10"/>
        <rFont val="宋体"/>
        <family val="3"/>
        <charset val="134"/>
      </rPr>
      <t>土地使用年限结束后建筑物成新度</t>
    </r>
    <phoneticPr fontId="8" type="noConversion"/>
  </si>
  <si>
    <r>
      <rPr>
        <sz val="10"/>
        <rFont val="宋体"/>
        <family val="3"/>
        <charset val="134"/>
      </rPr>
      <t>剩余土地使用年期下的土地年期修正系数</t>
    </r>
    <r>
      <rPr>
        <sz val="10"/>
        <rFont val="Arial"/>
        <family val="2"/>
      </rPr>
      <t>KN</t>
    </r>
    <phoneticPr fontId="8"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</si>
  <si>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8" type="noConversion"/>
  </si>
  <si>
    <r>
      <rPr>
        <sz val="10"/>
        <rFont val="宋体"/>
        <family val="3"/>
        <charset val="134"/>
      </rPr>
      <t>土地使用年限结束后建筑物现值</t>
    </r>
    <phoneticPr fontId="8"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</si>
  <si>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8" type="noConversion"/>
  </si>
  <si>
    <r>
      <rPr>
        <b/>
        <sz val="10"/>
        <rFont val="宋体"/>
        <family val="3"/>
        <charset val="134"/>
      </rPr>
      <t>建筑物剩余价值折现值</t>
    </r>
    <phoneticPr fontId="8" type="noConversion"/>
  </si>
  <si>
    <r>
      <rPr>
        <b/>
        <sz val="10"/>
        <rFont val="宋体"/>
        <family val="3"/>
        <charset val="134"/>
      </rPr>
      <t>剩余土地价值折现值</t>
    </r>
    <phoneticPr fontId="8"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</si>
  <si>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</si>
  <si>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</si>
  <si>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</si>
  <si>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</si>
  <si>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</si>
  <si>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</si>
  <si>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</si>
  <si>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8" type="noConversion"/>
  </si>
  <si>
    <r>
      <rPr>
        <sz val="10"/>
        <color theme="1"/>
        <rFont val="宋体"/>
        <family val="3"/>
        <charset val="134"/>
      </rPr>
      <t>收益价值（万元）</t>
    </r>
    <phoneticPr fontId="8" type="noConversion"/>
  </si>
  <si>
    <r>
      <rPr>
        <sz val="10"/>
        <rFont val="宋体"/>
        <family val="3"/>
        <charset val="134"/>
      </rPr>
      <t>钢</t>
    </r>
    <phoneticPr fontId="8"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</si>
  <si>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8" type="noConversion"/>
  </si>
  <si>
    <r>
      <rPr>
        <sz val="10"/>
        <rFont val="宋体"/>
        <family val="3"/>
        <charset val="134"/>
      </rPr>
      <t>钢混</t>
    </r>
    <phoneticPr fontId="8" type="noConversion"/>
  </si>
  <si>
    <r>
      <rPr>
        <sz val="10"/>
        <rFont val="宋体"/>
        <family val="3"/>
        <charset val="134"/>
      </rPr>
      <t>砖混</t>
    </r>
    <phoneticPr fontId="8" type="noConversion"/>
  </si>
  <si>
    <r>
      <rPr>
        <sz val="10"/>
        <color theme="1"/>
        <rFont val="宋体"/>
        <family val="3"/>
        <charset val="134"/>
      </rPr>
      <t>收益期内收益价值（万元）</t>
    </r>
    <phoneticPr fontId="8"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</si>
  <si>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</si>
  <si>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8"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</si>
  <si>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8" type="noConversion"/>
  </si>
  <si>
    <r>
      <rPr>
        <sz val="10"/>
        <color rgb="FF000000"/>
        <rFont val="宋体"/>
        <family val="3"/>
        <charset val="134"/>
      </rPr>
      <t>房地纯收益（万元）</t>
    </r>
    <phoneticPr fontId="8" type="noConversion"/>
  </si>
  <si>
    <r>
      <rPr>
        <sz val="10"/>
        <color rgb="FF000000"/>
        <rFont val="宋体"/>
        <family val="3"/>
        <charset val="134"/>
      </rPr>
      <t>建筑物现值（万元）</t>
    </r>
    <phoneticPr fontId="8"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</si>
  <si>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8"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</si>
  <si>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8" type="noConversion"/>
  </si>
  <si>
    <r>
      <rPr>
        <b/>
        <sz val="12"/>
        <rFont val="宋体"/>
        <family val="3"/>
        <charset val="134"/>
      </rPr>
      <t>租约外</t>
    </r>
    <phoneticPr fontId="8" type="noConversion"/>
  </si>
  <si>
    <r>
      <rPr>
        <b/>
        <sz val="16"/>
        <color indexed="10"/>
        <rFont val="宋体"/>
        <family val="3"/>
        <charset val="134"/>
      </rPr>
      <t>收益法</t>
    </r>
    <r>
      <rPr>
        <b/>
        <sz val="12"/>
        <rFont val="宋体"/>
        <family val="3"/>
        <charset val="134"/>
      </rPr>
      <t>（无租约及租期内）</t>
    </r>
    <phoneticPr fontId="8" type="noConversion"/>
  </si>
  <si>
    <r>
      <rPr>
        <b/>
        <sz val="10"/>
        <rFont val="宋体"/>
        <family val="3"/>
        <charset val="134"/>
      </rPr>
      <t>总价</t>
    </r>
    <phoneticPr fontId="23" type="noConversion"/>
  </si>
  <si>
    <r>
      <rPr>
        <sz val="10"/>
        <rFont val="宋体"/>
        <family val="3"/>
        <charset val="134"/>
      </rPr>
      <t>万元</t>
    </r>
    <phoneticPr fontId="8" type="noConversion"/>
  </si>
  <si>
    <r>
      <rPr>
        <sz val="10"/>
        <rFont val="宋体"/>
        <family val="3"/>
        <charset val="134"/>
      </rPr>
      <t>元</t>
    </r>
    <phoneticPr fontId="151" type="noConversion"/>
  </si>
  <si>
    <r>
      <rPr>
        <b/>
        <sz val="10"/>
        <rFont val="宋体"/>
        <family val="3"/>
        <charset val="134"/>
      </rPr>
      <t>楼面单价</t>
    </r>
    <phoneticPr fontId="23" type="noConversion"/>
  </si>
  <si>
    <r>
      <rPr>
        <sz val="10"/>
        <rFont val="宋体"/>
        <family val="3"/>
        <charset val="134"/>
      </rPr>
      <t>元</t>
    </r>
    <r>
      <rPr>
        <sz val="10"/>
        <rFont val="Arial"/>
        <family val="2"/>
      </rPr>
      <t>/</t>
    </r>
    <r>
      <rPr>
        <sz val="10"/>
        <rFont val="宋体"/>
        <family val="3"/>
        <charset val="134"/>
      </rPr>
      <t>平方米</t>
    </r>
    <phoneticPr fontId="8" type="noConversion"/>
  </si>
  <si>
    <r>
      <rPr>
        <sz val="10"/>
        <color indexed="8"/>
        <rFont val="宋体"/>
        <family val="3"/>
        <charset val="134"/>
      </rPr>
      <t>序号</t>
    </r>
    <phoneticPr fontId="8" type="noConversion"/>
  </si>
  <si>
    <r>
      <rPr>
        <sz val="10"/>
        <color indexed="8"/>
        <rFont val="宋体"/>
        <family val="3"/>
        <charset val="134"/>
      </rPr>
      <t>项目</t>
    </r>
    <phoneticPr fontId="8" type="noConversion"/>
  </si>
  <si>
    <r>
      <rPr>
        <sz val="10"/>
        <color indexed="8"/>
        <rFont val="宋体"/>
        <family val="3"/>
        <charset val="134"/>
      </rPr>
      <t>数额</t>
    </r>
    <phoneticPr fontId="8" type="noConversion"/>
  </si>
  <si>
    <r>
      <rPr>
        <sz val="10"/>
        <color indexed="8"/>
        <rFont val="宋体"/>
        <family val="3"/>
        <charset val="134"/>
      </rPr>
      <t>计算公式</t>
    </r>
    <phoneticPr fontId="8" type="noConversion"/>
  </si>
  <si>
    <r>
      <rPr>
        <sz val="10"/>
        <color indexed="8"/>
        <rFont val="宋体"/>
        <family val="3"/>
        <charset val="134"/>
      </rPr>
      <t>取费标准</t>
    </r>
    <phoneticPr fontId="8" type="noConversion"/>
  </si>
  <si>
    <r>
      <rPr>
        <b/>
        <sz val="10"/>
        <color indexed="8"/>
        <rFont val="宋体"/>
        <family val="3"/>
        <charset val="134"/>
      </rPr>
      <t>未来第一年年总收益</t>
    </r>
    <phoneticPr fontId="8"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</si>
  <si>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8" type="noConversion"/>
  </si>
  <si>
    <r>
      <rPr>
        <i/>
        <sz val="10"/>
        <color indexed="8"/>
        <rFont val="宋体"/>
        <family val="3"/>
        <charset val="134"/>
      </rPr>
      <t>（合同押金）</t>
    </r>
    <phoneticPr fontId="8" type="noConversion"/>
  </si>
  <si>
    <r>
      <rPr>
        <i/>
        <sz val="10"/>
        <color indexed="8"/>
        <rFont val="宋体"/>
        <family val="3"/>
        <charset val="134"/>
      </rPr>
      <t>自定义押金</t>
    </r>
    <phoneticPr fontId="8" type="noConversion"/>
  </si>
  <si>
    <r>
      <rPr>
        <sz val="10"/>
        <color indexed="8"/>
        <rFont val="宋体"/>
        <family val="3"/>
        <charset val="134"/>
      </rPr>
      <t>元</t>
    </r>
    <phoneticPr fontId="151" type="noConversion"/>
  </si>
  <si>
    <r>
      <rPr>
        <sz val="10"/>
        <rFont val="宋体"/>
        <family val="3"/>
        <charset val="134"/>
      </rPr>
      <t>价值时点下的土地价值（土地购买价格）</t>
    </r>
    <phoneticPr fontId="8" type="noConversion"/>
  </si>
  <si>
    <r>
      <rPr>
        <sz val="10"/>
        <color theme="1"/>
        <rFont val="宋体"/>
        <family val="3"/>
        <charset val="134"/>
      </rPr>
      <t>剩余土地价值折现到价值时点的价值（万元）</t>
    </r>
    <phoneticPr fontId="8"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</si>
  <si>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8" type="noConversion"/>
  </si>
  <si>
    <r>
      <rPr>
        <sz val="10"/>
        <rFont val="宋体"/>
        <family val="3"/>
        <charset val="134"/>
      </rPr>
      <t>剩余土地使用年期下的土地年期修正系数</t>
    </r>
    <phoneticPr fontId="8" type="noConversion"/>
  </si>
  <si>
    <r>
      <rPr>
        <b/>
        <sz val="14"/>
        <color theme="1"/>
        <rFont val="宋体"/>
        <family val="3"/>
        <charset val="134"/>
      </rPr>
      <t>估价方法：</t>
    </r>
    <phoneticPr fontId="92" type="noConversion"/>
  </si>
  <si>
    <r>
      <rPr>
        <sz val="14"/>
        <color theme="9" tint="-0.249977111117893"/>
        <rFont val="宋体"/>
        <family val="3"/>
        <charset val="134"/>
      </rPr>
      <t>（本页下方空白无内容）</t>
    </r>
  </si>
  <si>
    <r>
      <rPr>
        <b/>
        <sz val="18"/>
        <color theme="1"/>
        <rFont val="宋体"/>
        <family val="3"/>
        <charset val="134"/>
      </rPr>
      <t>评估意见函</t>
    </r>
    <phoneticPr fontId="92" type="noConversion"/>
  </si>
  <si>
    <r>
      <rPr>
        <b/>
        <sz val="14"/>
        <color rgb="FF000000"/>
        <rFont val="宋体"/>
        <family val="3"/>
        <charset val="134"/>
      </rPr>
      <t>估价对象：</t>
    </r>
    <phoneticPr fontId="92" type="noConversion"/>
  </si>
  <si>
    <r>
      <rPr>
        <b/>
        <i/>
        <sz val="14"/>
        <color theme="3" tint="0.39997558519241921"/>
        <rFont val="宋体"/>
        <family val="3"/>
        <charset val="134"/>
      </rPr>
      <t>现房：</t>
    </r>
    <phoneticPr fontId="92"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</si>
  <si>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3" type="noConversion"/>
  </si>
  <si>
    <r>
      <rPr>
        <b/>
        <i/>
        <sz val="14"/>
        <color theme="3" tint="0.39997558519241921"/>
        <rFont val="宋体"/>
        <family val="3"/>
        <charset val="134"/>
      </rPr>
      <t>在建：</t>
    </r>
    <phoneticPr fontId="92"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</si>
  <si>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3" type="noConversion"/>
  </si>
  <si>
    <r>
      <rPr>
        <b/>
        <sz val="14"/>
        <color rgb="FF000000"/>
        <rFont val="宋体"/>
        <family val="3"/>
        <charset val="134"/>
      </rPr>
      <t>估价目的：</t>
    </r>
    <phoneticPr fontId="92" type="noConversion"/>
  </si>
  <si>
    <r>
      <rPr>
        <b/>
        <sz val="14"/>
        <color theme="1"/>
        <rFont val="宋体"/>
        <family val="3"/>
        <charset val="134"/>
      </rPr>
      <t>价值时点：</t>
    </r>
    <phoneticPr fontId="92" type="noConversion"/>
  </si>
  <si>
    <r>
      <rPr>
        <b/>
        <sz val="14"/>
        <color theme="1"/>
        <rFont val="宋体"/>
        <family val="3"/>
        <charset val="134"/>
      </rPr>
      <t>价值类型：</t>
    </r>
    <phoneticPr fontId="9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</si>
  <si>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2" type="noConversion"/>
  </si>
  <si>
    <r>
      <rPr>
        <b/>
        <sz val="14"/>
        <color theme="1"/>
        <rFont val="宋体"/>
        <family val="3"/>
        <charset val="134"/>
      </rPr>
      <t>估价结果：</t>
    </r>
    <phoneticPr fontId="92" type="noConversion"/>
  </si>
  <si>
    <r>
      <t>1.</t>
    </r>
    <r>
      <rPr>
        <b/>
        <sz val="12"/>
        <color indexed="8"/>
        <rFont val="宋体"/>
        <family val="3"/>
        <charset val="134"/>
      </rPr>
      <t>房地产价值</t>
    </r>
    <phoneticPr fontId="92" type="noConversion"/>
  </si>
  <si>
    <r>
      <rPr>
        <b/>
        <sz val="12"/>
        <color theme="1"/>
        <rFont val="宋体"/>
        <family val="3"/>
        <charset val="134"/>
      </rPr>
      <t>总价</t>
    </r>
    <phoneticPr fontId="92" type="noConversion"/>
  </si>
  <si>
    <r>
      <rPr>
        <b/>
        <sz val="12"/>
        <color theme="1"/>
        <rFont val="宋体"/>
        <family val="3"/>
        <charset val="134"/>
      </rPr>
      <t>大写金额</t>
    </r>
    <phoneticPr fontId="94" type="noConversion"/>
  </si>
  <si>
    <r>
      <rPr>
        <sz val="12"/>
        <color theme="1"/>
        <rFont val="宋体"/>
        <family val="3"/>
        <charset val="134"/>
      </rPr>
      <t>单价</t>
    </r>
    <phoneticPr fontId="92" type="noConversion"/>
  </si>
  <si>
    <r>
      <rPr>
        <b/>
        <sz val="12"/>
        <color rgb="FF000000"/>
        <rFont val="宋体"/>
        <family val="3"/>
        <charset val="134"/>
      </rPr>
      <t>总额</t>
    </r>
    <phoneticPr fontId="92" type="noConversion"/>
  </si>
  <si>
    <r>
      <rPr>
        <sz val="12"/>
        <color rgb="FF000000"/>
        <rFont val="宋体"/>
        <family val="3"/>
        <charset val="134"/>
      </rPr>
      <t>总额</t>
    </r>
    <phoneticPr fontId="92" type="noConversion"/>
  </si>
  <si>
    <r>
      <rPr>
        <sz val="14"/>
        <color theme="1"/>
        <rFont val="宋体"/>
        <family val="3"/>
        <charset val="134"/>
      </rPr>
      <t>（转下页）</t>
    </r>
    <phoneticPr fontId="94"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</si>
  <si>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2" type="noConversion"/>
  </si>
  <si>
    <r>
      <rPr>
        <b/>
        <sz val="14"/>
        <color theme="1"/>
        <rFont val="宋体"/>
        <family val="3"/>
        <charset val="134"/>
      </rPr>
      <t>结果表</t>
    </r>
    <r>
      <rPr>
        <b/>
        <sz val="14"/>
        <color theme="1"/>
        <rFont val="Arial"/>
        <family val="2"/>
      </rPr>
      <t>-1</t>
    </r>
    <phoneticPr fontId="94"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</si>
  <si>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2" type="noConversion"/>
  </si>
  <si>
    <r>
      <rPr>
        <sz val="12"/>
        <color rgb="FF000000"/>
        <rFont val="宋体"/>
        <family val="3"/>
        <charset val="134"/>
      </rPr>
      <t>总额</t>
    </r>
    <phoneticPr fontId="92"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</si>
  <si>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2" type="noConversion"/>
  </si>
  <si>
    <r>
      <rPr>
        <sz val="12"/>
        <color theme="1"/>
        <rFont val="宋体"/>
        <family val="3"/>
        <charset val="134"/>
      </rPr>
      <t>单价</t>
    </r>
    <phoneticPr fontId="92" type="noConversion"/>
  </si>
  <si>
    <r>
      <rPr>
        <b/>
        <sz val="12"/>
        <color theme="1"/>
        <rFont val="宋体"/>
        <family val="3"/>
        <charset val="134"/>
      </rPr>
      <t>总价</t>
    </r>
    <phoneticPr fontId="92" type="noConversion"/>
  </si>
  <si>
    <r>
      <rPr>
        <b/>
        <sz val="12"/>
        <color theme="1"/>
        <rFont val="宋体"/>
        <family val="3"/>
        <charset val="134"/>
      </rPr>
      <t>大写金额</t>
    </r>
    <phoneticPr fontId="94"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</si>
  <si>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4"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</si>
  <si>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</si>
  <si>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</si>
  <si>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</si>
  <si>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4" type="noConversion"/>
  </si>
  <si>
    <r>
      <rPr>
        <sz val="12"/>
        <color indexed="8"/>
        <rFont val="宋体"/>
        <family val="3"/>
        <charset val="134"/>
      </rPr>
      <t>建筑面积</t>
    </r>
    <phoneticPr fontId="92"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</si>
  <si>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2" type="noConversion"/>
  </si>
  <si>
    <r>
      <rPr>
        <sz val="12"/>
        <color indexed="8"/>
        <rFont val="宋体"/>
        <family val="3"/>
        <charset val="134"/>
      </rPr>
      <t>楼面单价</t>
    </r>
    <phoneticPr fontId="92"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</si>
  <si>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</si>
  <si>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</si>
  <si>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</si>
  <si>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</si>
  <si>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</si>
  <si>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</si>
  <si>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 type="noConversion"/>
  </si>
  <si>
    <r>
      <rPr>
        <b/>
        <sz val="14"/>
        <color theme="1"/>
        <rFont val="宋体"/>
        <family val="3"/>
        <charset val="134"/>
      </rPr>
      <t>其他评估专业人员</t>
    </r>
    <phoneticPr fontId="99" type="noConversion"/>
  </si>
  <si>
    <r>
      <rPr>
        <sz val="14"/>
        <color theme="1"/>
        <rFont val="宋体"/>
        <family val="3"/>
        <charset val="134"/>
      </rPr>
      <t>相关资格或职称</t>
    </r>
  </si>
  <si>
    <r>
      <rPr>
        <b/>
        <sz val="14"/>
        <color theme="1"/>
        <rFont val="宋体"/>
        <family val="3"/>
        <charset val="134"/>
      </rPr>
      <t>特别提示：</t>
    </r>
    <phoneticPr fontId="8" type="noConversion"/>
  </si>
  <si>
    <r>
      <t>1.</t>
    </r>
    <r>
      <rPr>
        <sz val="12"/>
        <color indexed="8"/>
        <rFont val="宋体"/>
        <family val="3"/>
        <charset val="134"/>
      </rPr>
      <t>本《评估意见函》中所列估价结果为初评结果，准确金额以本公司出具的正式《房地产评估报告》为准。</t>
    </r>
    <phoneticPr fontId="98"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</si>
  <si>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9"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</si>
  <si>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</si>
  <si>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6" type="noConversion"/>
  </si>
  <si>
    <r>
      <t xml:space="preserve">    </t>
    </r>
    <r>
      <rPr>
        <sz val="14"/>
        <color theme="1"/>
        <rFont val="宋体"/>
        <family val="3"/>
        <charset val="134"/>
      </rPr>
      <t>顺致</t>
    </r>
    <phoneticPr fontId="8" type="noConversion"/>
  </si>
  <si>
    <r>
      <rPr>
        <sz val="14"/>
        <color theme="1"/>
        <rFont val="宋体"/>
        <family val="3"/>
        <charset val="134"/>
      </rPr>
      <t>商祺</t>
    </r>
    <phoneticPr fontId="8" type="noConversion"/>
  </si>
  <si>
    <r>
      <rPr>
        <sz val="14"/>
        <color theme="1"/>
        <rFont val="宋体"/>
        <family val="3"/>
        <charset val="134"/>
      </rPr>
      <t>北京康正宏基房地产评估有限公司</t>
    </r>
    <phoneticPr fontId="8"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</si>
  <si>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8" type="noConversion"/>
  </si>
  <si>
    <r>
      <rPr>
        <b/>
        <sz val="14"/>
        <color indexed="10"/>
        <rFont val="宋体"/>
        <family val="3"/>
        <charset val="134"/>
        <scheme val="minor"/>
      </rPr>
      <t>请用EXCEL2010以上版本打开，否则个别格式设置会与原表不一致，影响使用</t>
    </r>
    <phoneticPr fontId="39" type="noConversion"/>
  </si>
  <si>
    <r>
      <rPr>
        <sz val="11"/>
        <color indexed="8"/>
        <rFont val="宋体"/>
        <family val="3"/>
        <charset val="134"/>
        <scheme val="minor"/>
      </rPr>
      <t>无底纹单元格</t>
    </r>
    <phoneticPr fontId="39" type="noConversion"/>
  </si>
  <si>
    <r>
      <rPr>
        <sz val="11"/>
        <color indexed="8"/>
        <rFont val="宋体"/>
        <family val="3"/>
        <charset val="134"/>
        <scheme val="minor"/>
      </rPr>
      <t>黄色底纹单元格</t>
    </r>
    <phoneticPr fontId="39" type="noConversion"/>
  </si>
  <si>
    <r>
      <rPr>
        <sz val="11"/>
        <color indexed="8"/>
        <rFont val="宋体"/>
        <family val="3"/>
        <charset val="134"/>
        <scheme val="minor"/>
      </rPr>
      <t>灰色底纹单元格</t>
    </r>
    <phoneticPr fontId="39" type="noConversion"/>
  </si>
  <si>
    <r>
      <rPr>
        <sz val="11"/>
        <color indexed="8"/>
        <rFont val="宋体"/>
        <family val="3"/>
        <charset val="134"/>
        <scheme val="minor"/>
      </rPr>
      <t>红色底纹黄色字体</t>
    </r>
    <phoneticPr fontId="39" type="noConversion"/>
  </si>
  <si>
    <r>
      <rPr>
        <b/>
        <sz val="12"/>
        <color indexed="8"/>
        <rFont val="宋体"/>
        <family val="3"/>
        <charset val="134"/>
        <scheme val="minor"/>
      </rPr>
      <t>关注批注角标</t>
    </r>
    <phoneticPr fontId="39" type="noConversion"/>
  </si>
  <si>
    <r>
      <rPr>
        <sz val="11"/>
        <color indexed="8"/>
        <rFont val="宋体"/>
        <family val="3"/>
        <charset val="134"/>
        <scheme val="minor"/>
      </rPr>
      <t>基础表</t>
    </r>
    <phoneticPr fontId="8" type="noConversion"/>
  </si>
  <si>
    <r>
      <rPr>
        <sz val="11"/>
        <color indexed="8"/>
        <rFont val="宋体"/>
        <family val="3"/>
        <charset val="134"/>
        <scheme val="minor"/>
      </rPr>
      <t>数据表</t>
    </r>
    <phoneticPr fontId="8" type="noConversion"/>
  </si>
  <si>
    <r>
      <rPr>
        <sz val="11"/>
        <color indexed="8"/>
        <rFont val="宋体"/>
        <family val="3"/>
        <charset val="134"/>
        <scheme val="minor"/>
      </rPr>
      <t>汇总表</t>
    </r>
    <phoneticPr fontId="8" type="noConversion"/>
  </si>
  <si>
    <r>
      <rPr>
        <sz val="11"/>
        <color indexed="8"/>
        <rFont val="宋体"/>
        <family val="3"/>
        <charset val="134"/>
        <scheme val="minor"/>
      </rPr>
      <t>取费表</t>
    </r>
    <phoneticPr fontId="8" type="noConversion"/>
  </si>
  <si>
    <r>
      <rPr>
        <sz val="11"/>
        <color indexed="8"/>
        <rFont val="宋体"/>
        <family val="3"/>
        <charset val="134"/>
        <scheme val="minor"/>
      </rPr>
      <t>房地状况</t>
    </r>
    <phoneticPr fontId="8" type="noConversion"/>
  </si>
  <si>
    <r>
      <rPr>
        <sz val="11"/>
        <color indexed="8"/>
        <rFont val="宋体"/>
        <family val="3"/>
        <charset val="134"/>
        <scheme val="minor"/>
      </rPr>
      <t>结果表</t>
    </r>
    <phoneticPr fontId="8" type="noConversion"/>
  </si>
  <si>
    <r>
      <rPr>
        <sz val="11"/>
        <color indexed="8"/>
        <rFont val="宋体"/>
        <family val="3"/>
        <charset val="134"/>
        <scheme val="minor"/>
      </rPr>
      <t>方法</t>
    </r>
    <phoneticPr fontId="8" type="noConversion"/>
  </si>
  <si>
    <r>
      <rPr>
        <sz val="11"/>
        <color indexed="8"/>
        <rFont val="宋体"/>
        <family val="3"/>
        <charset val="134"/>
        <scheme val="minor"/>
      </rPr>
      <t>成本</t>
    </r>
    <phoneticPr fontId="8" type="noConversion"/>
  </si>
  <si>
    <r>
      <rPr>
        <sz val="11"/>
        <color indexed="8"/>
        <rFont val="宋体"/>
        <family val="3"/>
        <charset val="134"/>
        <scheme val="minor"/>
      </rPr>
      <t>假开</t>
    </r>
    <phoneticPr fontId="8" type="noConversion"/>
  </si>
  <si>
    <r>
      <rPr>
        <sz val="11"/>
        <color indexed="8"/>
        <rFont val="宋体"/>
        <family val="3"/>
        <charset val="134"/>
        <scheme val="minor"/>
      </rPr>
      <t>收益</t>
    </r>
    <phoneticPr fontId="8" type="noConversion"/>
  </si>
  <si>
    <r>
      <rPr>
        <sz val="11"/>
        <color indexed="8"/>
        <rFont val="宋体"/>
        <family val="3"/>
        <charset val="134"/>
        <scheme val="minor"/>
      </rPr>
      <t>比较</t>
    </r>
    <phoneticPr fontId="8" type="noConversion"/>
  </si>
  <si>
    <r>
      <rPr>
        <sz val="11"/>
        <color indexed="8"/>
        <rFont val="宋体"/>
        <family val="3"/>
        <charset val="134"/>
        <scheme val="minor"/>
      </rPr>
      <t>住宅</t>
    </r>
    <phoneticPr fontId="8" type="noConversion"/>
  </si>
  <si>
    <r>
      <rPr>
        <sz val="11"/>
        <color indexed="8"/>
        <rFont val="宋体"/>
        <family val="3"/>
        <charset val="134"/>
        <scheme val="minor"/>
      </rPr>
      <t>商业</t>
    </r>
    <phoneticPr fontId="8" type="noConversion"/>
  </si>
  <si>
    <r>
      <rPr>
        <sz val="11"/>
        <color indexed="8"/>
        <rFont val="宋体"/>
        <family val="3"/>
        <charset val="134"/>
        <scheme val="minor"/>
      </rPr>
      <t>办公</t>
    </r>
    <phoneticPr fontId="8" type="noConversion"/>
  </si>
  <si>
    <r>
      <rPr>
        <sz val="11"/>
        <color indexed="8"/>
        <rFont val="宋体"/>
        <family val="3"/>
        <charset val="134"/>
        <scheme val="minor"/>
      </rPr>
      <t>工业</t>
    </r>
    <phoneticPr fontId="39" type="noConversion"/>
  </si>
  <si>
    <r>
      <rPr>
        <sz val="11"/>
        <color indexed="8"/>
        <rFont val="宋体"/>
        <family val="3"/>
        <charset val="134"/>
        <scheme val="minor"/>
      </rPr>
      <t>车位</t>
    </r>
    <phoneticPr fontId="39" type="noConversion"/>
  </si>
  <si>
    <r>
      <rPr>
        <sz val="11"/>
        <color indexed="8"/>
        <rFont val="宋体"/>
        <family val="3"/>
        <charset val="134"/>
        <scheme val="minor"/>
      </rPr>
      <t>仓储</t>
    </r>
    <phoneticPr fontId="39" type="noConversion"/>
  </si>
  <si>
    <r>
      <rPr>
        <sz val="11"/>
        <color indexed="8"/>
        <rFont val="宋体"/>
        <family val="3"/>
        <charset val="134"/>
        <scheme val="minor"/>
      </rPr>
      <t>土地-住宅、综合</t>
    </r>
    <phoneticPr fontId="39" type="noConversion"/>
  </si>
  <si>
    <r>
      <rPr>
        <sz val="11"/>
        <color indexed="8"/>
        <rFont val="宋体"/>
        <family val="3"/>
        <charset val="134"/>
        <scheme val="minor"/>
      </rPr>
      <t>土地-工业</t>
    </r>
    <phoneticPr fontId="39" type="noConversion"/>
  </si>
  <si>
    <r>
      <rPr>
        <sz val="11"/>
        <color indexed="8"/>
        <rFont val="宋体"/>
        <family val="3"/>
        <charset val="134"/>
        <scheme val="minor"/>
      </rPr>
      <t>典型户型修正</t>
    </r>
    <phoneticPr fontId="39" type="noConversion"/>
  </si>
  <si>
    <r>
      <rPr>
        <b/>
        <sz val="12"/>
        <color indexed="10"/>
        <rFont val="宋体"/>
        <family val="3"/>
        <charset val="134"/>
        <scheme val="minor"/>
      </rPr>
      <t>数据-基础表  面积录入特殊说明</t>
    </r>
    <phoneticPr fontId="39" type="noConversion"/>
  </si>
  <si>
    <r>
      <rPr>
        <sz val="11"/>
        <color indexed="8"/>
        <rFont val="宋体"/>
        <family val="3"/>
        <charset val="134"/>
        <scheme val="minor"/>
      </rPr>
      <t>估价方法</t>
    </r>
    <phoneticPr fontId="21" type="noConversion"/>
  </si>
  <si>
    <r>
      <rPr>
        <sz val="11"/>
        <color indexed="8"/>
        <rFont val="宋体"/>
        <family val="3"/>
        <charset val="134"/>
        <scheme val="minor"/>
      </rPr>
      <t>判定</t>
    </r>
    <phoneticPr fontId="21" type="noConversion"/>
  </si>
  <si>
    <r>
      <rPr>
        <sz val="11"/>
        <color indexed="8"/>
        <rFont val="宋体"/>
        <family val="3"/>
        <charset val="134"/>
        <scheme val="minor"/>
      </rPr>
      <t>位置</t>
    </r>
    <phoneticPr fontId="21" type="noConversion"/>
  </si>
  <si>
    <r>
      <rPr>
        <sz val="11"/>
        <color indexed="8"/>
        <rFont val="宋体"/>
        <family val="3"/>
        <charset val="134"/>
        <scheme val="minor"/>
      </rPr>
      <t>主用途</t>
    </r>
    <phoneticPr fontId="21" type="noConversion"/>
  </si>
  <si>
    <r>
      <rPr>
        <sz val="11"/>
        <color indexed="8"/>
        <rFont val="宋体"/>
        <family val="3"/>
        <charset val="134"/>
        <scheme val="minor"/>
      </rPr>
      <t>法定最高年限</t>
    </r>
    <phoneticPr fontId="21" type="noConversion"/>
  </si>
  <si>
    <r>
      <rPr>
        <sz val="11"/>
        <color indexed="8"/>
        <rFont val="宋体"/>
        <family val="3"/>
        <charset val="134"/>
        <scheme val="minor"/>
      </rPr>
      <t>地类判定</t>
    </r>
    <phoneticPr fontId="21" type="noConversion"/>
  </si>
  <si>
    <r>
      <rPr>
        <sz val="11"/>
        <color indexed="8"/>
        <rFont val="宋体"/>
        <family val="3"/>
        <charset val="134"/>
        <scheme val="minor"/>
      </rPr>
      <t>土地年限区间</t>
    </r>
    <phoneticPr fontId="21" type="noConversion"/>
  </si>
  <si>
    <r>
      <rPr>
        <sz val="11"/>
        <color indexed="8"/>
        <rFont val="宋体"/>
        <family val="3"/>
        <charset val="134"/>
        <scheme val="minor"/>
      </rPr>
      <t>类别</t>
    </r>
    <phoneticPr fontId="21" type="noConversion"/>
  </si>
  <si>
    <r>
      <rPr>
        <sz val="11"/>
        <color indexed="8"/>
        <rFont val="宋体"/>
        <family val="3"/>
        <charset val="134"/>
        <scheme val="minor"/>
      </rPr>
      <t>居住社区成熟度</t>
    </r>
    <phoneticPr fontId="21" type="noConversion"/>
  </si>
  <si>
    <r>
      <rPr>
        <sz val="11"/>
        <color indexed="8"/>
        <rFont val="宋体"/>
        <family val="3"/>
        <charset val="134"/>
        <scheme val="minor"/>
      </rPr>
      <t>商业繁华度</t>
    </r>
    <phoneticPr fontId="21" type="noConversion"/>
  </si>
  <si>
    <r>
      <rPr>
        <sz val="11"/>
        <color indexed="8"/>
        <rFont val="宋体"/>
        <family val="3"/>
        <charset val="134"/>
        <scheme val="minor"/>
      </rPr>
      <t>办公集聚程度</t>
    </r>
    <phoneticPr fontId="21" type="noConversion"/>
  </si>
  <si>
    <r>
      <rPr>
        <sz val="11"/>
        <color indexed="8"/>
        <rFont val="宋体"/>
        <family val="3"/>
        <charset val="134"/>
        <scheme val="minor"/>
      </rPr>
      <t>产业集聚程度</t>
    </r>
    <phoneticPr fontId="21" type="noConversion"/>
  </si>
  <si>
    <r>
      <rPr>
        <sz val="11"/>
        <color indexed="8"/>
        <rFont val="宋体"/>
        <family val="3"/>
        <charset val="134"/>
        <scheme val="minor"/>
      </rPr>
      <t>交通便捷度</t>
    </r>
    <phoneticPr fontId="21" type="noConversion"/>
  </si>
  <si>
    <r>
      <rPr>
        <sz val="11"/>
        <color indexed="8"/>
        <rFont val="宋体"/>
        <family val="3"/>
        <charset val="134"/>
        <scheme val="minor"/>
      </rPr>
      <t>环境质量</t>
    </r>
    <phoneticPr fontId="21" type="noConversion"/>
  </si>
  <si>
    <t>临街状况</t>
    <phoneticPr fontId="50" type="noConversion"/>
  </si>
  <si>
    <r>
      <rPr>
        <sz val="11"/>
        <color indexed="8"/>
        <rFont val="宋体"/>
        <family val="3"/>
        <charset val="134"/>
        <scheme val="minor"/>
      </rPr>
      <t>内部装修维护情况</t>
    </r>
    <phoneticPr fontId="21" type="noConversion"/>
  </si>
  <si>
    <r>
      <rPr>
        <sz val="11"/>
        <color indexed="8"/>
        <rFont val="宋体"/>
        <family val="3"/>
        <charset val="134"/>
        <scheme val="minor"/>
      </rPr>
      <t>单价内涵</t>
    </r>
    <phoneticPr fontId="21" type="noConversion"/>
  </si>
  <si>
    <r>
      <rPr>
        <sz val="11"/>
        <color indexed="8"/>
        <rFont val="宋体"/>
        <family val="3"/>
        <charset val="134"/>
        <scheme val="minor"/>
      </rPr>
      <t>成本法</t>
    </r>
    <phoneticPr fontId="21" type="noConversion"/>
  </si>
  <si>
    <r>
      <rPr>
        <sz val="11"/>
        <color indexed="8"/>
        <rFont val="宋体"/>
        <family val="3"/>
        <charset val="134"/>
        <scheme val="minor"/>
      </rPr>
      <t>是</t>
    </r>
    <phoneticPr fontId="21" type="noConversion"/>
  </si>
  <si>
    <r>
      <rPr>
        <sz val="11"/>
        <color indexed="8"/>
        <rFont val="宋体"/>
        <family val="3"/>
        <charset val="134"/>
        <scheme val="minor"/>
      </rPr>
      <t>地上</t>
    </r>
    <phoneticPr fontId="21" type="noConversion"/>
  </si>
  <si>
    <r>
      <rPr>
        <sz val="11"/>
        <color indexed="8"/>
        <rFont val="宋体"/>
        <family val="3"/>
        <charset val="134"/>
        <scheme val="minor"/>
      </rPr>
      <t>住宅</t>
    </r>
    <phoneticPr fontId="21" type="noConversion"/>
  </si>
  <si>
    <r>
      <t>60-70</t>
    </r>
    <r>
      <rPr>
        <sz val="11"/>
        <color indexed="8"/>
        <rFont val="宋体"/>
        <family val="3"/>
        <charset val="134"/>
        <scheme val="minor"/>
      </rPr>
      <t>（含）</t>
    </r>
    <phoneticPr fontId="21" type="noConversion"/>
  </si>
  <si>
    <r>
      <rPr>
        <sz val="11"/>
        <color indexed="8"/>
        <rFont val="宋体"/>
        <family val="3"/>
        <charset val="134"/>
        <scheme val="minor"/>
      </rPr>
      <t>经营性</t>
    </r>
    <phoneticPr fontId="21" type="noConversion"/>
  </si>
  <si>
    <r>
      <rPr>
        <sz val="11"/>
        <color indexed="8"/>
        <rFont val="宋体"/>
        <family val="3"/>
        <charset val="134"/>
        <scheme val="minor"/>
      </rPr>
      <t>好</t>
    </r>
  </si>
  <si>
    <r>
      <rPr>
        <sz val="11"/>
        <color indexed="8"/>
        <rFont val="宋体"/>
        <family val="3"/>
        <charset val="134"/>
        <scheme val="minor"/>
      </rPr>
      <t>多面临街</t>
    </r>
    <phoneticPr fontId="50" type="noConversion"/>
  </si>
  <si>
    <r>
      <rPr>
        <sz val="11"/>
        <color indexed="8"/>
        <rFont val="宋体"/>
        <family val="3"/>
        <charset val="134"/>
        <scheme val="minor"/>
      </rPr>
      <t>单位面积地价</t>
    </r>
    <phoneticPr fontId="21" type="noConversion"/>
  </si>
  <si>
    <r>
      <rPr>
        <sz val="11"/>
        <color indexed="8"/>
        <rFont val="宋体"/>
        <family val="3"/>
        <charset val="134"/>
        <scheme val="minor"/>
      </rPr>
      <t>平层住宅</t>
    </r>
    <phoneticPr fontId="21" type="noConversion"/>
  </si>
  <si>
    <r>
      <rPr>
        <sz val="11"/>
        <color indexed="8"/>
        <rFont val="宋体"/>
        <family val="3"/>
        <charset val="134"/>
        <scheme val="minor"/>
      </rPr>
      <t>否</t>
    </r>
    <phoneticPr fontId="21" type="noConversion"/>
  </si>
  <si>
    <r>
      <rPr>
        <sz val="11"/>
        <color indexed="8"/>
        <rFont val="宋体"/>
        <family val="3"/>
        <charset val="134"/>
        <scheme val="minor"/>
      </rPr>
      <t>商业</t>
    </r>
    <phoneticPr fontId="21" type="noConversion"/>
  </si>
  <si>
    <r>
      <t>50-60</t>
    </r>
    <r>
      <rPr>
        <sz val="11"/>
        <color indexed="8"/>
        <rFont val="宋体"/>
        <family val="3"/>
        <charset val="134"/>
        <scheme val="minor"/>
      </rPr>
      <t>（含）</t>
    </r>
    <phoneticPr fontId="21" type="noConversion"/>
  </si>
  <si>
    <r>
      <rPr>
        <sz val="11"/>
        <color indexed="8"/>
        <rFont val="宋体"/>
        <family val="3"/>
        <charset val="134"/>
        <scheme val="minor"/>
      </rPr>
      <t>非经营性</t>
    </r>
    <phoneticPr fontId="21" type="noConversion"/>
  </si>
  <si>
    <r>
      <rPr>
        <sz val="11"/>
        <color indexed="8"/>
        <rFont val="宋体"/>
        <family val="3"/>
        <charset val="134"/>
        <scheme val="minor"/>
      </rPr>
      <t>较好</t>
    </r>
  </si>
  <si>
    <r>
      <rPr>
        <sz val="11"/>
        <color indexed="8"/>
        <rFont val="宋体"/>
        <family val="3"/>
        <charset val="134"/>
        <scheme val="minor"/>
      </rPr>
      <t>双面临街</t>
    </r>
    <phoneticPr fontId="50" type="noConversion"/>
  </si>
  <si>
    <r>
      <rPr>
        <sz val="11"/>
        <color indexed="8"/>
        <rFont val="宋体"/>
        <family val="3"/>
        <charset val="134"/>
        <scheme val="minor"/>
      </rPr>
      <t>楼面地价</t>
    </r>
    <phoneticPr fontId="21" type="noConversion"/>
  </si>
  <si>
    <r>
      <t>LOFT</t>
    </r>
    <r>
      <rPr>
        <sz val="11"/>
        <color indexed="8"/>
        <rFont val="宋体"/>
        <family val="3"/>
        <charset val="134"/>
        <scheme val="minor"/>
      </rPr>
      <t>住宅</t>
    </r>
    <phoneticPr fontId="21" type="noConversion"/>
  </si>
  <si>
    <r>
      <rPr>
        <sz val="11"/>
        <color indexed="8"/>
        <rFont val="宋体"/>
        <family val="3"/>
        <charset val="134"/>
        <scheme val="minor"/>
      </rPr>
      <t>假设开发法</t>
    </r>
    <phoneticPr fontId="21" type="noConversion"/>
  </si>
  <si>
    <r>
      <rPr>
        <sz val="11"/>
        <color indexed="8"/>
        <rFont val="宋体"/>
        <family val="3"/>
        <charset val="134"/>
        <scheme val="minor"/>
      </rPr>
      <t>地下</t>
    </r>
    <phoneticPr fontId="21" type="noConversion"/>
  </si>
  <si>
    <r>
      <rPr>
        <sz val="11"/>
        <color indexed="8"/>
        <rFont val="宋体"/>
        <family val="3"/>
        <charset val="134"/>
        <scheme val="minor"/>
      </rPr>
      <t>办公</t>
    </r>
    <phoneticPr fontId="21" type="noConversion"/>
  </si>
  <si>
    <r>
      <t>40-50</t>
    </r>
    <r>
      <rPr>
        <sz val="11"/>
        <color indexed="8"/>
        <rFont val="宋体"/>
        <family val="3"/>
        <charset val="134"/>
        <scheme val="minor"/>
      </rPr>
      <t>（含）</t>
    </r>
    <phoneticPr fontId="21" type="noConversion"/>
  </si>
  <si>
    <r>
      <rPr>
        <sz val="11"/>
        <color indexed="8"/>
        <rFont val="宋体"/>
        <family val="3"/>
        <charset val="134"/>
        <scheme val="minor"/>
      </rPr>
      <t>一般</t>
    </r>
  </si>
  <si>
    <r>
      <rPr>
        <sz val="11"/>
        <color indexed="8"/>
        <rFont val="宋体"/>
        <family val="3"/>
        <charset val="134"/>
        <scheme val="minor"/>
      </rPr>
      <t>单面临街</t>
    </r>
    <phoneticPr fontId="50" type="noConversion"/>
  </si>
  <si>
    <r>
      <rPr>
        <sz val="11"/>
        <color indexed="8"/>
        <rFont val="宋体"/>
        <family val="3"/>
        <charset val="134"/>
        <scheme val="minor"/>
      </rPr>
      <t>普通住宅</t>
    </r>
    <phoneticPr fontId="21" type="noConversion"/>
  </si>
  <si>
    <r>
      <rPr>
        <sz val="11"/>
        <color indexed="8"/>
        <rFont val="宋体"/>
        <family val="3"/>
        <charset val="134"/>
        <scheme val="minor"/>
      </rPr>
      <t>收益法</t>
    </r>
    <phoneticPr fontId="21" type="noConversion"/>
  </si>
  <si>
    <r>
      <rPr>
        <sz val="11"/>
        <color indexed="8"/>
        <rFont val="宋体"/>
        <family val="3"/>
        <charset val="134"/>
        <scheme val="minor"/>
      </rPr>
      <t>工业</t>
    </r>
    <phoneticPr fontId="21" type="noConversion"/>
  </si>
  <si>
    <r>
      <rPr>
        <sz val="11"/>
        <color indexed="8"/>
        <rFont val="宋体"/>
        <family val="3"/>
        <charset val="134"/>
        <scheme val="minor"/>
      </rPr>
      <t>车库</t>
    </r>
    <phoneticPr fontId="21" type="noConversion"/>
  </si>
  <si>
    <r>
      <t>30-40</t>
    </r>
    <r>
      <rPr>
        <sz val="11"/>
        <color indexed="8"/>
        <rFont val="宋体"/>
        <family val="3"/>
        <charset val="134"/>
        <scheme val="minor"/>
      </rPr>
      <t>（含）</t>
    </r>
    <phoneticPr fontId="21" type="noConversion"/>
  </si>
  <si>
    <r>
      <rPr>
        <sz val="11"/>
        <color indexed="8"/>
        <rFont val="宋体"/>
        <family val="3"/>
        <charset val="134"/>
        <scheme val="minor"/>
      </rPr>
      <t>较差</t>
    </r>
  </si>
  <si>
    <r>
      <rPr>
        <sz val="11"/>
        <color indexed="8"/>
        <rFont val="宋体"/>
        <family val="3"/>
        <charset val="134"/>
        <scheme val="minor"/>
      </rPr>
      <t>不临街</t>
    </r>
    <phoneticPr fontId="50" type="noConversion"/>
  </si>
  <si>
    <r>
      <rPr>
        <sz val="11"/>
        <color indexed="8"/>
        <rFont val="宋体"/>
        <family val="3"/>
        <charset val="134"/>
        <scheme val="minor"/>
      </rPr>
      <t>公寓</t>
    </r>
    <phoneticPr fontId="21" type="noConversion"/>
  </si>
  <si>
    <r>
      <rPr>
        <sz val="11"/>
        <color indexed="8"/>
        <rFont val="宋体"/>
        <family val="3"/>
        <charset val="134"/>
        <scheme val="minor"/>
      </rPr>
      <t>仓储</t>
    </r>
    <phoneticPr fontId="21" type="noConversion"/>
  </si>
  <si>
    <r>
      <t>20-30</t>
    </r>
    <r>
      <rPr>
        <sz val="11"/>
        <color indexed="8"/>
        <rFont val="宋体"/>
        <family val="3"/>
        <charset val="134"/>
        <scheme val="minor"/>
      </rPr>
      <t>（含）</t>
    </r>
    <phoneticPr fontId="21" type="noConversion"/>
  </si>
  <si>
    <r>
      <rPr>
        <sz val="11"/>
        <color indexed="8"/>
        <rFont val="宋体"/>
        <family val="3"/>
        <charset val="134"/>
        <scheme val="minor"/>
      </rPr>
      <t>差</t>
    </r>
  </si>
  <si>
    <r>
      <rPr>
        <sz val="11"/>
        <color indexed="8"/>
        <rFont val="宋体"/>
        <family val="3"/>
        <charset val="134"/>
        <scheme val="minor"/>
      </rPr>
      <t>洋房</t>
    </r>
    <phoneticPr fontId="21" type="noConversion"/>
  </si>
  <si>
    <r>
      <rPr>
        <sz val="11"/>
        <color indexed="8"/>
        <rFont val="宋体"/>
        <family val="3"/>
        <charset val="134"/>
        <scheme val="minor"/>
      </rPr>
      <t>车库—商业</t>
    </r>
    <phoneticPr fontId="21" type="noConversion"/>
  </si>
  <si>
    <r>
      <rPr>
        <sz val="11"/>
        <color indexed="8"/>
        <rFont val="宋体"/>
        <family val="3"/>
        <charset val="134"/>
        <scheme val="minor"/>
      </rPr>
      <t>工业</t>
    </r>
    <phoneticPr fontId="21" type="noConversion"/>
  </si>
  <si>
    <r>
      <t>10-20</t>
    </r>
    <r>
      <rPr>
        <sz val="11"/>
        <color indexed="8"/>
        <rFont val="宋体"/>
        <family val="3"/>
        <charset val="134"/>
        <scheme val="minor"/>
      </rPr>
      <t>（含）</t>
    </r>
    <phoneticPr fontId="21" type="noConversion"/>
  </si>
  <si>
    <r>
      <rPr>
        <sz val="11"/>
        <color indexed="8"/>
        <rFont val="宋体"/>
        <family val="3"/>
        <charset val="134"/>
        <scheme val="minor"/>
      </rPr>
      <t>叠拼</t>
    </r>
    <phoneticPr fontId="21" type="noConversion"/>
  </si>
  <si>
    <r>
      <rPr>
        <sz val="11"/>
        <color indexed="8"/>
        <rFont val="宋体"/>
        <family val="3"/>
        <charset val="134"/>
        <scheme val="minor"/>
      </rPr>
      <t>比较法-住宅</t>
    </r>
    <phoneticPr fontId="21" type="noConversion"/>
  </si>
  <si>
    <r>
      <rPr>
        <sz val="11"/>
        <color indexed="8"/>
        <rFont val="宋体"/>
        <family val="3"/>
        <charset val="134"/>
        <scheme val="minor"/>
      </rPr>
      <t>车库—办公</t>
    </r>
    <phoneticPr fontId="21" type="noConversion"/>
  </si>
  <si>
    <r>
      <t>0-10</t>
    </r>
    <r>
      <rPr>
        <sz val="11"/>
        <color indexed="8"/>
        <rFont val="宋体"/>
        <family val="3"/>
        <charset val="134"/>
        <scheme val="minor"/>
      </rPr>
      <t>（含）</t>
    </r>
    <phoneticPr fontId="21" type="noConversion"/>
  </si>
  <si>
    <r>
      <rPr>
        <sz val="11"/>
        <color indexed="8"/>
        <rFont val="宋体"/>
        <family val="3"/>
        <charset val="134"/>
        <scheme val="minor"/>
      </rPr>
      <t>联排</t>
    </r>
    <phoneticPr fontId="21" type="noConversion"/>
  </si>
  <si>
    <r>
      <rPr>
        <sz val="11"/>
        <color indexed="8"/>
        <rFont val="宋体"/>
        <family val="3"/>
        <charset val="134"/>
        <scheme val="minor"/>
      </rPr>
      <t>比较法-商业</t>
    </r>
    <phoneticPr fontId="21" type="noConversion"/>
  </si>
  <si>
    <r>
      <rPr>
        <sz val="11"/>
        <color indexed="8"/>
        <rFont val="宋体"/>
        <family val="3"/>
        <charset val="134"/>
        <scheme val="minor"/>
      </rPr>
      <t>仓储</t>
    </r>
    <phoneticPr fontId="21" type="noConversion"/>
  </si>
  <si>
    <r>
      <rPr>
        <sz val="11"/>
        <color indexed="8"/>
        <rFont val="宋体"/>
        <family val="3"/>
        <charset val="134"/>
        <scheme val="minor"/>
      </rPr>
      <t>双拼</t>
    </r>
    <phoneticPr fontId="21" type="noConversion"/>
  </si>
  <si>
    <r>
      <rPr>
        <sz val="11"/>
        <color indexed="8"/>
        <rFont val="宋体"/>
        <family val="3"/>
        <charset val="134"/>
        <scheme val="minor"/>
      </rPr>
      <t>比较法-办公</t>
    </r>
    <phoneticPr fontId="21" type="noConversion"/>
  </si>
  <si>
    <r>
      <rPr>
        <sz val="11"/>
        <color indexed="8"/>
        <rFont val="宋体"/>
        <family val="3"/>
        <charset val="134"/>
        <scheme val="minor"/>
      </rPr>
      <t>独栋</t>
    </r>
    <phoneticPr fontId="21" type="noConversion"/>
  </si>
  <si>
    <r>
      <rPr>
        <sz val="11"/>
        <color indexed="8"/>
        <rFont val="宋体"/>
        <family val="3"/>
        <charset val="134"/>
        <scheme val="minor"/>
      </rPr>
      <t>比较法-工业</t>
    </r>
    <phoneticPr fontId="21" type="noConversion"/>
  </si>
  <si>
    <r>
      <rPr>
        <sz val="11"/>
        <color indexed="8"/>
        <rFont val="宋体"/>
        <family val="3"/>
        <charset val="134"/>
        <scheme val="minor"/>
      </rPr>
      <t>底商</t>
    </r>
    <phoneticPr fontId="21" type="noConversion"/>
  </si>
  <si>
    <r>
      <rPr>
        <sz val="11"/>
        <color indexed="8"/>
        <rFont val="宋体"/>
        <family val="3"/>
        <charset val="134"/>
        <scheme val="minor"/>
      </rPr>
      <t>比较法-车位</t>
    </r>
    <phoneticPr fontId="21" type="noConversion"/>
  </si>
  <si>
    <r>
      <rPr>
        <sz val="11"/>
        <color indexed="8"/>
        <rFont val="宋体"/>
        <family val="3"/>
        <charset val="134"/>
        <scheme val="minor"/>
      </rPr>
      <t>独立商业</t>
    </r>
    <phoneticPr fontId="21" type="noConversion"/>
  </si>
  <si>
    <r>
      <rPr>
        <sz val="11"/>
        <color indexed="8"/>
        <rFont val="宋体"/>
        <family val="3"/>
        <charset val="134"/>
        <scheme val="minor"/>
      </rPr>
      <t>比较法-仓储</t>
    </r>
    <phoneticPr fontId="21" type="noConversion"/>
  </si>
  <si>
    <r>
      <rPr>
        <sz val="11"/>
        <color indexed="8"/>
        <rFont val="宋体"/>
        <family val="3"/>
        <charset val="134"/>
        <scheme val="minor"/>
      </rPr>
      <t>商业街</t>
    </r>
    <phoneticPr fontId="21" type="noConversion"/>
  </si>
  <si>
    <r>
      <rPr>
        <sz val="11"/>
        <color indexed="8"/>
        <rFont val="宋体"/>
        <family val="3"/>
        <charset val="134"/>
        <scheme val="minor"/>
      </rPr>
      <t>土地比较法-住宅、综合</t>
    </r>
    <phoneticPr fontId="21" type="noConversion"/>
  </si>
  <si>
    <r>
      <rPr>
        <sz val="11"/>
        <color indexed="8"/>
        <rFont val="宋体"/>
        <family val="3"/>
        <charset val="134"/>
        <scheme val="minor"/>
      </rPr>
      <t>酒店</t>
    </r>
    <phoneticPr fontId="21" type="noConversion"/>
  </si>
  <si>
    <r>
      <rPr>
        <sz val="11"/>
        <color indexed="8"/>
        <rFont val="宋体"/>
        <family val="3"/>
        <charset val="134"/>
        <scheme val="minor"/>
      </rPr>
      <t>土地比较法-工业</t>
    </r>
    <phoneticPr fontId="21" type="noConversion"/>
  </si>
  <si>
    <r>
      <rPr>
        <sz val="11"/>
        <color indexed="8"/>
        <rFont val="宋体"/>
        <family val="3"/>
        <charset val="134"/>
        <scheme val="minor"/>
      </rPr>
      <t>标准厂房</t>
    </r>
    <phoneticPr fontId="21" type="noConversion"/>
  </si>
  <si>
    <r>
      <rPr>
        <sz val="11"/>
        <color indexed="8"/>
        <rFont val="宋体"/>
        <family val="3"/>
        <charset val="134"/>
        <scheme val="minor"/>
      </rPr>
      <t>特殊厂房</t>
    </r>
    <phoneticPr fontId="21" type="noConversion"/>
  </si>
  <si>
    <r>
      <rPr>
        <sz val="11"/>
        <color indexed="8"/>
        <rFont val="宋体"/>
        <family val="3"/>
        <charset val="134"/>
        <scheme val="minor"/>
      </rPr>
      <t>办公楼</t>
    </r>
    <phoneticPr fontId="21" type="noConversion"/>
  </si>
  <si>
    <r>
      <rPr>
        <sz val="11"/>
        <color indexed="8"/>
        <rFont val="宋体"/>
        <family val="3"/>
        <charset val="134"/>
        <scheme val="minor"/>
      </rPr>
      <t>宿舍</t>
    </r>
    <phoneticPr fontId="21" type="noConversion"/>
  </si>
  <si>
    <r>
      <rPr>
        <sz val="11"/>
        <color indexed="8"/>
        <rFont val="宋体"/>
        <family val="3"/>
        <charset val="134"/>
        <scheme val="minor"/>
      </rPr>
      <t>食堂</t>
    </r>
    <phoneticPr fontId="21" type="noConversion"/>
  </si>
  <si>
    <r>
      <rPr>
        <sz val="11"/>
        <color indexed="8"/>
        <rFont val="宋体"/>
        <family val="3"/>
        <charset val="134"/>
        <scheme val="minor"/>
      </rPr>
      <t>车库</t>
    </r>
    <phoneticPr fontId="21" type="noConversion"/>
  </si>
  <si>
    <r>
      <rPr>
        <sz val="11"/>
        <color indexed="8"/>
        <rFont val="宋体"/>
        <family val="3"/>
        <charset val="134"/>
        <scheme val="minor"/>
      </rPr>
      <t>戊类库房</t>
    </r>
    <phoneticPr fontId="21" type="noConversion"/>
  </si>
  <si>
    <r>
      <rPr>
        <sz val="11"/>
        <color indexed="8"/>
        <rFont val="宋体"/>
        <family val="3"/>
        <charset val="134"/>
        <scheme val="minor"/>
      </rPr>
      <t>燃品库房</t>
    </r>
    <phoneticPr fontId="21" type="noConversion"/>
  </si>
  <si>
    <r>
      <rPr>
        <sz val="11"/>
        <color indexed="8"/>
        <rFont val="宋体"/>
        <family val="3"/>
        <charset val="134"/>
        <scheme val="minor"/>
      </rPr>
      <t>非燃品库房</t>
    </r>
    <phoneticPr fontId="21" type="noConversion"/>
  </si>
  <si>
    <r>
      <rPr>
        <sz val="11"/>
        <color indexed="8"/>
        <rFont val="宋体"/>
        <family val="3"/>
        <charset val="134"/>
        <scheme val="minor"/>
      </rPr>
      <t>限价商品房</t>
    </r>
    <phoneticPr fontId="46" type="noConversion"/>
  </si>
  <si>
    <r>
      <rPr>
        <sz val="11"/>
        <color indexed="8"/>
        <rFont val="宋体"/>
        <family val="3"/>
        <charset val="134"/>
        <scheme val="minor"/>
      </rPr>
      <t>自住商品房</t>
    </r>
    <phoneticPr fontId="46" type="noConversion"/>
  </si>
  <si>
    <r>
      <rPr>
        <sz val="12"/>
        <color indexed="8"/>
        <rFont val="宋体"/>
        <family val="3"/>
        <charset val="134"/>
      </rPr>
      <t>估价项目名称</t>
    </r>
    <phoneticPr fontId="8" type="noConversion"/>
  </si>
  <si>
    <r>
      <rPr>
        <sz val="12"/>
        <color indexed="8"/>
        <rFont val="宋体"/>
        <family val="3"/>
        <charset val="134"/>
      </rPr>
      <t>报告编号</t>
    </r>
    <phoneticPr fontId="11" type="noConversion"/>
  </si>
  <si>
    <r>
      <rPr>
        <sz val="12"/>
        <color indexed="8"/>
        <rFont val="宋体"/>
        <family val="3"/>
        <charset val="134"/>
      </rPr>
      <t>现场勘查日</t>
    </r>
    <phoneticPr fontId="92" type="noConversion"/>
  </si>
  <si>
    <r>
      <rPr>
        <sz val="12"/>
        <color indexed="8"/>
        <rFont val="宋体"/>
        <family val="3"/>
        <charset val="134"/>
      </rPr>
      <t>价值时点</t>
    </r>
    <phoneticPr fontId="92" type="noConversion"/>
  </si>
  <si>
    <r>
      <rPr>
        <sz val="12"/>
        <color indexed="8"/>
        <rFont val="宋体"/>
        <family val="3"/>
        <charset val="134"/>
      </rPr>
      <t>签字估价师</t>
    </r>
    <phoneticPr fontId="92" type="noConversion"/>
  </si>
  <si>
    <r>
      <rPr>
        <sz val="12"/>
        <color indexed="8"/>
        <rFont val="宋体"/>
        <family val="3"/>
        <charset val="134"/>
      </rPr>
      <t>估价委托人</t>
    </r>
    <r>
      <rPr>
        <sz val="12"/>
        <color indexed="8"/>
        <rFont val="Arial"/>
        <family val="2"/>
      </rPr>
      <t xml:space="preserve">  </t>
    </r>
    <phoneticPr fontId="90"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</si>
  <si>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90" type="noConversion"/>
  </si>
  <si>
    <r>
      <rPr>
        <sz val="12"/>
        <color indexed="8"/>
        <rFont val="宋体"/>
        <family val="3"/>
        <charset val="134"/>
      </rPr>
      <t>借款方</t>
    </r>
    <phoneticPr fontId="11" type="noConversion"/>
  </si>
  <si>
    <r>
      <rPr>
        <sz val="12"/>
        <color indexed="8"/>
        <rFont val="宋体"/>
        <family val="3"/>
        <charset val="134"/>
      </rPr>
      <t>估价目的</t>
    </r>
    <phoneticPr fontId="90" type="noConversion"/>
  </si>
  <si>
    <r>
      <rPr>
        <sz val="12"/>
        <color indexed="8"/>
        <rFont val="宋体"/>
        <family val="3"/>
        <charset val="134"/>
      </rPr>
      <t>抵押结果包含：</t>
    </r>
    <phoneticPr fontId="92" type="noConversion"/>
  </si>
  <si>
    <r>
      <rPr>
        <sz val="12"/>
        <color indexed="8"/>
        <rFont val="宋体"/>
        <family val="3"/>
        <charset val="134"/>
      </rPr>
      <t>价值类型</t>
    </r>
    <phoneticPr fontId="90" type="noConversion"/>
  </si>
  <si>
    <r>
      <rPr>
        <sz val="12"/>
        <color indexed="8"/>
        <rFont val="宋体"/>
        <family val="3"/>
        <charset val="134"/>
      </rPr>
      <t>项目所在城市</t>
    </r>
    <phoneticPr fontId="11" type="noConversion"/>
  </si>
  <si>
    <r>
      <rPr>
        <sz val="12"/>
        <color indexed="8"/>
        <rFont val="宋体"/>
        <family val="3"/>
        <charset val="134"/>
      </rPr>
      <t>坐落</t>
    </r>
    <phoneticPr fontId="90" type="noConversion"/>
  </si>
  <si>
    <r>
      <rPr>
        <sz val="12"/>
        <color indexed="8"/>
        <rFont val="宋体"/>
        <family val="3"/>
        <charset val="134"/>
      </rPr>
      <t>不动产权利人</t>
    </r>
    <phoneticPr fontId="11" type="noConversion"/>
  </si>
  <si>
    <r>
      <rPr>
        <sz val="12"/>
        <color indexed="8"/>
        <rFont val="宋体"/>
        <family val="3"/>
        <charset val="134"/>
      </rPr>
      <t>土地性质</t>
    </r>
    <phoneticPr fontId="90" type="noConversion"/>
  </si>
  <si>
    <r>
      <rPr>
        <sz val="11"/>
        <color indexed="8"/>
        <rFont val="宋体"/>
        <family val="3"/>
        <charset val="134"/>
      </rPr>
      <t>用途</t>
    </r>
    <phoneticPr fontId="11" type="noConversion"/>
  </si>
  <si>
    <r>
      <rPr>
        <sz val="11"/>
        <color indexed="8"/>
        <rFont val="宋体"/>
        <family val="3"/>
        <charset val="134"/>
      </rPr>
      <t>住宅</t>
    </r>
    <phoneticPr fontId="11" type="noConversion"/>
  </si>
  <si>
    <r>
      <rPr>
        <sz val="11"/>
        <color indexed="8"/>
        <rFont val="宋体"/>
        <family val="3"/>
        <charset val="134"/>
      </rPr>
      <t>商业</t>
    </r>
    <phoneticPr fontId="11" type="noConversion"/>
  </si>
  <si>
    <r>
      <rPr>
        <sz val="11"/>
        <color indexed="8"/>
        <rFont val="宋体"/>
        <family val="3"/>
        <charset val="134"/>
      </rPr>
      <t>办公</t>
    </r>
    <phoneticPr fontId="11" type="noConversion"/>
  </si>
  <si>
    <r>
      <rPr>
        <sz val="11"/>
        <color indexed="8"/>
        <rFont val="宋体"/>
        <family val="3"/>
        <charset val="134"/>
      </rPr>
      <t>车库</t>
    </r>
    <phoneticPr fontId="11" type="noConversion"/>
  </si>
  <si>
    <r>
      <rPr>
        <sz val="11"/>
        <color indexed="8"/>
        <rFont val="宋体"/>
        <family val="3"/>
        <charset val="134"/>
      </rPr>
      <t>仓储</t>
    </r>
    <phoneticPr fontId="11" type="noConversion"/>
  </si>
  <si>
    <r>
      <rPr>
        <sz val="11"/>
        <color indexed="8"/>
        <rFont val="宋体"/>
        <family val="3"/>
        <charset val="134"/>
      </rPr>
      <t>工业</t>
    </r>
    <phoneticPr fontId="11" type="noConversion"/>
  </si>
  <si>
    <r>
      <rPr>
        <sz val="12"/>
        <color indexed="8"/>
        <rFont val="宋体"/>
        <family val="3"/>
        <charset val="134"/>
      </rPr>
      <t>终止日期</t>
    </r>
    <phoneticPr fontId="11" type="noConversion"/>
  </si>
  <si>
    <r>
      <rPr>
        <sz val="12"/>
        <color indexed="8"/>
        <rFont val="宋体"/>
        <family val="3"/>
        <charset val="134"/>
      </rPr>
      <t>出让年限</t>
    </r>
    <phoneticPr fontId="11" type="noConversion"/>
  </si>
  <si>
    <r>
      <rPr>
        <sz val="12"/>
        <color indexed="8"/>
        <rFont val="宋体"/>
        <family val="3"/>
        <charset val="134"/>
      </rPr>
      <t>剩余年限</t>
    </r>
    <phoneticPr fontId="11" type="noConversion"/>
  </si>
  <si>
    <r>
      <rPr>
        <sz val="12"/>
        <color indexed="8"/>
        <rFont val="宋体"/>
        <family val="3"/>
        <charset val="134"/>
      </rPr>
      <t>估价对象用途明细</t>
    </r>
    <phoneticPr fontId="90" type="noConversion"/>
  </si>
  <si>
    <r>
      <rPr>
        <sz val="12"/>
        <color indexed="8"/>
        <rFont val="宋体"/>
        <family val="3"/>
        <charset val="134"/>
      </rPr>
      <t>剩余土地年限</t>
    </r>
    <phoneticPr fontId="11" type="noConversion"/>
  </si>
  <si>
    <r>
      <rPr>
        <sz val="12"/>
        <color indexed="8"/>
        <rFont val="宋体"/>
        <family val="3"/>
        <charset val="134"/>
      </rPr>
      <t>面积指标</t>
    </r>
    <phoneticPr fontId="90" type="noConversion"/>
  </si>
  <si>
    <r>
      <rPr>
        <sz val="12"/>
        <color indexed="8"/>
        <rFont val="宋体"/>
        <family val="3"/>
        <charset val="134"/>
      </rPr>
      <t>建筑面积</t>
    </r>
    <phoneticPr fontId="90" type="noConversion"/>
  </si>
  <si>
    <r>
      <rPr>
        <sz val="12"/>
        <color indexed="8"/>
        <rFont val="宋体"/>
        <family val="3"/>
        <charset val="134"/>
      </rPr>
      <t>面积依据</t>
    </r>
    <phoneticPr fontId="90"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</si>
  <si>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11" type="noConversion"/>
  </si>
  <si>
    <r>
      <rPr>
        <sz val="12"/>
        <color indexed="8"/>
        <rFont val="宋体"/>
        <family val="3"/>
        <charset val="134"/>
      </rPr>
      <t>建筑与土地面积依据相同</t>
    </r>
  </si>
  <si>
    <r>
      <rPr>
        <sz val="12"/>
        <color indexed="8"/>
        <rFont val="宋体"/>
        <family val="3"/>
        <charset val="134"/>
      </rPr>
      <t>土地面积</t>
    </r>
    <phoneticPr fontId="90" type="noConversion"/>
  </si>
  <si>
    <r>
      <rPr>
        <sz val="12"/>
        <color theme="9" tint="-0.249977111117893"/>
        <rFont val="宋体"/>
        <family val="3"/>
        <charset val="134"/>
      </rPr>
      <t>《国有土地使用证》</t>
    </r>
    <r>
      <rPr>
        <sz val="12"/>
        <color theme="9" tint="-0.249977111117893"/>
        <rFont val="Arial"/>
        <family val="2"/>
      </rPr>
      <t>[]</t>
    </r>
    <phoneticPr fontId="11" type="noConversion"/>
  </si>
  <si>
    <r>
      <rPr>
        <sz val="10"/>
        <color indexed="8"/>
        <rFont val="宋体"/>
        <family val="3"/>
        <charset val="134"/>
      </rPr>
      <t>权利状况（抵押）</t>
    </r>
    <phoneticPr fontId="92" type="noConversion"/>
  </si>
  <si>
    <r>
      <rPr>
        <sz val="10"/>
        <color indexed="8"/>
        <rFont val="宋体"/>
        <family val="3"/>
        <charset val="134"/>
      </rPr>
      <t>是否抵押</t>
    </r>
    <phoneticPr fontId="92" type="noConversion"/>
  </si>
  <si>
    <r>
      <rPr>
        <sz val="10"/>
        <color indexed="8"/>
        <rFont val="宋体"/>
        <family val="3"/>
        <charset val="134"/>
      </rPr>
      <t>权属证件是否登记权利价值</t>
    </r>
    <phoneticPr fontId="92" type="noConversion"/>
  </si>
  <si>
    <r>
      <rPr>
        <sz val="10"/>
        <color indexed="8"/>
        <rFont val="宋体"/>
        <family val="3"/>
        <charset val="134"/>
      </rPr>
      <t>依据</t>
    </r>
    <phoneticPr fontId="92" type="noConversion"/>
  </si>
  <si>
    <r>
      <rPr>
        <sz val="10"/>
        <color indexed="8"/>
        <rFont val="宋体"/>
        <family val="3"/>
        <charset val="134"/>
      </rPr>
      <t>权属文件</t>
    </r>
    <phoneticPr fontId="92" type="noConversion"/>
  </si>
  <si>
    <r>
      <rPr>
        <sz val="10"/>
        <color indexed="8"/>
        <rFont val="宋体"/>
        <family val="3"/>
        <charset val="134"/>
      </rPr>
      <t>他项权证</t>
    </r>
    <phoneticPr fontId="92" type="noConversion"/>
  </si>
  <si>
    <r>
      <rPr>
        <sz val="10"/>
        <color indexed="8"/>
        <rFont val="宋体"/>
        <family val="3"/>
        <charset val="134"/>
      </rPr>
      <t>其他资料</t>
    </r>
    <phoneticPr fontId="92" type="noConversion"/>
  </si>
  <si>
    <r>
      <rPr>
        <sz val="10"/>
        <color indexed="8"/>
        <rFont val="宋体"/>
        <family val="3"/>
        <charset val="134"/>
      </rPr>
      <t>抵押情况描述</t>
    </r>
    <phoneticPr fontId="92" type="noConversion"/>
  </si>
  <si>
    <r>
      <rPr>
        <sz val="10"/>
        <color indexed="8"/>
        <rFont val="宋体"/>
        <family val="3"/>
        <charset val="134"/>
      </rPr>
      <t>原件</t>
    </r>
  </si>
  <si>
    <r>
      <rPr>
        <sz val="10"/>
        <color theme="9" tint="-0.249977111117893"/>
        <rFont val="宋体"/>
        <family val="3"/>
        <charset val="134"/>
      </rPr>
      <t>《房屋他项权利证书》</t>
    </r>
    <phoneticPr fontId="92" type="noConversion"/>
  </si>
  <si>
    <r>
      <rPr>
        <sz val="10"/>
        <color indexed="8"/>
        <rFont val="宋体"/>
        <family val="3"/>
        <charset val="134"/>
      </rPr>
      <t>抵押信息</t>
    </r>
    <phoneticPr fontId="92" type="noConversion"/>
  </si>
  <si>
    <r>
      <rPr>
        <sz val="10"/>
        <color indexed="8"/>
        <rFont val="宋体"/>
        <family val="3"/>
        <charset val="134"/>
      </rPr>
      <t>设定日期</t>
    </r>
    <phoneticPr fontId="92" type="noConversion"/>
  </si>
  <si>
    <r>
      <rPr>
        <sz val="10"/>
        <color indexed="8"/>
        <rFont val="宋体"/>
        <family val="3"/>
        <charset val="134"/>
      </rPr>
      <t>权利人</t>
    </r>
    <phoneticPr fontId="92" type="noConversion"/>
  </si>
  <si>
    <r>
      <rPr>
        <sz val="10"/>
        <color indexed="8"/>
        <rFont val="宋体"/>
        <family val="3"/>
        <charset val="134"/>
      </rPr>
      <t>权利范围</t>
    </r>
    <phoneticPr fontId="92" type="noConversion"/>
  </si>
  <si>
    <r>
      <rPr>
        <sz val="10"/>
        <color indexed="8"/>
        <rFont val="宋体"/>
        <family val="3"/>
        <charset val="134"/>
      </rPr>
      <t>权利价值</t>
    </r>
    <phoneticPr fontId="92" type="noConversion"/>
  </si>
  <si>
    <r>
      <rPr>
        <sz val="10"/>
        <color indexed="8"/>
        <rFont val="宋体"/>
        <family val="3"/>
        <charset val="134"/>
      </rPr>
      <t>权利价值</t>
    </r>
    <phoneticPr fontId="92" type="noConversion"/>
  </si>
  <si>
    <r>
      <rPr>
        <sz val="12"/>
        <color indexed="8"/>
        <rFont val="宋体"/>
        <family val="3"/>
        <charset val="134"/>
      </rPr>
      <t>项目类型</t>
    </r>
    <phoneticPr fontId="11" type="noConversion"/>
  </si>
  <si>
    <r>
      <rPr>
        <sz val="12"/>
        <color indexed="8"/>
        <rFont val="宋体"/>
        <family val="3"/>
        <charset val="134"/>
      </rPr>
      <t>按主用途</t>
    </r>
    <phoneticPr fontId="11" type="noConversion"/>
  </si>
  <si>
    <r>
      <rPr>
        <sz val="12"/>
        <color indexed="8"/>
        <rFont val="宋体"/>
        <family val="3"/>
        <charset val="134"/>
      </rPr>
      <t>特殊细项</t>
    </r>
    <phoneticPr fontId="11" type="noConversion"/>
  </si>
  <si>
    <r>
      <rPr>
        <sz val="12"/>
        <color indexed="8"/>
        <rFont val="宋体"/>
        <family val="3"/>
        <charset val="134"/>
      </rPr>
      <t>是否配建</t>
    </r>
    <phoneticPr fontId="11" type="noConversion"/>
  </si>
  <si>
    <r>
      <rPr>
        <sz val="12"/>
        <color indexed="8"/>
        <rFont val="宋体"/>
        <family val="3"/>
        <charset val="134"/>
      </rPr>
      <t>配建类型</t>
    </r>
    <phoneticPr fontId="11" type="noConversion"/>
  </si>
  <si>
    <r>
      <rPr>
        <sz val="12"/>
        <color indexed="8"/>
        <rFont val="宋体"/>
        <family val="3"/>
        <charset val="134"/>
      </rPr>
      <t>项目现状</t>
    </r>
    <phoneticPr fontId="11" type="noConversion"/>
  </si>
  <si>
    <r>
      <rPr>
        <sz val="12"/>
        <color indexed="8"/>
        <rFont val="宋体"/>
        <family val="3"/>
        <charset val="134"/>
      </rPr>
      <t>红线外市政</t>
    </r>
    <phoneticPr fontId="11" type="noConversion"/>
  </si>
  <si>
    <r>
      <rPr>
        <sz val="11"/>
        <color indexed="8"/>
        <rFont val="宋体"/>
        <family val="3"/>
        <charset val="134"/>
      </rPr>
      <t>一通</t>
    </r>
    <phoneticPr fontId="97" type="noConversion"/>
  </si>
  <si>
    <r>
      <rPr>
        <sz val="11"/>
        <color indexed="8"/>
        <rFont val="宋体"/>
        <family val="3"/>
        <charset val="134"/>
      </rPr>
      <t>二通</t>
    </r>
    <phoneticPr fontId="97" type="noConversion"/>
  </si>
  <si>
    <r>
      <rPr>
        <sz val="11"/>
        <color indexed="8"/>
        <rFont val="宋体"/>
        <family val="3"/>
        <charset val="134"/>
      </rPr>
      <t>三通</t>
    </r>
    <phoneticPr fontId="97" type="noConversion"/>
  </si>
  <si>
    <r>
      <rPr>
        <sz val="11"/>
        <color indexed="8"/>
        <rFont val="宋体"/>
        <family val="3"/>
        <charset val="134"/>
      </rPr>
      <t>四通</t>
    </r>
    <phoneticPr fontId="97" type="noConversion"/>
  </si>
  <si>
    <r>
      <rPr>
        <sz val="11"/>
        <color indexed="8"/>
        <rFont val="宋体"/>
        <family val="3"/>
        <charset val="134"/>
      </rPr>
      <t>五通</t>
    </r>
    <phoneticPr fontId="97" type="noConversion"/>
  </si>
  <si>
    <r>
      <rPr>
        <sz val="11"/>
        <color indexed="8"/>
        <rFont val="宋体"/>
        <family val="3"/>
        <charset val="134"/>
      </rPr>
      <t>六通</t>
    </r>
    <phoneticPr fontId="97" type="noConversion"/>
  </si>
  <si>
    <r>
      <rPr>
        <sz val="11"/>
        <color indexed="8"/>
        <rFont val="宋体"/>
        <family val="3"/>
        <charset val="134"/>
      </rPr>
      <t>七通</t>
    </r>
    <phoneticPr fontId="97" type="noConversion"/>
  </si>
  <si>
    <r>
      <rPr>
        <sz val="11"/>
        <color indexed="8"/>
        <rFont val="宋体"/>
        <family val="3"/>
        <charset val="134"/>
      </rPr>
      <t>估价对象</t>
    </r>
    <phoneticPr fontId="97" type="noConversion"/>
  </si>
  <si>
    <r>
      <rPr>
        <sz val="12"/>
        <color indexed="8"/>
        <rFont val="宋体"/>
        <family val="3"/>
        <charset val="134"/>
      </rPr>
      <t>北京市</t>
    </r>
    <phoneticPr fontId="11" type="noConversion"/>
  </si>
  <si>
    <r>
      <rPr>
        <sz val="12"/>
        <color indexed="8"/>
        <rFont val="宋体"/>
        <family val="3"/>
        <charset val="134"/>
      </rPr>
      <t>商业</t>
    </r>
    <phoneticPr fontId="11" type="noConversion"/>
  </si>
  <si>
    <r>
      <rPr>
        <sz val="12"/>
        <color indexed="8"/>
        <rFont val="宋体"/>
        <family val="3"/>
        <charset val="134"/>
      </rPr>
      <t>办公</t>
    </r>
    <phoneticPr fontId="11" type="noConversion"/>
  </si>
  <si>
    <r>
      <rPr>
        <sz val="12"/>
        <color indexed="8"/>
        <rFont val="宋体"/>
        <family val="3"/>
        <charset val="134"/>
      </rPr>
      <t>住宅</t>
    </r>
    <phoneticPr fontId="11" type="noConversion"/>
  </si>
  <si>
    <r>
      <rPr>
        <sz val="12"/>
        <color indexed="8"/>
        <rFont val="宋体"/>
        <family val="3"/>
        <charset val="134"/>
      </rPr>
      <t>工业</t>
    </r>
    <phoneticPr fontId="11" type="noConversion"/>
  </si>
  <si>
    <r>
      <rPr>
        <sz val="12"/>
        <color indexed="8"/>
        <rFont val="宋体"/>
        <family val="3"/>
        <charset val="134"/>
      </rPr>
      <t>土地级别</t>
    </r>
    <phoneticPr fontId="11" type="noConversion"/>
  </si>
  <si>
    <r>
      <rPr>
        <sz val="12"/>
        <color indexed="8"/>
        <rFont val="宋体"/>
        <family val="3"/>
        <charset val="134"/>
      </rPr>
      <t>区片编号</t>
    </r>
    <phoneticPr fontId="11" type="noConversion"/>
  </si>
  <si>
    <r>
      <rPr>
        <b/>
        <sz val="16"/>
        <color rgb="FFFF0000"/>
        <rFont val="宋体"/>
        <family val="3"/>
        <charset val="134"/>
      </rPr>
      <t>虚线以上为必填</t>
    </r>
    <phoneticPr fontId="11" type="noConversion"/>
  </si>
  <si>
    <r>
      <rPr>
        <b/>
        <sz val="11"/>
        <color indexed="8"/>
        <rFont val="宋体"/>
        <family val="3"/>
        <charset val="134"/>
      </rPr>
      <t>证件取得及他项权利状况</t>
    </r>
    <phoneticPr fontId="11" type="noConversion"/>
  </si>
  <si>
    <r>
      <rPr>
        <sz val="11"/>
        <color indexed="8"/>
        <rFont val="宋体"/>
        <family val="3"/>
        <charset val="134"/>
      </rPr>
      <t>地块编号</t>
    </r>
    <phoneticPr fontId="8"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</si>
  <si>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8" type="noConversion"/>
  </si>
  <si>
    <r>
      <rPr>
        <sz val="11"/>
        <color indexed="8"/>
        <rFont val="宋体"/>
        <family val="3"/>
        <charset val="134"/>
      </rPr>
      <t>出让合同</t>
    </r>
    <phoneticPr fontId="8" type="noConversion"/>
  </si>
  <si>
    <r>
      <rPr>
        <sz val="11"/>
        <color indexed="8"/>
        <rFont val="宋体"/>
        <family val="3"/>
        <charset val="134"/>
      </rPr>
      <t>用地规划</t>
    </r>
    <phoneticPr fontId="8" type="noConversion"/>
  </si>
  <si>
    <r>
      <rPr>
        <sz val="11"/>
        <color indexed="8"/>
        <rFont val="宋体"/>
        <family val="3"/>
        <charset val="134"/>
      </rPr>
      <t>规划意见复函</t>
    </r>
    <phoneticPr fontId="8" type="noConversion"/>
  </si>
  <si>
    <r>
      <rPr>
        <sz val="11"/>
        <color indexed="8"/>
        <rFont val="宋体"/>
        <family val="3"/>
        <charset val="134"/>
      </rPr>
      <t>工程规划</t>
    </r>
    <phoneticPr fontId="8" type="noConversion"/>
  </si>
  <si>
    <r>
      <rPr>
        <sz val="11"/>
        <color indexed="8"/>
        <rFont val="宋体"/>
        <family val="3"/>
        <charset val="134"/>
      </rPr>
      <t>施工证</t>
    </r>
    <phoneticPr fontId="8" type="noConversion"/>
  </si>
  <si>
    <r>
      <rPr>
        <sz val="11"/>
        <color indexed="8"/>
        <rFont val="宋体"/>
        <family val="3"/>
        <charset val="134"/>
      </rPr>
      <t>预售证</t>
    </r>
    <phoneticPr fontId="8" type="noConversion"/>
  </si>
  <si>
    <r>
      <rPr>
        <sz val="11"/>
        <color indexed="8"/>
        <rFont val="宋体"/>
        <family val="3"/>
        <charset val="134"/>
      </rPr>
      <t>竣工备案</t>
    </r>
    <phoneticPr fontId="8" type="noConversion"/>
  </si>
  <si>
    <r>
      <rPr>
        <sz val="11"/>
        <color indexed="8"/>
        <rFont val="宋体"/>
        <family val="3"/>
        <charset val="134"/>
      </rPr>
      <t>测绘报告</t>
    </r>
    <phoneticPr fontId="8" type="noConversion"/>
  </si>
  <si>
    <r>
      <rPr>
        <sz val="11"/>
        <color indexed="8"/>
        <rFont val="宋体"/>
        <family val="3"/>
        <charset val="134"/>
      </rPr>
      <t>现状</t>
    </r>
    <phoneticPr fontId="11"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</si>
  <si>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11" type="noConversion"/>
  </si>
  <si>
    <r>
      <rPr>
        <sz val="11"/>
        <color indexed="8"/>
        <rFont val="宋体"/>
        <family val="3"/>
        <charset val="134"/>
      </rPr>
      <t>不动产权证书</t>
    </r>
    <phoneticPr fontId="11" type="noConversion"/>
  </si>
  <si>
    <r>
      <rPr>
        <sz val="11"/>
        <color indexed="8"/>
        <rFont val="宋体"/>
        <family val="3"/>
        <charset val="134"/>
      </rPr>
      <t>国土证</t>
    </r>
    <phoneticPr fontId="8" type="noConversion"/>
  </si>
  <si>
    <r>
      <rPr>
        <sz val="11"/>
        <color indexed="8"/>
        <rFont val="宋体"/>
        <family val="3"/>
        <charset val="134"/>
      </rPr>
      <t>房产证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</si>
  <si>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</si>
  <si>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11"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</si>
  <si>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11" type="noConversion"/>
  </si>
  <si>
    <r>
      <rPr>
        <b/>
        <sz val="14"/>
        <color rgb="FFFF0000"/>
        <rFont val="宋体"/>
        <family val="3"/>
        <charset val="134"/>
      </rPr>
      <t>数据基础表</t>
    </r>
    <phoneticPr fontId="8" type="noConversion"/>
  </si>
  <si>
    <r>
      <rPr>
        <b/>
        <sz val="16"/>
        <color rgb="FFFF0000"/>
        <rFont val="宋体"/>
        <family val="3"/>
        <charset val="134"/>
      </rPr>
      <t>抵押物清单</t>
    </r>
    <phoneticPr fontId="8" type="noConversion"/>
  </si>
  <si>
    <r>
      <rPr>
        <sz val="10"/>
        <color indexed="8"/>
        <rFont val="宋体"/>
        <family val="3"/>
        <charset val="134"/>
      </rPr>
      <t>土地面积</t>
    </r>
    <phoneticPr fontId="8" type="noConversion"/>
  </si>
  <si>
    <r>
      <rPr>
        <sz val="10"/>
        <color indexed="8"/>
        <rFont val="宋体"/>
        <family val="3"/>
        <charset val="134"/>
      </rPr>
      <t>建筑面积</t>
    </r>
    <phoneticPr fontId="8" type="noConversion"/>
  </si>
  <si>
    <r>
      <rPr>
        <sz val="10"/>
        <color indexed="8"/>
        <rFont val="宋体"/>
        <family val="3"/>
        <charset val="134"/>
      </rPr>
      <t>人防是否参与分摊</t>
    </r>
    <phoneticPr fontId="8" type="noConversion"/>
  </si>
  <si>
    <r>
      <rPr>
        <sz val="10"/>
        <color indexed="8"/>
        <rFont val="宋体"/>
        <family val="3"/>
        <charset val="134"/>
      </rPr>
      <t>测绘分摊土地面积</t>
    </r>
    <phoneticPr fontId="8" type="noConversion"/>
  </si>
  <si>
    <r>
      <rPr>
        <sz val="10"/>
        <color theme="1"/>
        <rFont val="宋体"/>
        <family val="3"/>
        <charset val="134"/>
      </rPr>
      <t>计容建筑面积</t>
    </r>
    <phoneticPr fontId="8" type="noConversion"/>
  </si>
  <si>
    <r>
      <rPr>
        <sz val="10"/>
        <color indexed="8"/>
        <rFont val="宋体"/>
        <family val="3"/>
        <charset val="134"/>
      </rPr>
      <t>计容部位</t>
    </r>
    <phoneticPr fontId="8" type="noConversion"/>
  </si>
  <si>
    <r>
      <rPr>
        <sz val="10"/>
        <color indexed="8"/>
        <rFont val="宋体"/>
        <family val="3"/>
        <charset val="134"/>
      </rPr>
      <t>否</t>
    </r>
  </si>
  <si>
    <r>
      <rPr>
        <sz val="10"/>
        <color indexed="8"/>
        <rFont val="宋体"/>
        <family val="3"/>
        <charset val="134"/>
      </rPr>
      <t>建筑面积合计</t>
    </r>
    <phoneticPr fontId="10" type="noConversion"/>
  </si>
  <si>
    <r>
      <rPr>
        <sz val="10"/>
        <color indexed="8"/>
        <rFont val="宋体"/>
        <family val="3"/>
        <charset val="134"/>
      </rPr>
      <t>（分摊）土地面积</t>
    </r>
    <phoneticPr fontId="10" type="noConversion"/>
  </si>
  <si>
    <r>
      <rPr>
        <sz val="10"/>
        <color indexed="8"/>
        <rFont val="宋体"/>
        <family val="3"/>
        <charset val="134"/>
      </rPr>
      <t>土地使用权证号</t>
    </r>
    <phoneticPr fontId="10" type="noConversion"/>
  </si>
  <si>
    <r>
      <rPr>
        <sz val="10"/>
        <color indexed="8"/>
        <rFont val="宋体"/>
        <family val="3"/>
        <charset val="134"/>
      </rPr>
      <t>建筑面积依据</t>
    </r>
    <phoneticPr fontId="10"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</si>
  <si>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10" type="noConversion"/>
  </si>
  <si>
    <r>
      <rPr>
        <sz val="10"/>
        <color indexed="8"/>
        <rFont val="宋体"/>
        <family val="3"/>
        <charset val="134"/>
      </rPr>
      <t>是否为抵押范围</t>
    </r>
    <phoneticPr fontId="10" type="noConversion"/>
  </si>
  <si>
    <r>
      <rPr>
        <sz val="10"/>
        <color indexed="8"/>
        <rFont val="宋体"/>
        <family val="3"/>
        <charset val="134"/>
      </rPr>
      <t>（分摊）土地面积</t>
    </r>
    <phoneticPr fontId="10" type="noConversion"/>
  </si>
  <si>
    <r>
      <rPr>
        <sz val="10"/>
        <color indexed="8"/>
        <rFont val="宋体"/>
        <family val="3"/>
        <charset val="134"/>
      </rPr>
      <t>楼基面积</t>
    </r>
    <phoneticPr fontId="10" type="noConversion"/>
  </si>
  <si>
    <r>
      <rPr>
        <sz val="10"/>
        <color indexed="8"/>
        <rFont val="宋体"/>
        <family val="3"/>
        <charset val="134"/>
      </rPr>
      <t>建筑面积（含人防）</t>
    </r>
    <phoneticPr fontId="10" type="noConversion"/>
  </si>
  <si>
    <r>
      <rPr>
        <sz val="10"/>
        <color indexed="8"/>
        <rFont val="宋体"/>
        <family val="3"/>
        <charset val="134"/>
      </rPr>
      <t>不在估价范围内的项目</t>
    </r>
    <phoneticPr fontId="8" type="noConversion"/>
  </si>
  <si>
    <r>
      <rPr>
        <sz val="10"/>
        <color indexed="8"/>
        <rFont val="宋体"/>
        <family val="3"/>
        <charset val="134"/>
      </rPr>
      <t>土地使用权证号</t>
    </r>
    <phoneticPr fontId="10" type="noConversion"/>
  </si>
  <si>
    <r>
      <rPr>
        <sz val="10"/>
        <color indexed="8"/>
        <rFont val="宋体"/>
        <family val="3"/>
        <charset val="134"/>
      </rPr>
      <t>建筑面积依据</t>
    </r>
    <phoneticPr fontId="10" type="noConversion"/>
  </si>
  <si>
    <r>
      <rPr>
        <sz val="10"/>
        <color indexed="8"/>
        <rFont val="宋体"/>
        <family val="3"/>
        <charset val="134"/>
      </rPr>
      <t>抵押物</t>
    </r>
    <phoneticPr fontId="8" type="noConversion"/>
  </si>
  <si>
    <r>
      <rPr>
        <sz val="10"/>
        <color indexed="8"/>
        <rFont val="宋体"/>
        <family val="3"/>
        <charset val="134"/>
      </rPr>
      <t>合计</t>
    </r>
    <phoneticPr fontId="8"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</si>
  <si>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10"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</si>
  <si>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10" type="noConversion"/>
  </si>
  <si>
    <r>
      <rPr>
        <sz val="10"/>
        <color indexed="8"/>
        <rFont val="宋体"/>
        <family val="3"/>
        <charset val="134"/>
      </rPr>
      <t>人防</t>
    </r>
    <phoneticPr fontId="8" type="noConversion"/>
  </si>
  <si>
    <r>
      <rPr>
        <sz val="10"/>
        <color indexed="8"/>
        <rFont val="宋体"/>
        <family val="3"/>
        <charset val="134"/>
      </rPr>
      <t>文字说明</t>
    </r>
    <phoneticPr fontId="8" type="noConversion"/>
  </si>
  <si>
    <r>
      <rPr>
        <sz val="10"/>
        <color indexed="8"/>
        <rFont val="宋体"/>
        <family val="3"/>
        <charset val="134"/>
      </rPr>
      <t>（分摊）土地面积</t>
    </r>
    <phoneticPr fontId="8" type="noConversion"/>
  </si>
  <si>
    <r>
      <rPr>
        <sz val="10"/>
        <color indexed="8"/>
        <rFont val="宋体"/>
        <family val="3"/>
        <charset val="134"/>
      </rPr>
      <t>建筑面积</t>
    </r>
    <phoneticPr fontId="8" type="noConversion"/>
  </si>
  <si>
    <r>
      <rPr>
        <sz val="10"/>
        <color indexed="8"/>
        <rFont val="宋体"/>
        <family val="3"/>
        <charset val="134"/>
      </rPr>
      <t>小计</t>
    </r>
    <phoneticPr fontId="8" type="noConversion"/>
  </si>
  <si>
    <r>
      <rPr>
        <sz val="10"/>
        <color indexed="8"/>
        <rFont val="宋体"/>
        <family val="3"/>
        <charset val="134"/>
      </rPr>
      <t>地上</t>
    </r>
    <phoneticPr fontId="8" type="noConversion"/>
  </si>
  <si>
    <r>
      <rPr>
        <sz val="10"/>
        <color indexed="8"/>
        <rFont val="宋体"/>
        <family val="3"/>
        <charset val="134"/>
      </rPr>
      <t>地下</t>
    </r>
    <phoneticPr fontId="8"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</si>
  <si>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8" type="noConversion"/>
  </si>
  <si>
    <r>
      <rPr>
        <sz val="10"/>
        <color indexed="8"/>
        <rFont val="宋体"/>
        <family val="3"/>
        <charset val="134"/>
      </rPr>
      <t>经营性用途</t>
    </r>
    <phoneticPr fontId="10" type="noConversion"/>
  </si>
  <si>
    <r>
      <rPr>
        <sz val="10"/>
        <color indexed="8"/>
        <rFont val="宋体"/>
        <family val="3"/>
        <charset val="134"/>
      </rPr>
      <t>非经营性用途</t>
    </r>
    <phoneticPr fontId="10" type="noConversion"/>
  </si>
  <si>
    <r>
      <rPr>
        <sz val="10"/>
        <color indexed="8"/>
        <rFont val="宋体"/>
        <family val="3"/>
        <charset val="134"/>
      </rPr>
      <t>公共配套设施</t>
    </r>
    <phoneticPr fontId="8" type="noConversion"/>
  </si>
  <si>
    <r>
      <rPr>
        <sz val="10"/>
        <color indexed="8"/>
        <rFont val="宋体"/>
        <family val="3"/>
        <charset val="134"/>
      </rPr>
      <t>物业管理用房</t>
    </r>
    <phoneticPr fontId="8" type="noConversion"/>
  </si>
  <si>
    <r>
      <rPr>
        <sz val="10"/>
        <color indexed="8"/>
        <rFont val="宋体"/>
        <family val="3"/>
        <charset val="134"/>
      </rPr>
      <t>设备及其他</t>
    </r>
    <phoneticPr fontId="8" type="noConversion"/>
  </si>
  <si>
    <r>
      <rPr>
        <sz val="10"/>
        <color indexed="8"/>
        <rFont val="宋体"/>
        <family val="3"/>
        <charset val="134"/>
      </rPr>
      <t>未注明</t>
    </r>
    <phoneticPr fontId="8" type="noConversion"/>
  </si>
  <si>
    <r>
      <rPr>
        <sz val="10"/>
        <color rgb="FFFF0000"/>
        <rFont val="宋体"/>
        <family val="3"/>
        <charset val="134"/>
      </rPr>
      <t>（住宅）</t>
    </r>
    <phoneticPr fontId="8" type="noConversion"/>
  </si>
  <si>
    <r>
      <rPr>
        <sz val="10"/>
        <color rgb="FFFF0000"/>
        <rFont val="宋体"/>
        <family val="3"/>
        <charset val="134"/>
      </rPr>
      <t>（住宅、计出让金）</t>
    </r>
    <phoneticPr fontId="8" type="noConversion"/>
  </si>
  <si>
    <r>
      <rPr>
        <sz val="10"/>
        <color indexed="8"/>
        <rFont val="宋体"/>
        <family val="3"/>
        <charset val="134"/>
      </rPr>
      <t>总值</t>
    </r>
    <phoneticPr fontId="8" type="noConversion"/>
  </si>
  <si>
    <r>
      <rPr>
        <sz val="10"/>
        <color indexed="8"/>
        <rFont val="宋体"/>
        <family val="3"/>
        <charset val="134"/>
      </rPr>
      <t>扣减值</t>
    </r>
    <phoneticPr fontId="8" type="noConversion"/>
  </si>
  <si>
    <r>
      <rPr>
        <b/>
        <sz val="11"/>
        <color indexed="8"/>
        <rFont val="宋体"/>
        <family val="3"/>
        <charset val="134"/>
      </rPr>
      <t>面积总计</t>
    </r>
    <phoneticPr fontId="12" type="noConversion"/>
  </si>
  <si>
    <r>
      <rPr>
        <sz val="11"/>
        <color indexed="8"/>
        <rFont val="宋体"/>
        <family val="3"/>
        <charset val="134"/>
      </rPr>
      <t>总</t>
    </r>
    <phoneticPr fontId="12" type="noConversion"/>
  </si>
  <si>
    <r>
      <rPr>
        <b/>
        <sz val="11"/>
        <color indexed="8"/>
        <rFont val="宋体"/>
        <family val="3"/>
        <charset val="134"/>
      </rPr>
      <t>土地面积</t>
    </r>
    <phoneticPr fontId="15" type="noConversion"/>
  </si>
  <si>
    <r>
      <rPr>
        <b/>
        <sz val="11"/>
        <rFont val="宋体"/>
        <family val="3"/>
        <charset val="134"/>
      </rPr>
      <t>建筑面积</t>
    </r>
    <phoneticPr fontId="15" type="noConversion"/>
  </si>
  <si>
    <r>
      <t>1.</t>
    </r>
    <r>
      <rPr>
        <sz val="11"/>
        <color indexed="8"/>
        <rFont val="宋体"/>
        <family val="3"/>
        <charset val="134"/>
      </rPr>
      <t>其中：</t>
    </r>
    <phoneticPr fontId="12" type="noConversion"/>
  </si>
  <si>
    <r>
      <rPr>
        <sz val="11"/>
        <color indexed="8"/>
        <rFont val="宋体"/>
        <family val="3"/>
        <charset val="134"/>
      </rPr>
      <t>住宅</t>
    </r>
    <phoneticPr fontId="12" type="noConversion"/>
  </si>
  <si>
    <r>
      <rPr>
        <sz val="11"/>
        <color indexed="8"/>
        <rFont val="宋体"/>
        <family val="3"/>
        <charset val="134"/>
      </rPr>
      <t>非住宅</t>
    </r>
    <phoneticPr fontId="12" type="noConversion"/>
  </si>
  <si>
    <r>
      <rPr>
        <sz val="11"/>
        <color indexed="8"/>
        <rFont val="宋体"/>
        <family val="3"/>
        <charset val="134"/>
      </rPr>
      <t>估价对象</t>
    </r>
    <phoneticPr fontId="12" type="noConversion"/>
  </si>
  <si>
    <r>
      <rPr>
        <sz val="11"/>
        <color indexed="8"/>
        <rFont val="宋体"/>
        <family val="3"/>
        <charset val="134"/>
      </rPr>
      <t>地上</t>
    </r>
    <phoneticPr fontId="12" type="noConversion"/>
  </si>
  <si>
    <r>
      <rPr>
        <b/>
        <sz val="11"/>
        <color indexed="8"/>
        <rFont val="宋体"/>
        <family val="3"/>
        <charset val="134"/>
      </rPr>
      <t>建筑面积</t>
    </r>
    <phoneticPr fontId="15" type="noConversion"/>
  </si>
  <si>
    <r>
      <rPr>
        <sz val="11"/>
        <color indexed="8"/>
        <rFont val="宋体"/>
        <family val="3"/>
        <charset val="134"/>
      </rPr>
      <t>自定义容积率</t>
    </r>
    <phoneticPr fontId="12" type="noConversion"/>
  </si>
  <si>
    <r>
      <t>2.</t>
    </r>
    <r>
      <rPr>
        <sz val="11"/>
        <color indexed="8"/>
        <rFont val="宋体"/>
        <family val="3"/>
        <charset val="134"/>
      </rPr>
      <t>其中：</t>
    </r>
    <phoneticPr fontId="12" type="noConversion"/>
  </si>
  <si>
    <r>
      <rPr>
        <sz val="11"/>
        <color indexed="8"/>
        <rFont val="宋体"/>
        <family val="3"/>
        <charset val="134"/>
      </rPr>
      <t>计出让部分</t>
    </r>
    <phoneticPr fontId="15" type="noConversion"/>
  </si>
  <si>
    <r>
      <rPr>
        <sz val="11"/>
        <color indexed="8"/>
        <rFont val="宋体"/>
        <family val="3"/>
        <charset val="134"/>
      </rPr>
      <t>地上经营性用途</t>
    </r>
    <phoneticPr fontId="12" type="noConversion"/>
  </si>
  <si>
    <r>
      <rPr>
        <sz val="11"/>
        <color indexed="8"/>
        <rFont val="宋体"/>
        <family val="3"/>
        <charset val="134"/>
      </rPr>
      <t>地上其他</t>
    </r>
    <phoneticPr fontId="12" type="noConversion"/>
  </si>
  <si>
    <r>
      <rPr>
        <sz val="11"/>
        <color indexed="8"/>
        <rFont val="宋体"/>
        <family val="3"/>
        <charset val="134"/>
      </rPr>
      <t>地下办公（含物业）</t>
    </r>
    <phoneticPr fontId="12" type="noConversion"/>
  </si>
  <si>
    <r>
      <rPr>
        <sz val="11"/>
        <color indexed="8"/>
        <rFont val="宋体"/>
        <family val="3"/>
        <charset val="134"/>
      </rPr>
      <t>地下仓储</t>
    </r>
    <phoneticPr fontId="12" type="noConversion"/>
  </si>
  <si>
    <r>
      <rPr>
        <sz val="11"/>
        <color indexed="8"/>
        <rFont val="宋体"/>
        <family val="3"/>
        <charset val="134"/>
      </rPr>
      <t>地下车库（除商业、办公）</t>
    </r>
    <phoneticPr fontId="12" type="noConversion"/>
  </si>
  <si>
    <r>
      <rPr>
        <sz val="11"/>
        <color indexed="8"/>
        <rFont val="宋体"/>
        <family val="3"/>
        <charset val="134"/>
      </rPr>
      <t>小计</t>
    </r>
    <phoneticPr fontId="12"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</si>
  <si>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</si>
  <si>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</si>
  <si>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5" type="noConversion"/>
  </si>
  <si>
    <r>
      <rPr>
        <b/>
        <sz val="11"/>
        <rFont val="宋体"/>
        <family val="3"/>
        <charset val="134"/>
      </rPr>
      <t>建筑面积</t>
    </r>
    <phoneticPr fontId="15" type="noConversion"/>
  </si>
  <si>
    <r>
      <rPr>
        <sz val="11"/>
        <color indexed="8"/>
        <rFont val="宋体"/>
        <family val="3"/>
        <charset val="134"/>
      </rPr>
      <t>地下商业</t>
    </r>
    <phoneticPr fontId="12"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</si>
  <si>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2" type="noConversion"/>
  </si>
  <si>
    <r>
      <rPr>
        <b/>
        <sz val="14"/>
        <color rgb="FFFF0000"/>
        <rFont val="宋体"/>
        <family val="3"/>
        <charset val="134"/>
      </rPr>
      <t>数据汇总表</t>
    </r>
    <phoneticPr fontId="12" type="noConversion"/>
  </si>
  <si>
    <r>
      <rPr>
        <b/>
        <sz val="11"/>
        <color indexed="8"/>
        <rFont val="宋体"/>
        <family val="3"/>
        <charset val="134"/>
      </rPr>
      <t>估价对象</t>
    </r>
    <phoneticPr fontId="12" type="noConversion"/>
  </si>
  <si>
    <r>
      <rPr>
        <b/>
        <sz val="11"/>
        <color indexed="8"/>
        <rFont val="宋体"/>
        <family val="3"/>
        <charset val="134"/>
      </rPr>
      <t>容积率</t>
    </r>
    <phoneticPr fontId="12" type="noConversion"/>
  </si>
  <si>
    <r>
      <rPr>
        <sz val="11"/>
        <color indexed="8"/>
        <rFont val="宋体"/>
        <family val="3"/>
        <charset val="134"/>
      </rPr>
      <t>项目</t>
    </r>
    <phoneticPr fontId="12"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</si>
  <si>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2" type="noConversion"/>
  </si>
  <si>
    <r>
      <rPr>
        <b/>
        <sz val="11"/>
        <color indexed="8"/>
        <rFont val="宋体"/>
        <family val="3"/>
        <charset val="134"/>
      </rPr>
      <t>分摊非经营性用途用房</t>
    </r>
    <phoneticPr fontId="12" type="noConversion"/>
  </si>
  <si>
    <r>
      <t>3.</t>
    </r>
    <r>
      <rPr>
        <sz val="11"/>
        <color indexed="8"/>
        <rFont val="宋体"/>
        <family val="3"/>
        <charset val="134"/>
      </rPr>
      <t>其中：</t>
    </r>
    <phoneticPr fontId="15" type="noConversion"/>
  </si>
  <si>
    <r>
      <rPr>
        <sz val="11"/>
        <color indexed="8"/>
        <rFont val="宋体"/>
        <family val="3"/>
        <charset val="134"/>
      </rPr>
      <t>类别</t>
    </r>
    <phoneticPr fontId="12" type="noConversion"/>
  </si>
  <si>
    <r>
      <rPr>
        <sz val="11"/>
        <color indexed="8"/>
        <rFont val="宋体"/>
        <family val="3"/>
        <charset val="134"/>
      </rPr>
      <t>项目类型</t>
    </r>
    <phoneticPr fontId="12" type="noConversion"/>
  </si>
  <si>
    <r>
      <rPr>
        <b/>
        <sz val="11"/>
        <color indexed="8"/>
        <rFont val="宋体"/>
        <family val="3"/>
        <charset val="134"/>
      </rPr>
      <t>分摊原则：</t>
    </r>
    <phoneticPr fontId="12" type="noConversion"/>
  </si>
  <si>
    <r>
      <rPr>
        <sz val="11"/>
        <color indexed="8"/>
        <rFont val="宋体"/>
        <family val="3"/>
        <charset val="134"/>
      </rPr>
      <t>按面积比例分摊</t>
    </r>
    <phoneticPr fontId="12" type="noConversion"/>
  </si>
  <si>
    <r>
      <rPr>
        <sz val="11"/>
        <color indexed="8"/>
        <rFont val="宋体"/>
        <family val="3"/>
        <charset val="134"/>
      </rPr>
      <t>自定义分摊</t>
    </r>
    <phoneticPr fontId="12" type="noConversion"/>
  </si>
  <si>
    <r>
      <rPr>
        <sz val="11"/>
        <color indexed="8"/>
        <rFont val="宋体"/>
        <family val="3"/>
        <charset val="134"/>
      </rPr>
      <t>面积加总（含分摊非经营）</t>
    </r>
    <phoneticPr fontId="8" type="noConversion"/>
  </si>
  <si>
    <r>
      <rPr>
        <sz val="11"/>
        <rFont val="宋体"/>
        <family val="3"/>
        <charset val="134"/>
      </rPr>
      <t>合计</t>
    </r>
    <phoneticPr fontId="12" type="noConversion"/>
  </si>
  <si>
    <r>
      <rPr>
        <sz val="11"/>
        <color indexed="8"/>
        <rFont val="宋体"/>
        <family val="3"/>
        <charset val="134"/>
      </rPr>
      <t>地上</t>
    </r>
    <phoneticPr fontId="12" type="noConversion"/>
  </si>
  <si>
    <r>
      <rPr>
        <sz val="11"/>
        <color indexed="8"/>
        <rFont val="宋体"/>
        <family val="3"/>
        <charset val="134"/>
      </rPr>
      <t>地下</t>
    </r>
    <phoneticPr fontId="12" type="noConversion"/>
  </si>
  <si>
    <r>
      <rPr>
        <sz val="11"/>
        <color indexed="8"/>
        <rFont val="宋体"/>
        <family val="3"/>
        <charset val="134"/>
      </rPr>
      <t>土地面积</t>
    </r>
    <phoneticPr fontId="12" type="noConversion"/>
  </si>
  <si>
    <r>
      <rPr>
        <sz val="11"/>
        <color indexed="8"/>
        <rFont val="宋体"/>
        <family val="3"/>
        <charset val="134"/>
      </rPr>
      <t>建筑面积</t>
    </r>
    <phoneticPr fontId="12" type="noConversion"/>
  </si>
  <si>
    <r>
      <rPr>
        <sz val="11"/>
        <color indexed="8"/>
        <rFont val="宋体"/>
        <family val="3"/>
        <charset val="134"/>
      </rPr>
      <t>设备</t>
    </r>
    <phoneticPr fontId="12"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</si>
  <si>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2" type="noConversion"/>
  </si>
  <si>
    <r>
      <rPr>
        <sz val="11"/>
        <color indexed="8"/>
        <rFont val="宋体"/>
        <family val="3"/>
        <charset val="134"/>
      </rPr>
      <t>合</t>
    </r>
    <phoneticPr fontId="12"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</si>
  <si>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</si>
  <si>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</si>
  <si>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经营性</t>
    </r>
    <phoneticPr fontId="12" type="noConversion"/>
  </si>
  <si>
    <r>
      <rPr>
        <b/>
        <sz val="11"/>
        <color indexed="8"/>
        <rFont val="宋体"/>
        <family val="3"/>
        <charset val="134"/>
      </rPr>
      <t>小计</t>
    </r>
    <phoneticPr fontId="12" type="noConversion"/>
  </si>
  <si>
    <r>
      <rPr>
        <sz val="11"/>
        <color indexed="8"/>
        <rFont val="宋体"/>
        <family val="3"/>
        <charset val="134"/>
      </rPr>
      <t>非经营性</t>
    </r>
    <phoneticPr fontId="15" type="noConversion"/>
  </si>
  <si>
    <r>
      <rPr>
        <sz val="11"/>
        <color indexed="8"/>
        <rFont val="宋体"/>
        <family val="3"/>
        <charset val="134"/>
      </rPr>
      <t>设备及其他</t>
    </r>
    <phoneticPr fontId="12" type="noConversion"/>
  </si>
  <si>
    <r>
      <rPr>
        <sz val="11"/>
        <color indexed="8"/>
        <rFont val="宋体"/>
        <family val="3"/>
        <charset val="134"/>
      </rPr>
      <t>公共配套及物业（住宅）</t>
    </r>
    <phoneticPr fontId="12" type="noConversion"/>
  </si>
  <si>
    <r>
      <rPr>
        <b/>
        <sz val="11"/>
        <color indexed="8"/>
        <rFont val="宋体"/>
        <family val="3"/>
        <charset val="134"/>
      </rPr>
      <t>合计</t>
    </r>
    <phoneticPr fontId="12" type="noConversion"/>
  </si>
  <si>
    <r>
      <rPr>
        <sz val="11"/>
        <color indexed="8"/>
        <rFont val="宋体"/>
        <family val="3"/>
        <charset val="134"/>
      </rPr>
      <t>住宅用房合计</t>
    </r>
    <phoneticPr fontId="12" type="noConversion"/>
  </si>
  <si>
    <r>
      <rPr>
        <b/>
        <sz val="14"/>
        <color rgb="FFFF0000"/>
        <rFont val="宋体"/>
        <family val="3"/>
        <charset val="134"/>
      </rPr>
      <t>数据取费表</t>
    </r>
    <phoneticPr fontId="8"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</si>
  <si>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8" type="noConversion"/>
  </si>
  <si>
    <r>
      <rPr>
        <b/>
        <sz val="11"/>
        <color indexed="8"/>
        <rFont val="宋体"/>
        <family val="3"/>
        <charset val="134"/>
      </rPr>
      <t>综合取费</t>
    </r>
    <phoneticPr fontId="8" type="noConversion"/>
  </si>
  <si>
    <r>
      <rPr>
        <sz val="11"/>
        <color indexed="8"/>
        <rFont val="宋体"/>
        <family val="3"/>
        <charset val="134"/>
      </rPr>
      <t>土地使用年期</t>
    </r>
    <phoneticPr fontId="8" type="noConversion"/>
  </si>
  <si>
    <r>
      <rPr>
        <sz val="11"/>
        <color indexed="8"/>
        <rFont val="宋体"/>
        <family val="3"/>
        <charset val="134"/>
      </rPr>
      <t>建安费用</t>
    </r>
    <phoneticPr fontId="8"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</si>
  <si>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8" type="noConversion"/>
  </si>
  <si>
    <r>
      <rPr>
        <sz val="11"/>
        <color indexed="8"/>
        <rFont val="宋体"/>
        <family val="3"/>
        <charset val="134"/>
      </rPr>
      <t>租期外</t>
    </r>
    <phoneticPr fontId="8" type="noConversion"/>
  </si>
  <si>
    <r>
      <rPr>
        <sz val="11"/>
        <color indexed="8"/>
        <rFont val="宋体"/>
        <family val="3"/>
        <charset val="134"/>
      </rPr>
      <t>收益期</t>
    </r>
    <phoneticPr fontId="8" type="noConversion"/>
  </si>
  <si>
    <r>
      <rPr>
        <sz val="11"/>
        <color indexed="8"/>
        <rFont val="宋体"/>
        <family val="3"/>
        <charset val="134"/>
      </rPr>
      <t>项目类型</t>
    </r>
    <phoneticPr fontId="9" type="noConversion"/>
  </si>
  <si>
    <r>
      <rPr>
        <sz val="11"/>
        <color indexed="8"/>
        <rFont val="宋体"/>
        <family val="3"/>
        <charset val="134"/>
      </rPr>
      <t>类别</t>
    </r>
    <phoneticPr fontId="8" type="noConversion"/>
  </si>
  <si>
    <r>
      <rPr>
        <sz val="11"/>
        <color indexed="8"/>
        <rFont val="宋体"/>
        <family val="3"/>
        <charset val="134"/>
      </rPr>
      <t>地类判定</t>
    </r>
    <phoneticPr fontId="8" type="noConversion"/>
  </si>
  <si>
    <r>
      <rPr>
        <sz val="11"/>
        <rFont val="宋体"/>
        <family val="3"/>
        <charset val="134"/>
      </rPr>
      <t>法定最高</t>
    </r>
    <r>
      <rPr>
        <sz val="11"/>
        <rFont val="Arial"/>
        <family val="2"/>
      </rPr>
      <t>/</t>
    </r>
    <r>
      <rPr>
        <sz val="11"/>
        <rFont val="宋体"/>
        <family val="3"/>
        <charset val="134"/>
      </rPr>
      <t>出让年限</t>
    </r>
    <phoneticPr fontId="8" type="noConversion"/>
  </si>
  <si>
    <r>
      <rPr>
        <sz val="11"/>
        <color indexed="8"/>
        <rFont val="宋体"/>
        <family val="3"/>
        <charset val="134"/>
      </rPr>
      <t>终止日期</t>
    </r>
    <phoneticPr fontId="8" type="noConversion"/>
  </si>
  <si>
    <r>
      <rPr>
        <sz val="11"/>
        <color indexed="8"/>
        <rFont val="宋体"/>
        <family val="3"/>
        <charset val="134"/>
      </rPr>
      <t>剩余土地使用年限</t>
    </r>
    <phoneticPr fontId="8" type="noConversion"/>
  </si>
  <si>
    <r>
      <rPr>
        <sz val="11"/>
        <color indexed="8"/>
        <rFont val="宋体"/>
        <family val="3"/>
        <charset val="134"/>
      </rPr>
      <t>年期修正系数</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</si>
  <si>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</si>
  <si>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8"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</si>
  <si>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8" type="noConversion"/>
  </si>
  <si>
    <r>
      <rPr>
        <sz val="11"/>
        <color indexed="8"/>
        <rFont val="宋体"/>
        <family val="3"/>
        <charset val="134"/>
      </rPr>
      <t>建筑面积</t>
    </r>
    <phoneticPr fontId="9" type="noConversion"/>
  </si>
  <si>
    <r>
      <rPr>
        <sz val="11"/>
        <color indexed="8"/>
        <rFont val="宋体"/>
        <family val="3"/>
        <charset val="134"/>
      </rPr>
      <t>单方造价</t>
    </r>
    <phoneticPr fontId="9" type="noConversion"/>
  </si>
  <si>
    <r>
      <rPr>
        <sz val="11"/>
        <color indexed="8"/>
        <rFont val="宋体"/>
        <family val="3"/>
        <charset val="134"/>
      </rPr>
      <t>建安总额</t>
    </r>
    <phoneticPr fontId="9" type="noConversion"/>
  </si>
  <si>
    <r>
      <rPr>
        <sz val="11"/>
        <color indexed="8"/>
        <rFont val="宋体"/>
        <family val="3"/>
        <charset val="134"/>
      </rPr>
      <t>在建建安</t>
    </r>
    <phoneticPr fontId="9" type="noConversion"/>
  </si>
  <si>
    <r>
      <rPr>
        <sz val="11"/>
        <color indexed="8"/>
        <rFont val="宋体"/>
        <family val="3"/>
        <charset val="134"/>
      </rPr>
      <t>续建建安</t>
    </r>
    <phoneticPr fontId="9" type="noConversion"/>
  </si>
  <si>
    <r>
      <rPr>
        <sz val="11"/>
        <color indexed="8"/>
        <rFont val="宋体"/>
        <family val="3"/>
        <charset val="134"/>
      </rPr>
      <t>利润</t>
    </r>
    <phoneticPr fontId="8" type="noConversion"/>
  </si>
  <si>
    <r>
      <rPr>
        <sz val="11"/>
        <color indexed="8"/>
        <rFont val="宋体"/>
        <family val="3"/>
        <charset val="134"/>
      </rPr>
      <t>分摊土地面积（经营性）</t>
    </r>
    <phoneticPr fontId="8" type="noConversion"/>
  </si>
  <si>
    <r>
      <rPr>
        <sz val="11"/>
        <color indexed="8"/>
        <rFont val="宋体"/>
        <family val="3"/>
        <charset val="134"/>
      </rPr>
      <t>建筑面积（分摊设备）</t>
    </r>
    <phoneticPr fontId="8" type="noConversion"/>
  </si>
  <si>
    <r>
      <rPr>
        <sz val="11"/>
        <color indexed="8"/>
        <rFont val="宋体"/>
        <family val="3"/>
        <charset val="134"/>
      </rPr>
      <t>总建安（分摊非经营）</t>
    </r>
    <phoneticPr fontId="8" type="noConversion"/>
  </si>
  <si>
    <r>
      <rPr>
        <sz val="11"/>
        <color indexed="8"/>
        <rFont val="宋体"/>
        <family val="3"/>
        <charset val="134"/>
      </rPr>
      <t>租金</t>
    </r>
    <phoneticPr fontId="8" type="noConversion"/>
  </si>
  <si>
    <r>
      <rPr>
        <sz val="11"/>
        <color indexed="8"/>
        <rFont val="宋体"/>
        <family val="3"/>
        <charset val="134"/>
      </rPr>
      <t>年租金增长率</t>
    </r>
    <phoneticPr fontId="8" type="noConversion"/>
  </si>
  <si>
    <r>
      <rPr>
        <sz val="11"/>
        <color indexed="8"/>
        <rFont val="宋体"/>
        <family val="3"/>
        <charset val="134"/>
      </rPr>
      <t>空置率</t>
    </r>
    <phoneticPr fontId="8" type="noConversion"/>
  </si>
  <si>
    <r>
      <rPr>
        <sz val="11"/>
        <color indexed="8"/>
        <rFont val="宋体"/>
        <family val="3"/>
        <charset val="134"/>
      </rPr>
      <t>成新度</t>
    </r>
    <phoneticPr fontId="8"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</si>
  <si>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8" type="noConversion"/>
  </si>
  <si>
    <r>
      <rPr>
        <sz val="11"/>
        <color indexed="8"/>
        <rFont val="宋体"/>
        <family val="3"/>
        <charset val="134"/>
      </rPr>
      <t>剩余租赁期</t>
    </r>
    <phoneticPr fontId="8" type="noConversion"/>
  </si>
  <si>
    <r>
      <rPr>
        <sz val="11"/>
        <color indexed="8"/>
        <rFont val="宋体"/>
        <family val="3"/>
        <charset val="134"/>
      </rPr>
      <t>租赁期外收益期</t>
    </r>
    <phoneticPr fontId="8"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</si>
  <si>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8"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</si>
  <si>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8"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</si>
  <si>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8" type="noConversion"/>
  </si>
  <si>
    <r>
      <rPr>
        <sz val="11"/>
        <color indexed="8"/>
        <rFont val="宋体"/>
        <family val="3"/>
        <charset val="134"/>
      </rPr>
      <t>维修费率</t>
    </r>
    <phoneticPr fontId="8" type="noConversion"/>
  </si>
  <si>
    <r>
      <rPr>
        <sz val="11"/>
        <color indexed="8"/>
        <rFont val="宋体"/>
        <family val="3"/>
        <charset val="134"/>
      </rPr>
      <t>保险费率</t>
    </r>
    <phoneticPr fontId="8" type="noConversion"/>
  </si>
  <si>
    <r>
      <rPr>
        <sz val="11"/>
        <color indexed="8"/>
        <rFont val="宋体"/>
        <family val="3"/>
        <charset val="134"/>
      </rPr>
      <t>管理费率</t>
    </r>
    <phoneticPr fontId="8" type="noConversion"/>
  </si>
  <si>
    <r>
      <rPr>
        <sz val="11"/>
        <color indexed="8"/>
        <rFont val="宋体"/>
        <family val="3"/>
        <charset val="134"/>
      </rPr>
      <t>请选择所对应的收益法</t>
    </r>
    <phoneticPr fontId="8" type="noConversion"/>
  </si>
  <si>
    <r>
      <rPr>
        <sz val="11"/>
        <color indexed="8"/>
        <rFont val="宋体"/>
        <family val="3"/>
        <charset val="134"/>
      </rPr>
      <t>收益法结果</t>
    </r>
    <phoneticPr fontId="8" type="noConversion"/>
  </si>
  <si>
    <r>
      <rPr>
        <sz val="11"/>
        <color indexed="8"/>
        <rFont val="宋体"/>
        <family val="3"/>
        <charset val="134"/>
      </rPr>
      <t>辅助计算</t>
    </r>
    <phoneticPr fontId="8" type="noConversion"/>
  </si>
  <si>
    <r>
      <rPr>
        <sz val="11"/>
        <color indexed="8"/>
        <rFont val="宋体"/>
        <family val="3"/>
        <charset val="134"/>
      </rPr>
      <t>在建建安（分摊非经营）</t>
    </r>
    <phoneticPr fontId="8" type="noConversion"/>
  </si>
  <si>
    <r>
      <rPr>
        <sz val="11"/>
        <color indexed="8"/>
        <rFont val="宋体"/>
        <family val="3"/>
        <charset val="134"/>
      </rPr>
      <t>续建建安（分摊非经营）</t>
    </r>
    <phoneticPr fontId="8"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</si>
  <si>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</si>
  <si>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</si>
  <si>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8" type="noConversion"/>
  </si>
  <si>
    <r>
      <rPr>
        <sz val="11"/>
        <color indexed="8"/>
        <rFont val="宋体"/>
        <family val="3"/>
        <charset val="134"/>
      </rPr>
      <t>公共配套</t>
    </r>
  </si>
  <si>
    <r>
      <rPr>
        <b/>
        <sz val="11"/>
        <color indexed="8"/>
        <rFont val="宋体"/>
        <family val="3"/>
        <charset val="134"/>
      </rPr>
      <t>合计</t>
    </r>
    <phoneticPr fontId="9" type="noConversion"/>
  </si>
  <si>
    <r>
      <rPr>
        <b/>
        <sz val="11"/>
        <color indexed="8"/>
        <rFont val="宋体"/>
        <family val="3"/>
        <charset val="134"/>
      </rPr>
      <t>开发期</t>
    </r>
    <phoneticPr fontId="8" type="noConversion"/>
  </si>
  <si>
    <r>
      <rPr>
        <sz val="11"/>
        <rFont val="宋体"/>
        <family val="3"/>
        <charset val="134"/>
      </rPr>
      <t>土地开发期</t>
    </r>
  </si>
  <si>
    <r>
      <rPr>
        <sz val="11"/>
        <color indexed="8"/>
        <rFont val="宋体"/>
        <family val="3"/>
        <charset val="134"/>
      </rPr>
      <t>默认为已完成的土地开发期</t>
    </r>
    <phoneticPr fontId="8" type="noConversion"/>
  </si>
  <si>
    <r>
      <rPr>
        <sz val="11"/>
        <rFont val="宋体"/>
        <family val="3"/>
        <charset val="134"/>
      </rPr>
      <t>建设期</t>
    </r>
    <phoneticPr fontId="9" type="noConversion"/>
  </si>
  <si>
    <r>
      <rPr>
        <sz val="11"/>
        <color indexed="8"/>
        <rFont val="宋体"/>
        <family val="3"/>
        <charset val="134"/>
      </rPr>
      <t>包含未完成的红线外市政工程时间（如现状三通，开发完成后七通）</t>
    </r>
    <phoneticPr fontId="8" type="noConversion"/>
  </si>
  <si>
    <r>
      <rPr>
        <sz val="11"/>
        <color indexed="8"/>
        <rFont val="宋体"/>
        <family val="3"/>
        <charset val="134"/>
      </rPr>
      <t>已建工期</t>
    </r>
    <phoneticPr fontId="9" type="noConversion"/>
  </si>
  <si>
    <r>
      <rPr>
        <sz val="11"/>
        <rFont val="宋体"/>
        <family val="3"/>
        <charset val="134"/>
      </rPr>
      <t>项目开发期</t>
    </r>
    <phoneticPr fontId="9" type="noConversion"/>
  </si>
  <si>
    <r>
      <rPr>
        <sz val="11"/>
        <color indexed="8"/>
        <rFont val="宋体"/>
        <family val="3"/>
        <charset val="134"/>
      </rPr>
      <t>项目已运行</t>
    </r>
    <phoneticPr fontId="9" type="noConversion"/>
  </si>
  <si>
    <r>
      <rPr>
        <sz val="11"/>
        <rFont val="宋体"/>
        <family val="3"/>
        <charset val="134"/>
      </rPr>
      <t>续建工期</t>
    </r>
    <phoneticPr fontId="9" type="noConversion"/>
  </si>
  <si>
    <r>
      <rPr>
        <b/>
        <sz val="11"/>
        <color indexed="8"/>
        <rFont val="宋体"/>
        <family val="3"/>
        <charset val="134"/>
      </rPr>
      <t>其他取费</t>
    </r>
    <phoneticPr fontId="8" type="noConversion"/>
  </si>
  <si>
    <r>
      <rPr>
        <sz val="11"/>
        <color indexed="8"/>
        <rFont val="宋体"/>
        <family val="3"/>
        <charset val="134"/>
      </rPr>
      <t>取值</t>
    </r>
    <phoneticPr fontId="8" type="noConversion"/>
  </si>
  <si>
    <r>
      <rPr>
        <sz val="11"/>
        <color indexed="8"/>
        <rFont val="宋体"/>
        <family val="3"/>
        <charset val="134"/>
      </rPr>
      <t>备注</t>
    </r>
    <phoneticPr fontId="8"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</si>
  <si>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8"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</si>
  <si>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8"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</si>
  <si>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8" type="noConversion"/>
  </si>
  <si>
    <r>
      <rPr>
        <sz val="11"/>
        <color theme="1"/>
        <rFont val="宋体"/>
        <family val="3"/>
        <charset val="134"/>
      </rPr>
      <t>凭票据或默认已缴纳</t>
    </r>
    <phoneticPr fontId="8" type="noConversion"/>
  </si>
  <si>
    <r>
      <rPr>
        <sz val="11"/>
        <color indexed="8"/>
        <rFont val="宋体"/>
        <family val="3"/>
        <charset val="134"/>
      </rPr>
      <t>红线外市政基础设施（总）</t>
    </r>
    <phoneticPr fontId="8" type="noConversion"/>
  </si>
  <si>
    <r>
      <rPr>
        <sz val="11"/>
        <color indexed="8"/>
        <rFont val="宋体"/>
        <family val="3"/>
        <charset val="134"/>
      </rPr>
      <t>红线外市政基础设施（现状）</t>
    </r>
    <phoneticPr fontId="8" type="noConversion"/>
  </si>
  <si>
    <r>
      <rPr>
        <sz val="11"/>
        <color indexed="8"/>
        <rFont val="宋体"/>
        <family val="3"/>
        <charset val="134"/>
      </rPr>
      <t>红线外市政基础设施（待完成）</t>
    </r>
    <phoneticPr fontId="8" type="noConversion"/>
  </si>
  <si>
    <r>
      <rPr>
        <sz val="11"/>
        <color indexed="8"/>
        <rFont val="宋体"/>
        <family val="3"/>
        <charset val="134"/>
      </rPr>
      <t>勘察设计和前期工程费</t>
    </r>
    <phoneticPr fontId="8" type="noConversion"/>
  </si>
  <si>
    <r>
      <rPr>
        <sz val="10"/>
        <color theme="1"/>
        <rFont val="宋体"/>
        <family val="3"/>
        <charset val="134"/>
      </rPr>
      <t>范围：</t>
    </r>
    <r>
      <rPr>
        <sz val="10"/>
        <color theme="1"/>
        <rFont val="Arial"/>
        <family val="2"/>
      </rPr>
      <t>3%-5%</t>
    </r>
    <phoneticPr fontId="8" type="noConversion"/>
  </si>
  <si>
    <r>
      <rPr>
        <sz val="11"/>
        <color indexed="8"/>
        <rFont val="宋体"/>
        <family val="3"/>
        <charset val="134"/>
      </rPr>
      <t>公共配套设施费用</t>
    </r>
    <phoneticPr fontId="8" type="noConversion"/>
  </si>
  <si>
    <r>
      <rPr>
        <sz val="10"/>
        <color theme="1"/>
        <rFont val="宋体"/>
        <family val="3"/>
        <charset val="134"/>
      </rPr>
      <t>范围：</t>
    </r>
    <r>
      <rPr>
        <sz val="10"/>
        <color theme="1"/>
        <rFont val="Arial"/>
        <family val="2"/>
      </rPr>
      <t>0-10%</t>
    </r>
    <phoneticPr fontId="8" type="noConversion"/>
  </si>
  <si>
    <r>
      <rPr>
        <sz val="11"/>
        <color indexed="8"/>
        <rFont val="宋体"/>
        <family val="3"/>
        <charset val="134"/>
      </rPr>
      <t>非住宅项目及用公共配套计算实为</t>
    </r>
    <r>
      <rPr>
        <sz val="11"/>
        <color indexed="8"/>
        <rFont val="Arial"/>
        <family val="2"/>
      </rPr>
      <t>0</t>
    </r>
    <phoneticPr fontId="8" type="noConversion"/>
  </si>
  <si>
    <r>
      <rPr>
        <sz val="11"/>
        <color indexed="8"/>
        <rFont val="宋体"/>
        <family val="3"/>
        <charset val="134"/>
      </rPr>
      <t>红线内市政基础设施</t>
    </r>
    <phoneticPr fontId="8" type="noConversion"/>
  </si>
  <si>
    <r>
      <rPr>
        <sz val="10"/>
        <color theme="1"/>
        <rFont val="宋体"/>
        <family val="3"/>
        <charset val="134"/>
      </rPr>
      <t>变化</t>
    </r>
    <phoneticPr fontId="8" type="noConversion"/>
  </si>
  <si>
    <r>
      <rPr>
        <sz val="11"/>
        <color indexed="8"/>
        <rFont val="宋体"/>
        <family val="3"/>
        <charset val="134"/>
      </rPr>
      <t>建造成本中相关税费</t>
    </r>
    <phoneticPr fontId="8" type="noConversion"/>
  </si>
  <si>
    <r>
      <rPr>
        <sz val="10"/>
        <color theme="1"/>
        <rFont val="宋体"/>
        <family val="3"/>
        <charset val="134"/>
      </rPr>
      <t>定值：</t>
    </r>
    <r>
      <rPr>
        <sz val="10"/>
        <color theme="1"/>
        <rFont val="Arial"/>
        <family val="2"/>
      </rPr>
      <t>1.5%</t>
    </r>
    <phoneticPr fontId="8" type="noConversion"/>
  </si>
  <si>
    <r>
      <rPr>
        <sz val="11"/>
        <color indexed="8"/>
        <rFont val="宋体"/>
        <family val="3"/>
        <charset val="134"/>
      </rPr>
      <t>管理费用</t>
    </r>
    <phoneticPr fontId="8" type="noConversion"/>
  </si>
  <si>
    <r>
      <rPr>
        <sz val="10"/>
        <color theme="1"/>
        <rFont val="宋体"/>
        <family val="3"/>
        <charset val="134"/>
      </rPr>
      <t>范围：</t>
    </r>
    <r>
      <rPr>
        <sz val="10"/>
        <color theme="1"/>
        <rFont val="Arial"/>
        <family val="2"/>
      </rPr>
      <t>1%-3%</t>
    </r>
    <phoneticPr fontId="8" type="noConversion"/>
  </si>
  <si>
    <r>
      <rPr>
        <sz val="11"/>
        <color indexed="8"/>
        <rFont val="宋体"/>
        <family val="3"/>
        <charset val="134"/>
      </rPr>
      <t>销售费用</t>
    </r>
    <phoneticPr fontId="8" type="noConversion"/>
  </si>
  <si>
    <r>
      <rPr>
        <sz val="11"/>
        <color indexed="8"/>
        <rFont val="宋体"/>
        <family val="3"/>
        <charset val="134"/>
      </rPr>
      <t>一年期存款利率</t>
    </r>
    <phoneticPr fontId="8" type="noConversion"/>
  </si>
  <si>
    <r>
      <rPr>
        <sz val="11"/>
        <color indexed="8"/>
        <rFont val="宋体"/>
        <family val="3"/>
        <charset val="134"/>
      </rPr>
      <t>贷款利息</t>
    </r>
    <phoneticPr fontId="8"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</si>
  <si>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8"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</si>
  <si>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8" type="noConversion"/>
  </si>
  <si>
    <r>
      <rPr>
        <sz val="11"/>
        <color indexed="8"/>
        <rFont val="宋体"/>
        <family val="3"/>
        <charset val="134"/>
      </rPr>
      <t>增值税</t>
    </r>
    <phoneticPr fontId="8" type="noConversion"/>
  </si>
  <si>
    <r>
      <rPr>
        <sz val="11"/>
        <color indexed="8"/>
        <rFont val="宋体"/>
        <family val="3"/>
        <charset val="134"/>
      </rPr>
      <t>附加税合计</t>
    </r>
    <phoneticPr fontId="8" type="noConversion"/>
  </si>
  <si>
    <r>
      <rPr>
        <sz val="11"/>
        <color indexed="8"/>
        <rFont val="宋体"/>
        <family val="3"/>
        <charset val="134"/>
      </rPr>
      <t>城市维护建设税</t>
    </r>
    <phoneticPr fontId="8"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</si>
  <si>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8" type="noConversion"/>
  </si>
  <si>
    <r>
      <rPr>
        <sz val="11"/>
        <color indexed="8"/>
        <rFont val="宋体"/>
        <family val="3"/>
        <charset val="134"/>
      </rPr>
      <t>教育费附加</t>
    </r>
    <phoneticPr fontId="8" type="noConversion"/>
  </si>
  <si>
    <r>
      <rPr>
        <sz val="11"/>
        <color theme="1"/>
        <rFont val="宋体"/>
        <family val="3"/>
        <charset val="134"/>
      </rPr>
      <t>北京：</t>
    </r>
    <r>
      <rPr>
        <sz val="11"/>
        <color theme="1"/>
        <rFont val="Arial"/>
        <family val="2"/>
      </rPr>
      <t>3%</t>
    </r>
    <phoneticPr fontId="8" type="noConversion"/>
  </si>
  <si>
    <r>
      <rPr>
        <sz val="11"/>
        <color indexed="8"/>
        <rFont val="宋体"/>
        <family val="3"/>
        <charset val="134"/>
      </rPr>
      <t>地方教育费附加</t>
    </r>
    <phoneticPr fontId="8" type="noConversion"/>
  </si>
  <si>
    <r>
      <rPr>
        <sz val="11"/>
        <color theme="1"/>
        <rFont val="宋体"/>
        <family val="3"/>
        <charset val="134"/>
      </rPr>
      <t>北京：</t>
    </r>
    <r>
      <rPr>
        <sz val="11"/>
        <color theme="1"/>
        <rFont val="Arial"/>
        <family val="2"/>
      </rPr>
      <t>2%</t>
    </r>
    <phoneticPr fontId="8" type="noConversion"/>
  </si>
  <si>
    <r>
      <rPr>
        <sz val="11"/>
        <color indexed="8"/>
        <rFont val="宋体"/>
        <family val="3"/>
        <charset val="134"/>
      </rPr>
      <t>其他税种</t>
    </r>
    <phoneticPr fontId="8" type="noConversion"/>
  </si>
  <si>
    <r>
      <rPr>
        <sz val="11"/>
        <color theme="1"/>
        <rFont val="宋体"/>
        <family val="3"/>
        <charset val="134"/>
      </rPr>
      <t>请录依据文件名称：</t>
    </r>
    <phoneticPr fontId="8" type="noConversion"/>
  </si>
  <si>
    <r>
      <rPr>
        <sz val="11"/>
        <color indexed="8"/>
        <rFont val="宋体"/>
        <family val="3"/>
        <charset val="134"/>
      </rPr>
      <t>契税</t>
    </r>
    <phoneticPr fontId="8" type="noConversion"/>
  </si>
  <si>
    <r>
      <rPr>
        <sz val="11"/>
        <color indexed="8"/>
        <rFont val="宋体"/>
        <family val="3"/>
        <charset val="134"/>
      </rPr>
      <t>北京：</t>
    </r>
    <r>
      <rPr>
        <sz val="11"/>
        <color indexed="8"/>
        <rFont val="Arial"/>
        <family val="2"/>
      </rPr>
      <t>3%</t>
    </r>
    <phoneticPr fontId="8" type="noConversion"/>
  </si>
  <si>
    <r>
      <rPr>
        <sz val="11"/>
        <color indexed="8"/>
        <rFont val="宋体"/>
        <family val="3"/>
        <charset val="134"/>
      </rPr>
      <t>印花税</t>
    </r>
    <phoneticPr fontId="8" type="noConversion"/>
  </si>
  <si>
    <r>
      <rPr>
        <sz val="11"/>
        <color indexed="8"/>
        <rFont val="宋体"/>
        <family val="3"/>
        <charset val="134"/>
      </rPr>
      <t>北京：</t>
    </r>
    <r>
      <rPr>
        <sz val="11"/>
        <color indexed="8"/>
        <rFont val="Arial"/>
        <family val="2"/>
      </rPr>
      <t>0.05%</t>
    </r>
    <phoneticPr fontId="8"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</si>
  <si>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8"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</si>
  <si>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8" type="noConversion"/>
  </si>
  <si>
    <r>
      <rPr>
        <sz val="11"/>
        <color indexed="8"/>
        <rFont val="宋体"/>
        <family val="3"/>
        <charset val="134"/>
      </rPr>
      <t>土地使用税</t>
    </r>
    <phoneticPr fontId="8" type="noConversion"/>
  </si>
  <si>
    <r>
      <rPr>
        <sz val="11"/>
        <color indexed="8"/>
        <rFont val="宋体"/>
        <family val="3"/>
        <charset val="134"/>
      </rPr>
      <t>城镇土地纳税等级分级范围</t>
    </r>
    <phoneticPr fontId="8" type="noConversion"/>
  </si>
  <si>
    <r>
      <rPr>
        <sz val="11"/>
        <color indexed="8"/>
        <rFont val="宋体"/>
        <family val="3"/>
        <charset val="134"/>
      </rPr>
      <t>北京</t>
    </r>
    <phoneticPr fontId="8" type="noConversion"/>
  </si>
  <si>
    <r>
      <rPr>
        <sz val="11"/>
        <color indexed="10"/>
        <rFont val="宋体"/>
        <family val="3"/>
        <charset val="134"/>
      </rPr>
      <t>其他省市请录依据文件名称：</t>
    </r>
    <phoneticPr fontId="8" type="noConversion"/>
  </si>
  <si>
    <r>
      <rPr>
        <sz val="11"/>
        <color indexed="8"/>
        <rFont val="宋体"/>
        <family val="3"/>
        <charset val="134"/>
      </rPr>
      <t>一级</t>
    </r>
    <phoneticPr fontId="8" type="noConversion"/>
  </si>
  <si>
    <r>
      <rPr>
        <sz val="11"/>
        <color indexed="8"/>
        <rFont val="宋体"/>
        <family val="3"/>
        <charset val="134"/>
      </rPr>
      <t>二级</t>
    </r>
    <phoneticPr fontId="8" type="noConversion"/>
  </si>
  <si>
    <r>
      <rPr>
        <sz val="11"/>
        <color indexed="8"/>
        <rFont val="宋体"/>
        <family val="3"/>
        <charset val="134"/>
      </rPr>
      <t>三级</t>
    </r>
    <phoneticPr fontId="8" type="noConversion"/>
  </si>
  <si>
    <r>
      <rPr>
        <sz val="11"/>
        <color indexed="8"/>
        <rFont val="宋体"/>
        <family val="3"/>
        <charset val="134"/>
      </rPr>
      <t>四级</t>
    </r>
    <phoneticPr fontId="8" type="noConversion"/>
  </si>
  <si>
    <r>
      <rPr>
        <sz val="11"/>
        <color indexed="8"/>
        <rFont val="宋体"/>
        <family val="3"/>
        <charset val="134"/>
      </rPr>
      <t>五级</t>
    </r>
    <phoneticPr fontId="8" type="noConversion"/>
  </si>
  <si>
    <r>
      <rPr>
        <sz val="11"/>
        <color indexed="8"/>
        <rFont val="宋体"/>
        <family val="3"/>
        <charset val="134"/>
      </rPr>
      <t>六级</t>
    </r>
    <phoneticPr fontId="8" type="noConversion"/>
  </si>
  <si>
    <r>
      <rPr>
        <sz val="11"/>
        <color indexed="8"/>
        <rFont val="宋体"/>
        <family val="3"/>
        <charset val="134"/>
      </rPr>
      <t>七级</t>
    </r>
    <phoneticPr fontId="8" type="noConversion"/>
  </si>
  <si>
    <r>
      <rPr>
        <sz val="11"/>
        <color indexed="8"/>
        <rFont val="宋体"/>
        <family val="3"/>
        <charset val="134"/>
      </rPr>
      <t>八级</t>
    </r>
    <phoneticPr fontId="8" type="noConversion"/>
  </si>
  <si>
    <r>
      <rPr>
        <sz val="11"/>
        <color indexed="8"/>
        <rFont val="宋体"/>
        <family val="3"/>
        <charset val="134"/>
      </rPr>
      <t>九级</t>
    </r>
    <phoneticPr fontId="8" type="noConversion"/>
  </si>
  <si>
    <r>
      <rPr>
        <sz val="11"/>
        <color indexed="8"/>
        <rFont val="宋体"/>
        <family val="3"/>
        <charset val="134"/>
      </rPr>
      <t>十级</t>
    </r>
    <phoneticPr fontId="8" type="noConversion"/>
  </si>
  <si>
    <r>
      <rPr>
        <b/>
        <sz val="14"/>
        <color indexed="10"/>
        <rFont val="宋体"/>
        <family val="3"/>
        <charset val="134"/>
      </rPr>
      <t>房地产修正因素</t>
    </r>
    <phoneticPr fontId="8" type="noConversion"/>
  </si>
  <si>
    <r>
      <rPr>
        <b/>
        <sz val="11"/>
        <color indexed="8"/>
        <rFont val="宋体"/>
        <family val="3"/>
        <charset val="134"/>
      </rPr>
      <t>住宅、办公及商业</t>
    </r>
    <phoneticPr fontId="33" type="noConversion"/>
  </si>
  <si>
    <r>
      <rPr>
        <b/>
        <sz val="11"/>
        <color indexed="8"/>
        <rFont val="宋体"/>
        <family val="3"/>
        <charset val="134"/>
      </rPr>
      <t>工业</t>
    </r>
    <phoneticPr fontId="33" type="noConversion"/>
  </si>
  <si>
    <r>
      <rPr>
        <b/>
        <sz val="11"/>
        <color indexed="8"/>
        <rFont val="宋体"/>
        <family val="3"/>
        <charset val="134"/>
      </rPr>
      <t>区位状况</t>
    </r>
    <phoneticPr fontId="3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</si>
  <si>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</si>
  <si>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</si>
  <si>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</si>
  <si>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6" type="noConversion"/>
  </si>
  <si>
    <r>
      <rPr>
        <sz val="11"/>
        <color indexed="8"/>
        <rFont val="宋体"/>
        <family val="3"/>
        <charset val="134"/>
      </rPr>
      <t>商业繁华度</t>
    </r>
    <phoneticPr fontId="3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</si>
  <si>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30" type="noConversion"/>
  </si>
  <si>
    <r>
      <rPr>
        <sz val="11"/>
        <color indexed="8"/>
        <rFont val="宋体"/>
        <family val="3"/>
        <charset val="134"/>
      </rPr>
      <t>交通便捷度</t>
    </r>
    <phoneticPr fontId="34" type="noConversion"/>
  </si>
  <si>
    <r>
      <rPr>
        <sz val="11"/>
        <color theme="9" tint="-0.249977111117893"/>
        <rFont val="宋体"/>
        <family val="3"/>
        <charset val="134"/>
      </rPr>
      <t>估价对象周边道路状况、公共交通通达情况、停车便捷程度，综合评价交通便捷度较好</t>
    </r>
    <phoneticPr fontId="46" type="noConversion"/>
  </si>
  <si>
    <r>
      <rPr>
        <sz val="11"/>
        <color indexed="8"/>
        <rFont val="宋体"/>
        <family val="3"/>
        <charset val="134"/>
      </rPr>
      <t>办公集聚程度</t>
    </r>
    <phoneticPr fontId="3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</si>
  <si>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0" type="noConversion"/>
  </si>
  <si>
    <r>
      <rPr>
        <sz val="11"/>
        <color indexed="8"/>
        <rFont val="宋体"/>
        <family val="3"/>
        <charset val="134"/>
      </rPr>
      <t>公共配套设施</t>
    </r>
    <phoneticPr fontId="30" type="noConversion"/>
  </si>
  <si>
    <r>
      <rPr>
        <sz val="11"/>
        <color theme="9" tint="-0.249977111117893"/>
        <rFont val="宋体"/>
        <family val="3"/>
        <charset val="134"/>
      </rPr>
      <t>估价对象所在区域公共配套设施齐备情况</t>
    </r>
    <phoneticPr fontId="46" type="noConversion"/>
  </si>
  <si>
    <r>
      <rPr>
        <sz val="11"/>
        <color indexed="8"/>
        <rFont val="宋体"/>
        <family val="3"/>
        <charset val="134"/>
      </rPr>
      <t>交通便捷度</t>
    </r>
  </si>
  <si>
    <r>
      <rPr>
        <sz val="11"/>
        <color indexed="8"/>
        <rFont val="宋体"/>
        <family val="3"/>
        <charset val="134"/>
      </rPr>
      <t>基础设施水平</t>
    </r>
    <phoneticPr fontId="30" type="noConversion"/>
  </si>
  <si>
    <r>
      <rPr>
        <sz val="11"/>
        <color theme="9" tint="-0.249977111117893"/>
        <rFont val="宋体"/>
        <family val="3"/>
        <charset val="134"/>
      </rPr>
      <t>估价对象所在区域基础设施水平</t>
    </r>
    <phoneticPr fontId="30" type="noConversion"/>
  </si>
  <si>
    <r>
      <rPr>
        <sz val="11"/>
        <color indexed="8"/>
        <rFont val="宋体"/>
        <family val="3"/>
        <charset val="134"/>
      </rPr>
      <t>环境状况</t>
    </r>
    <phoneticPr fontId="34" type="noConversion"/>
  </si>
  <si>
    <r>
      <rPr>
        <sz val="11"/>
        <color theme="9" tint="-0.249977111117893"/>
        <rFont val="宋体"/>
        <family val="3"/>
        <charset val="134"/>
      </rPr>
      <t>该园区内是否有污染型企业，绿化情况，卫生条件，整体环境状况判断</t>
    </r>
    <phoneticPr fontId="46"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</si>
  <si>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</si>
  <si>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6" type="noConversion"/>
  </si>
  <si>
    <r>
      <rPr>
        <sz val="11"/>
        <color indexed="8"/>
        <rFont val="宋体"/>
        <family val="3"/>
        <charset val="134"/>
      </rPr>
      <t>毗邻道路的类型与等级</t>
    </r>
    <phoneticPr fontId="34" type="noConversion"/>
  </si>
  <si>
    <r>
      <rPr>
        <b/>
        <sz val="14"/>
        <color indexed="10"/>
        <rFont val="宋体"/>
        <family val="3"/>
        <charset val="134"/>
      </rPr>
      <t>土地修正因素</t>
    </r>
    <phoneticPr fontId="8" type="noConversion"/>
  </si>
  <si>
    <r>
      <rPr>
        <b/>
        <sz val="11"/>
        <color indexed="8"/>
        <rFont val="宋体"/>
        <family val="3"/>
        <charset val="134"/>
      </rPr>
      <t>住宅、办公及商业</t>
    </r>
    <phoneticPr fontId="33" type="noConversion"/>
  </si>
  <si>
    <r>
      <rPr>
        <b/>
        <sz val="11"/>
        <color indexed="8"/>
        <rFont val="宋体"/>
        <family val="3"/>
        <charset val="134"/>
      </rPr>
      <t>工业</t>
    </r>
    <phoneticPr fontId="33" type="noConversion"/>
  </si>
  <si>
    <r>
      <rPr>
        <b/>
        <sz val="11"/>
        <color indexed="8"/>
        <rFont val="宋体"/>
        <family val="3"/>
        <charset val="134"/>
      </rPr>
      <t>区位状况</t>
    </r>
    <phoneticPr fontId="34" type="noConversion"/>
  </si>
  <si>
    <r>
      <rPr>
        <b/>
        <sz val="11"/>
        <color indexed="8"/>
        <rFont val="宋体"/>
        <family val="3"/>
        <charset val="134"/>
      </rPr>
      <t>区位状况</t>
    </r>
    <phoneticPr fontId="30" type="noConversion"/>
  </si>
  <si>
    <r>
      <rPr>
        <sz val="11"/>
        <color indexed="8"/>
        <rFont val="宋体"/>
        <family val="3"/>
        <charset val="134"/>
      </rPr>
      <t>产业集聚程度</t>
    </r>
    <phoneticPr fontId="34" type="noConversion"/>
  </si>
  <si>
    <r>
      <rPr>
        <sz val="11"/>
        <color indexed="8"/>
        <rFont val="宋体"/>
        <family val="3"/>
        <charset val="134"/>
      </rPr>
      <t>区域土地利用方向</t>
    </r>
    <phoneticPr fontId="3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</si>
  <si>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</si>
  <si>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</si>
  <si>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30" type="noConversion"/>
  </si>
  <si>
    <r>
      <rPr>
        <sz val="11"/>
        <color indexed="8"/>
        <rFont val="宋体"/>
        <family val="3"/>
        <charset val="134"/>
      </rPr>
      <t>临街状况</t>
    </r>
  </si>
  <si>
    <r>
      <rPr>
        <sz val="11"/>
        <color indexed="8"/>
        <rFont val="宋体"/>
        <family val="3"/>
        <charset val="134"/>
      </rPr>
      <t>土地级别</t>
    </r>
    <phoneticPr fontId="34" type="noConversion"/>
  </si>
  <si>
    <r>
      <rPr>
        <sz val="11"/>
        <color indexed="8"/>
        <rFont val="宋体"/>
        <family val="3"/>
        <charset val="134"/>
      </rPr>
      <t>毗邻道路的类型与等级</t>
    </r>
  </si>
  <si>
    <r>
      <rPr>
        <b/>
        <sz val="14"/>
        <color rgb="FFFF0000"/>
        <rFont val="宋体"/>
        <family val="3"/>
        <charset val="134"/>
      </rPr>
      <t>估价结果（过程）</t>
    </r>
    <phoneticPr fontId="13" type="noConversion"/>
  </si>
  <si>
    <r>
      <rPr>
        <sz val="12"/>
        <color indexed="8"/>
        <rFont val="宋体"/>
        <family val="3"/>
        <charset val="134"/>
      </rPr>
      <t>估价对象状态</t>
    </r>
    <phoneticPr fontId="13"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</si>
  <si>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</si>
  <si>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</si>
  <si>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</si>
  <si>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3"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</si>
  <si>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</si>
  <si>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3"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</si>
  <si>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3"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</si>
  <si>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3"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</si>
  <si>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</si>
  <si>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3"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</si>
  <si>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3"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</si>
  <si>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</si>
  <si>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3"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</si>
  <si>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3"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</si>
  <si>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</si>
  <si>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3"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</si>
  <si>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3"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</si>
  <si>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</si>
  <si>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3"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</si>
  <si>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3"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</si>
  <si>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3" type="noConversion"/>
  </si>
  <si>
    <r>
      <rPr>
        <b/>
        <sz val="11"/>
        <color indexed="8"/>
        <rFont val="宋体"/>
        <family val="3"/>
        <charset val="134"/>
      </rPr>
      <t>分值</t>
    </r>
  </si>
  <si>
    <r>
      <rPr>
        <sz val="10"/>
        <color indexed="8"/>
        <rFont val="宋体"/>
        <family val="3"/>
        <charset val="134"/>
      </rPr>
      <t>含分摊设备建面</t>
    </r>
    <phoneticPr fontId="13" type="noConversion"/>
  </si>
  <si>
    <r>
      <rPr>
        <sz val="10"/>
        <color indexed="8"/>
        <rFont val="宋体"/>
        <family val="3"/>
        <charset val="134"/>
      </rPr>
      <t>用途建面</t>
    </r>
    <phoneticPr fontId="13" type="noConversion"/>
  </si>
  <si>
    <r>
      <rPr>
        <b/>
        <sz val="11"/>
        <color indexed="8"/>
        <rFont val="宋体"/>
        <family val="3"/>
        <charset val="134"/>
      </rPr>
      <t>权重</t>
    </r>
  </si>
  <si>
    <r>
      <rPr>
        <sz val="10"/>
        <color indexed="8"/>
        <rFont val="宋体"/>
        <family val="3"/>
        <charset val="134"/>
      </rPr>
      <t>建筑面积</t>
    </r>
    <phoneticPr fontId="13" type="noConversion"/>
  </si>
  <si>
    <r>
      <rPr>
        <b/>
        <sz val="11"/>
        <color indexed="8"/>
        <rFont val="宋体"/>
        <family val="3"/>
        <charset val="134"/>
      </rPr>
      <t>各方法结果</t>
    </r>
    <phoneticPr fontId="14" type="noConversion"/>
  </si>
  <si>
    <r>
      <rPr>
        <sz val="11"/>
        <color indexed="8"/>
        <rFont val="宋体"/>
        <family val="3"/>
        <charset val="134"/>
      </rPr>
      <t>总价</t>
    </r>
    <phoneticPr fontId="14" type="noConversion"/>
  </si>
  <si>
    <r>
      <rPr>
        <b/>
        <sz val="11"/>
        <color indexed="8"/>
        <rFont val="宋体"/>
        <family val="3"/>
        <charset val="134"/>
      </rPr>
      <t>权重结果</t>
    </r>
    <phoneticPr fontId="14" type="noConversion"/>
  </si>
  <si>
    <r>
      <rPr>
        <sz val="10"/>
        <color indexed="8"/>
        <rFont val="宋体"/>
        <family val="3"/>
        <charset val="134"/>
      </rPr>
      <t>万元</t>
    </r>
    <phoneticPr fontId="13" type="noConversion"/>
  </si>
  <si>
    <r>
      <rPr>
        <sz val="10"/>
        <color indexed="8"/>
        <rFont val="宋体"/>
        <family val="3"/>
        <charset val="134"/>
      </rPr>
      <t>土地面积</t>
    </r>
    <phoneticPr fontId="13" type="noConversion"/>
  </si>
  <si>
    <r>
      <rPr>
        <sz val="11"/>
        <color indexed="8"/>
        <rFont val="宋体"/>
        <family val="3"/>
        <charset val="134"/>
      </rPr>
      <t>楼面单价</t>
    </r>
    <phoneticPr fontId="14"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</si>
  <si>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3" type="noConversion"/>
  </si>
  <si>
    <r>
      <rPr>
        <sz val="11"/>
        <color indexed="8"/>
        <rFont val="宋体"/>
        <family val="3"/>
        <charset val="134"/>
      </rPr>
      <t>地面单价</t>
    </r>
    <phoneticPr fontId="14" type="noConversion"/>
  </si>
  <si>
    <r>
      <rPr>
        <sz val="11"/>
        <color indexed="8"/>
        <rFont val="宋体"/>
        <family val="3"/>
        <charset val="134"/>
      </rPr>
      <t>各方法结果差值</t>
    </r>
    <phoneticPr fontId="13"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</si>
  <si>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3" type="noConversion"/>
  </si>
  <si>
    <r>
      <rPr>
        <sz val="11"/>
        <color rgb="FFFF0000"/>
        <rFont val="宋体"/>
        <family val="3"/>
        <charset val="134"/>
      </rPr>
      <t>扣减项</t>
    </r>
    <phoneticPr fontId="13" type="noConversion"/>
  </si>
  <si>
    <r>
      <rPr>
        <sz val="11"/>
        <color rgb="FFFF0000"/>
        <rFont val="宋体"/>
        <family val="3"/>
        <charset val="134"/>
      </rPr>
      <t>面积</t>
    </r>
    <phoneticPr fontId="13" type="noConversion"/>
  </si>
  <si>
    <r>
      <rPr>
        <sz val="11"/>
        <color rgb="FFFF0000"/>
        <rFont val="宋体"/>
        <family val="3"/>
        <charset val="134"/>
      </rPr>
      <t>单价</t>
    </r>
    <phoneticPr fontId="13" type="noConversion"/>
  </si>
  <si>
    <r>
      <rPr>
        <sz val="11"/>
        <color rgb="FFFF0000"/>
        <rFont val="宋体"/>
        <family val="3"/>
        <charset val="134"/>
      </rPr>
      <t>总值</t>
    </r>
    <phoneticPr fontId="13" type="noConversion"/>
  </si>
  <si>
    <r>
      <rPr>
        <sz val="11"/>
        <color rgb="FFFF0000"/>
        <rFont val="宋体"/>
        <family val="3"/>
        <charset val="134"/>
      </rPr>
      <t>合计</t>
    </r>
    <phoneticPr fontId="13" type="noConversion"/>
  </si>
  <si>
    <r>
      <rPr>
        <b/>
        <sz val="11"/>
        <color indexed="8"/>
        <rFont val="宋体"/>
        <family val="3"/>
        <charset val="134"/>
      </rPr>
      <t>房地产价值</t>
    </r>
    <phoneticPr fontId="13" type="noConversion"/>
  </si>
  <si>
    <r>
      <rPr>
        <b/>
        <sz val="11"/>
        <color indexed="8"/>
        <rFont val="宋体"/>
        <family val="3"/>
        <charset val="134"/>
      </rPr>
      <t>总价</t>
    </r>
  </si>
  <si>
    <r>
      <rPr>
        <b/>
        <sz val="11"/>
        <color indexed="8"/>
        <rFont val="宋体"/>
        <family val="3"/>
        <charset val="134"/>
      </rPr>
      <t>土地与建筑物价值分配原则</t>
    </r>
    <phoneticPr fontId="13" type="noConversion"/>
  </si>
  <si>
    <r>
      <rPr>
        <sz val="10"/>
        <color indexed="8"/>
        <rFont val="宋体"/>
        <family val="3"/>
        <charset val="134"/>
      </rPr>
      <t>自定义比例设置</t>
    </r>
    <phoneticPr fontId="97" type="noConversion"/>
  </si>
  <si>
    <r>
      <rPr>
        <sz val="11"/>
        <color indexed="8"/>
        <rFont val="宋体"/>
        <family val="3"/>
        <charset val="134"/>
      </rPr>
      <t>土地价值</t>
    </r>
    <phoneticPr fontId="13" type="noConversion"/>
  </si>
  <si>
    <r>
      <rPr>
        <sz val="10"/>
        <color indexed="8"/>
        <rFont val="宋体"/>
        <family val="3"/>
        <charset val="134"/>
      </rPr>
      <t>土地价值</t>
    </r>
    <phoneticPr fontId="97" type="noConversion"/>
  </si>
  <si>
    <r>
      <rPr>
        <sz val="11"/>
        <color indexed="8"/>
        <rFont val="宋体"/>
        <family val="3"/>
        <charset val="134"/>
      </rPr>
      <t>建筑物价值</t>
    </r>
    <phoneticPr fontId="13" type="noConversion"/>
  </si>
  <si>
    <r>
      <rPr>
        <sz val="10"/>
        <color indexed="8"/>
        <rFont val="宋体"/>
        <family val="3"/>
        <charset val="134"/>
      </rPr>
      <t>建筑物价值</t>
    </r>
    <phoneticPr fontId="97" type="noConversion"/>
  </si>
  <si>
    <r>
      <rPr>
        <b/>
        <sz val="11"/>
        <color indexed="8"/>
        <rFont val="宋体"/>
        <family val="3"/>
        <charset val="134"/>
      </rPr>
      <t>优先受偿情况</t>
    </r>
    <phoneticPr fontId="13" type="noConversion"/>
  </si>
  <si>
    <r>
      <rPr>
        <sz val="11"/>
        <color indexed="8"/>
        <rFont val="宋体"/>
        <family val="3"/>
        <charset val="134"/>
      </rPr>
      <t>已抵押担保数额</t>
    </r>
    <phoneticPr fontId="13" type="noConversion"/>
  </si>
  <si>
    <r>
      <rPr>
        <sz val="11"/>
        <color indexed="8"/>
        <rFont val="宋体"/>
        <family val="3"/>
        <charset val="134"/>
      </rPr>
      <t>拖欠工程款</t>
    </r>
    <phoneticPr fontId="13" type="noConversion"/>
  </si>
  <si>
    <r>
      <rPr>
        <sz val="11"/>
        <color indexed="8"/>
        <rFont val="宋体"/>
        <family val="3"/>
        <charset val="134"/>
      </rPr>
      <t>其他</t>
    </r>
    <phoneticPr fontId="13" type="noConversion"/>
  </si>
  <si>
    <r>
      <rPr>
        <sz val="11"/>
        <color indexed="8"/>
        <rFont val="宋体"/>
        <family val="3"/>
        <charset val="134"/>
      </rPr>
      <t>补交地价款</t>
    </r>
    <phoneticPr fontId="8" type="noConversion"/>
  </si>
  <si>
    <r>
      <rPr>
        <b/>
        <sz val="11"/>
        <color indexed="8"/>
        <rFont val="宋体"/>
        <family val="3"/>
        <charset val="134"/>
      </rPr>
      <t>补交地价款</t>
    </r>
    <phoneticPr fontId="13" type="noConversion"/>
  </si>
  <si>
    <r>
      <rPr>
        <sz val="11"/>
        <color rgb="FFFF0000"/>
        <rFont val="宋体"/>
        <family val="3"/>
        <charset val="134"/>
      </rPr>
      <t>面积</t>
    </r>
    <phoneticPr fontId="13" type="noConversion"/>
  </si>
  <si>
    <r>
      <rPr>
        <sz val="11"/>
        <color rgb="FFFF0000"/>
        <rFont val="宋体"/>
        <family val="3"/>
        <charset val="134"/>
      </rPr>
      <t>单价</t>
    </r>
    <phoneticPr fontId="13" type="noConversion"/>
  </si>
  <si>
    <r>
      <rPr>
        <sz val="11"/>
        <color rgb="FFFF0000"/>
        <rFont val="宋体"/>
        <family val="3"/>
        <charset val="134"/>
      </rPr>
      <t>税费</t>
    </r>
    <phoneticPr fontId="13" type="noConversion"/>
  </si>
  <si>
    <r>
      <rPr>
        <sz val="11"/>
        <color rgb="FFFF0000"/>
        <rFont val="宋体"/>
        <family val="3"/>
        <charset val="134"/>
      </rPr>
      <t>总值</t>
    </r>
    <phoneticPr fontId="13" type="noConversion"/>
  </si>
  <si>
    <r>
      <t>(</t>
    </r>
    <r>
      <rPr>
        <sz val="10"/>
        <color indexed="8"/>
        <rFont val="宋体"/>
        <family val="3"/>
        <charset val="134"/>
      </rPr>
      <t>列示计算过程</t>
    </r>
    <r>
      <rPr>
        <sz val="10"/>
        <color indexed="8"/>
        <rFont val="Arial"/>
        <family val="2"/>
      </rPr>
      <t>,</t>
    </r>
    <phoneticPr fontId="8" type="noConversion"/>
  </si>
  <si>
    <r>
      <rPr>
        <sz val="10"/>
        <color indexed="8"/>
        <rFont val="宋体"/>
        <family val="3"/>
        <charset val="134"/>
      </rPr>
      <t>不固定格式</t>
    </r>
    <r>
      <rPr>
        <sz val="10"/>
        <color indexed="8"/>
        <rFont val="Arial"/>
        <family val="2"/>
      </rPr>
      <t>)</t>
    </r>
    <phoneticPr fontId="8" type="noConversion"/>
  </si>
  <si>
    <r>
      <rPr>
        <b/>
        <sz val="14"/>
        <color rgb="FFFF0000"/>
        <rFont val="宋体"/>
        <family val="3"/>
        <charset val="134"/>
      </rPr>
      <t>抵押净值计算</t>
    </r>
    <phoneticPr fontId="13"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</si>
  <si>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</si>
  <si>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3" type="noConversion"/>
  </si>
  <si>
    <r>
      <rPr>
        <sz val="10"/>
        <color indexed="8"/>
        <rFont val="宋体"/>
        <family val="3"/>
        <charset val="134"/>
      </rPr>
      <t>按评估值的</t>
    </r>
    <phoneticPr fontId="13" type="noConversion"/>
  </si>
  <si>
    <r>
      <rPr>
        <sz val="10"/>
        <color indexed="8"/>
        <rFont val="宋体"/>
        <family val="3"/>
        <charset val="134"/>
      </rPr>
      <t>计算</t>
    </r>
    <phoneticPr fontId="13" type="noConversion"/>
  </si>
  <si>
    <r>
      <rPr>
        <b/>
        <sz val="10"/>
        <color theme="1"/>
        <rFont val="宋体"/>
        <family val="3"/>
        <charset val="134"/>
      </rPr>
      <t>估价对象基本情况</t>
    </r>
  </si>
  <si>
    <r>
      <rPr>
        <b/>
        <sz val="10"/>
        <color indexed="8"/>
        <rFont val="宋体"/>
        <family val="3"/>
        <charset val="134"/>
      </rPr>
      <t>处置时需缴纳的相关税费</t>
    </r>
    <phoneticPr fontId="13" type="noConversion"/>
  </si>
  <si>
    <r>
      <rPr>
        <b/>
        <sz val="10"/>
        <color theme="1"/>
        <rFont val="宋体"/>
        <family val="3"/>
        <charset val="134"/>
      </rPr>
      <t>估价对象</t>
    </r>
  </si>
  <si>
    <r>
      <rPr>
        <b/>
        <sz val="10"/>
        <color indexed="8"/>
        <rFont val="宋体"/>
        <family val="3"/>
        <charset val="134"/>
      </rPr>
      <t>税（费）种</t>
    </r>
    <phoneticPr fontId="13" type="noConversion"/>
  </si>
  <si>
    <r>
      <rPr>
        <sz val="10"/>
        <color indexed="8"/>
        <rFont val="宋体"/>
        <family val="3"/>
        <charset val="134"/>
      </rPr>
      <t>金额</t>
    </r>
    <phoneticPr fontId="13" type="noConversion"/>
  </si>
  <si>
    <r>
      <rPr>
        <sz val="10"/>
        <color indexed="8"/>
        <rFont val="宋体"/>
        <family val="3"/>
        <charset val="134"/>
      </rPr>
      <t>计算方法</t>
    </r>
    <phoneticPr fontId="13" type="noConversion"/>
  </si>
  <si>
    <r>
      <rPr>
        <b/>
        <sz val="10"/>
        <color indexed="8"/>
        <rFont val="宋体"/>
        <family val="3"/>
        <charset val="134"/>
      </rPr>
      <t>税（费）率</t>
    </r>
    <phoneticPr fontId="13" type="noConversion"/>
  </si>
  <si>
    <r>
      <rPr>
        <sz val="10"/>
        <color indexed="8"/>
        <rFont val="宋体"/>
        <family val="3"/>
        <charset val="134"/>
      </rPr>
      <t>备注</t>
    </r>
    <phoneticPr fontId="13" type="noConversion"/>
  </si>
  <si>
    <r>
      <rPr>
        <b/>
        <sz val="10"/>
        <color theme="1"/>
        <rFont val="宋体"/>
        <family val="3"/>
        <charset val="134"/>
      </rPr>
      <t>价值时点</t>
    </r>
  </si>
  <si>
    <r>
      <t>1.</t>
    </r>
    <r>
      <rPr>
        <sz val="10"/>
        <color indexed="8"/>
        <rFont val="宋体"/>
        <family val="3"/>
        <charset val="134"/>
      </rPr>
      <t>增值税及附加</t>
    </r>
    <phoneticPr fontId="13" type="noConversion"/>
  </si>
  <si>
    <r>
      <rPr>
        <sz val="10"/>
        <color indexed="10"/>
        <rFont val="宋体"/>
        <family val="3"/>
        <charset val="134"/>
      </rPr>
      <t>属于免缴时请录入面缴类别</t>
    </r>
    <phoneticPr fontId="13"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</si>
  <si>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</si>
  <si>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3" type="noConversion"/>
  </si>
  <si>
    <r>
      <rPr>
        <sz val="10"/>
        <color indexed="8"/>
        <rFont val="宋体"/>
        <family val="3"/>
        <charset val="134"/>
      </rPr>
      <t>情况</t>
    </r>
    <r>
      <rPr>
        <sz val="10"/>
        <color indexed="8"/>
        <rFont val="Arial"/>
        <family val="2"/>
      </rPr>
      <t>1</t>
    </r>
    <r>
      <rPr>
        <sz val="10"/>
        <color indexed="8"/>
        <rFont val="宋体"/>
        <family val="3"/>
        <charset val="134"/>
      </rPr>
      <t>：</t>
    </r>
    <phoneticPr fontId="13"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</si>
  <si>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3" type="noConversion"/>
  </si>
  <si>
    <r>
      <rPr>
        <sz val="10"/>
        <color indexed="8"/>
        <rFont val="宋体"/>
        <family val="3"/>
        <charset val="134"/>
      </rPr>
      <t>免征</t>
    </r>
    <phoneticPr fontId="13"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</si>
  <si>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3" type="noConversion"/>
  </si>
  <si>
    <r>
      <rPr>
        <b/>
        <sz val="10"/>
        <color theme="1"/>
        <rFont val="宋体"/>
        <family val="3"/>
        <charset val="134"/>
      </rPr>
      <t>处置时需缴纳的相关税费</t>
    </r>
  </si>
  <si>
    <r>
      <rPr>
        <sz val="10"/>
        <color indexed="8"/>
        <rFont val="宋体"/>
        <family val="3"/>
        <charset val="134"/>
      </rPr>
      <t>个体工商户购买的住宅</t>
    </r>
    <phoneticPr fontId="13"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</si>
  <si>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</si>
  <si>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</si>
  <si>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3"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</si>
  <si>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</si>
  <si>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</si>
  <si>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3"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</si>
  <si>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3" type="noConversion"/>
  </si>
  <si>
    <r>
      <rPr>
        <sz val="10"/>
        <color indexed="8"/>
        <rFont val="宋体"/>
        <family val="3"/>
        <charset val="134"/>
      </rPr>
      <t>全额计税</t>
    </r>
    <phoneticPr fontId="13" type="noConversion"/>
  </si>
  <si>
    <r>
      <rPr>
        <sz val="10"/>
        <color theme="1"/>
        <rFont val="宋体"/>
        <family val="3"/>
        <charset val="134"/>
      </rPr>
      <t>增值税及附加</t>
    </r>
    <phoneticPr fontId="13" type="noConversion"/>
  </si>
  <si>
    <r>
      <rPr>
        <sz val="10"/>
        <color indexed="8"/>
        <rFont val="宋体"/>
        <family val="3"/>
        <charset val="134"/>
      </rPr>
      <t>情况</t>
    </r>
    <r>
      <rPr>
        <sz val="10"/>
        <color indexed="8"/>
        <rFont val="Arial"/>
        <family val="2"/>
      </rPr>
      <t>3</t>
    </r>
    <r>
      <rPr>
        <sz val="10"/>
        <color indexed="8"/>
        <rFont val="宋体"/>
        <family val="3"/>
        <charset val="134"/>
      </rPr>
      <t>：</t>
    </r>
    <phoneticPr fontId="1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</si>
  <si>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3" type="noConversion"/>
  </si>
  <si>
    <r>
      <rPr>
        <sz val="10"/>
        <color theme="1"/>
        <rFont val="宋体"/>
        <family val="3"/>
        <charset val="134"/>
      </rPr>
      <t>印花税</t>
    </r>
    <phoneticPr fontId="13" type="noConversion"/>
  </si>
  <si>
    <r>
      <rPr>
        <sz val="10"/>
        <color indexed="8"/>
        <rFont val="宋体"/>
        <family val="3"/>
        <charset val="134"/>
      </rPr>
      <t>情况</t>
    </r>
    <r>
      <rPr>
        <sz val="10"/>
        <color indexed="8"/>
        <rFont val="Arial"/>
        <family val="2"/>
      </rPr>
      <t>4</t>
    </r>
    <r>
      <rPr>
        <sz val="10"/>
        <color indexed="8"/>
        <rFont val="宋体"/>
        <family val="3"/>
        <charset val="134"/>
      </rPr>
      <t>：</t>
    </r>
    <phoneticPr fontId="1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</si>
  <si>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3" type="noConversion"/>
  </si>
  <si>
    <r>
      <rPr>
        <sz val="10"/>
        <color indexed="8"/>
        <rFont val="宋体"/>
        <family val="3"/>
        <charset val="134"/>
      </rPr>
      <t>差额计税</t>
    </r>
    <phoneticPr fontId="13" type="noConversion"/>
  </si>
  <si>
    <r>
      <rPr>
        <sz val="10"/>
        <color theme="1"/>
        <rFont val="宋体"/>
        <family val="3"/>
        <charset val="134"/>
      </rPr>
      <t>土地增值税</t>
    </r>
    <phoneticPr fontId="13" type="noConversion"/>
  </si>
  <si>
    <r>
      <t>2.</t>
    </r>
    <r>
      <rPr>
        <sz val="10"/>
        <color indexed="8"/>
        <rFont val="宋体"/>
        <family val="3"/>
        <charset val="134"/>
      </rPr>
      <t>印花税</t>
    </r>
    <phoneticPr fontId="13"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</si>
  <si>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3" type="noConversion"/>
  </si>
  <si>
    <r>
      <rPr>
        <sz val="10"/>
        <color indexed="8"/>
        <rFont val="宋体"/>
        <family val="3"/>
        <charset val="134"/>
      </rPr>
      <t>正常</t>
    </r>
  </si>
  <si>
    <r>
      <t>3.</t>
    </r>
    <r>
      <rPr>
        <sz val="10"/>
        <color indexed="8"/>
        <rFont val="宋体"/>
        <family val="3"/>
        <charset val="134"/>
      </rPr>
      <t>土地增值税</t>
    </r>
    <phoneticPr fontId="13"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</si>
  <si>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3" type="noConversion"/>
  </si>
  <si>
    <r>
      <rPr>
        <sz val="10"/>
        <color rgb="FFFF0000"/>
        <rFont val="宋体"/>
        <family val="3"/>
        <charset val="134"/>
      </rPr>
      <t>属于免缴时请录入面缴类别</t>
    </r>
    <phoneticPr fontId="13" type="noConversion"/>
  </si>
  <si>
    <r>
      <rPr>
        <sz val="10"/>
        <color indexed="8"/>
        <rFont val="宋体"/>
        <family val="3"/>
        <charset val="134"/>
      </rPr>
      <t>个人住宅</t>
    </r>
    <phoneticPr fontId="13" type="noConversion"/>
  </si>
  <si>
    <r>
      <rPr>
        <sz val="10"/>
        <color theme="1"/>
        <rFont val="宋体"/>
        <family val="3"/>
        <charset val="134"/>
      </rPr>
      <t>合计</t>
    </r>
    <phoneticPr fontId="13"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</si>
  <si>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</si>
  <si>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3"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</si>
  <si>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</si>
  <si>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</si>
  <si>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3" type="noConversion"/>
  </si>
  <si>
    <r>
      <rPr>
        <sz val="10"/>
        <color indexed="8"/>
        <rFont val="宋体"/>
        <family val="3"/>
        <charset val="134"/>
      </rPr>
      <t>非个人房产</t>
    </r>
  </si>
  <si>
    <r>
      <rPr>
        <sz val="10"/>
        <color theme="1"/>
        <rFont val="宋体"/>
        <family val="3"/>
        <charset val="134"/>
      </rPr>
      <t>抵押净值</t>
    </r>
    <phoneticPr fontId="13" type="noConversion"/>
  </si>
  <si>
    <r>
      <rPr>
        <b/>
        <sz val="10"/>
        <color indexed="8"/>
        <rFont val="宋体"/>
        <family val="3"/>
        <charset val="134"/>
      </rPr>
      <t>销售不动产增值税及附加计算</t>
    </r>
    <phoneticPr fontId="39" type="noConversion"/>
  </si>
  <si>
    <r>
      <rPr>
        <sz val="10"/>
        <color theme="1"/>
        <rFont val="宋体"/>
        <family val="3"/>
        <charset val="134"/>
      </rPr>
      <t>抵押净值单价</t>
    </r>
    <phoneticPr fontId="13" type="noConversion"/>
  </si>
  <si>
    <r>
      <rPr>
        <b/>
        <sz val="10"/>
        <rFont val="宋体"/>
        <family val="3"/>
        <charset val="134"/>
      </rPr>
      <t>项目</t>
    </r>
    <phoneticPr fontId="43" type="noConversion"/>
  </si>
  <si>
    <r>
      <rPr>
        <b/>
        <sz val="10"/>
        <rFont val="宋体"/>
        <family val="3"/>
        <charset val="134"/>
      </rPr>
      <t>系数</t>
    </r>
    <phoneticPr fontId="43" type="noConversion"/>
  </si>
  <si>
    <r>
      <rPr>
        <sz val="10"/>
        <color indexed="8"/>
        <rFont val="宋体"/>
        <family val="3"/>
        <charset val="134"/>
      </rPr>
      <t>备注</t>
    </r>
    <phoneticPr fontId="43" type="noConversion"/>
  </si>
  <si>
    <r>
      <rPr>
        <b/>
        <sz val="10"/>
        <rFont val="宋体"/>
        <family val="3"/>
        <charset val="134"/>
      </rPr>
      <t>销售额</t>
    </r>
    <phoneticPr fontId="3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</si>
  <si>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</si>
  <si>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</si>
  <si>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</si>
  <si>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</si>
  <si>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3" type="noConversion"/>
  </si>
  <si>
    <r>
      <rPr>
        <sz val="10"/>
        <rFont val="宋体"/>
        <family val="3"/>
        <charset val="134"/>
      </rPr>
      <t>价外费用</t>
    </r>
    <phoneticPr fontId="3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</si>
  <si>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</si>
  <si>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3"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</si>
  <si>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</si>
  <si>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3" type="noConversion"/>
  </si>
  <si>
    <r>
      <rPr>
        <b/>
        <sz val="10"/>
        <rFont val="宋体"/>
        <family val="3"/>
        <charset val="134"/>
      </rPr>
      <t>纳税基数</t>
    </r>
    <phoneticPr fontId="43" type="noConversion"/>
  </si>
  <si>
    <r>
      <rPr>
        <sz val="10"/>
        <color rgb="FF000000"/>
        <rFont val="宋体"/>
        <family val="3"/>
        <charset val="134"/>
      </rPr>
      <t>评估费</t>
    </r>
  </si>
  <si>
    <r>
      <rPr>
        <b/>
        <sz val="10"/>
        <rFont val="宋体"/>
        <family val="3"/>
        <charset val="134"/>
      </rPr>
      <t>纳税额</t>
    </r>
    <phoneticPr fontId="3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</si>
  <si>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</si>
  <si>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</si>
  <si>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3" type="noConversion"/>
  </si>
  <si>
    <r>
      <rPr>
        <b/>
        <sz val="10"/>
        <rFont val="宋体"/>
        <family val="3"/>
        <charset val="134"/>
      </rPr>
      <t>转让收入</t>
    </r>
    <phoneticPr fontId="43" type="noConversion"/>
  </si>
  <si>
    <r>
      <rPr>
        <b/>
        <sz val="10"/>
        <color indexed="8"/>
        <rFont val="宋体"/>
        <family val="3"/>
        <charset val="134"/>
      </rPr>
      <t>扣除项合计</t>
    </r>
    <phoneticPr fontId="43" type="noConversion"/>
  </si>
  <si>
    <r>
      <rPr>
        <sz val="10"/>
        <rFont val="宋体"/>
        <family val="3"/>
        <charset val="134"/>
      </rPr>
      <t>原购房价及相关税费</t>
    </r>
    <phoneticPr fontId="43" type="noConversion"/>
  </si>
  <si>
    <r>
      <rPr>
        <sz val="10"/>
        <rFont val="宋体"/>
        <family val="3"/>
        <charset val="134"/>
      </rPr>
      <t>原购房价</t>
    </r>
    <phoneticPr fontId="43" type="noConversion"/>
  </si>
  <si>
    <r>
      <rPr>
        <sz val="11"/>
        <color indexed="8"/>
        <rFont val="宋体"/>
        <family val="3"/>
        <charset val="134"/>
      </rPr>
      <t>原购房价依据</t>
    </r>
    <phoneticPr fontId="39" type="noConversion"/>
  </si>
  <si>
    <r>
      <rPr>
        <sz val="11"/>
        <color indexed="8"/>
        <rFont val="宋体"/>
        <family val="3"/>
        <charset val="134"/>
      </rPr>
      <t>买卖合同</t>
    </r>
  </si>
  <si>
    <r>
      <rPr>
        <sz val="11"/>
        <color indexed="8"/>
        <rFont val="宋体"/>
        <family val="3"/>
        <charset val="134"/>
      </rPr>
      <t>已购年限</t>
    </r>
    <phoneticPr fontId="39" type="noConversion"/>
  </si>
  <si>
    <r>
      <rPr>
        <sz val="10"/>
        <rFont val="宋体"/>
        <family val="3"/>
        <charset val="134"/>
      </rPr>
      <t>加计扣减项</t>
    </r>
    <phoneticPr fontId="3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</si>
  <si>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3" type="noConversion"/>
  </si>
  <si>
    <r>
      <rPr>
        <sz val="10"/>
        <rFont val="宋体"/>
        <family val="3"/>
        <charset val="134"/>
      </rPr>
      <t>相关税费</t>
    </r>
    <phoneticPr fontId="43" type="noConversion"/>
  </si>
  <si>
    <r>
      <rPr>
        <sz val="10"/>
        <color indexed="8"/>
        <rFont val="宋体"/>
        <family val="3"/>
        <charset val="134"/>
      </rPr>
      <t>含契税及印花税</t>
    </r>
    <phoneticPr fontId="4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</si>
  <si>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</si>
  <si>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3" type="noConversion"/>
  </si>
  <si>
    <r>
      <rPr>
        <sz val="10"/>
        <color indexed="8"/>
        <rFont val="宋体"/>
        <family val="3"/>
        <charset val="134"/>
      </rPr>
      <t>不含增值税，仅附加税</t>
    </r>
    <phoneticPr fontId="39" type="noConversion"/>
  </si>
  <si>
    <r>
      <rPr>
        <b/>
        <sz val="10"/>
        <rFont val="宋体"/>
        <family val="3"/>
        <charset val="134"/>
      </rPr>
      <t>增值额</t>
    </r>
    <phoneticPr fontId="43" type="noConversion"/>
  </si>
  <si>
    <r>
      <rPr>
        <b/>
        <sz val="10"/>
        <rFont val="宋体"/>
        <family val="3"/>
        <charset val="134"/>
      </rPr>
      <t>增值额与扣除项比率</t>
    </r>
    <phoneticPr fontId="43" type="noConversion"/>
  </si>
  <si>
    <r>
      <rPr>
        <b/>
        <sz val="10"/>
        <rFont val="宋体"/>
        <family val="3"/>
        <charset val="134"/>
      </rPr>
      <t>应纳增值税税额</t>
    </r>
    <phoneticPr fontId="43" type="noConversion"/>
  </si>
  <si>
    <r>
      <rPr>
        <b/>
        <sz val="10"/>
        <rFont val="宋体"/>
        <family val="3"/>
        <charset val="134"/>
      </rPr>
      <t>土地增值税（自行开发建设）</t>
    </r>
    <phoneticPr fontId="43" type="noConversion"/>
  </si>
  <si>
    <r>
      <rPr>
        <sz val="10"/>
        <rFont val="宋体"/>
        <family val="3"/>
        <charset val="134"/>
      </rPr>
      <t>土地取得成本</t>
    </r>
    <phoneticPr fontId="43" type="noConversion"/>
  </si>
  <si>
    <r>
      <rPr>
        <sz val="10"/>
        <rFont val="宋体"/>
        <family val="3"/>
        <charset val="134"/>
      </rPr>
      <t>土地取得费用</t>
    </r>
    <phoneticPr fontId="43" type="noConversion"/>
  </si>
  <si>
    <r>
      <rPr>
        <sz val="10"/>
        <color indexed="8"/>
        <rFont val="宋体"/>
        <family val="3"/>
        <charset val="134"/>
      </rPr>
      <t>依据出让合同</t>
    </r>
    <phoneticPr fontId="39" type="noConversion"/>
  </si>
  <si>
    <r>
      <rPr>
        <sz val="9"/>
        <color indexed="8"/>
        <rFont val="宋体"/>
        <family val="3"/>
        <charset val="134"/>
      </rPr>
      <t>出让价款内涵：</t>
    </r>
    <phoneticPr fontId="39" type="noConversion"/>
  </si>
  <si>
    <r>
      <rPr>
        <sz val="10"/>
        <color indexed="8"/>
        <rFont val="宋体"/>
        <family val="3"/>
        <charset val="134"/>
      </rPr>
      <t>契税及印花税</t>
    </r>
    <phoneticPr fontId="39" type="noConversion"/>
  </si>
  <si>
    <r>
      <rPr>
        <sz val="10"/>
        <rFont val="宋体"/>
        <family val="3"/>
        <charset val="134"/>
      </rPr>
      <t>土地开发费</t>
    </r>
    <phoneticPr fontId="43" type="noConversion"/>
  </si>
  <si>
    <r>
      <rPr>
        <sz val="10"/>
        <color indexed="8"/>
        <rFont val="宋体"/>
        <family val="3"/>
        <charset val="134"/>
      </rPr>
      <t>（</t>
    </r>
    <r>
      <rPr>
        <sz val="10"/>
        <color indexed="8"/>
        <rFont val="Arial"/>
        <family val="2"/>
      </rPr>
      <t>3</t>
    </r>
    <r>
      <rPr>
        <sz val="10"/>
        <color indexed="8"/>
        <rFont val="宋体"/>
        <family val="3"/>
        <charset val="134"/>
      </rPr>
      <t>）</t>
    </r>
    <phoneticPr fontId="43" type="noConversion"/>
  </si>
  <si>
    <r>
      <rPr>
        <sz val="10"/>
        <rFont val="宋体"/>
        <family val="3"/>
        <charset val="134"/>
      </rPr>
      <t>建造成本</t>
    </r>
    <phoneticPr fontId="43" type="noConversion"/>
  </si>
  <si>
    <r>
      <rPr>
        <sz val="10"/>
        <color indexed="8"/>
        <rFont val="宋体"/>
        <family val="3"/>
        <charset val="134"/>
      </rPr>
      <t>包括前期工程费、建筑安装工程费、基础设施费和公共配套费等</t>
    </r>
    <phoneticPr fontId="39"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</si>
  <si>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</si>
  <si>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3" type="noConversion"/>
  </si>
  <si>
    <r>
      <rPr>
        <sz val="10"/>
        <rFont val="宋体"/>
        <family val="3"/>
        <charset val="134"/>
      </rPr>
      <t>开发费用扣除</t>
    </r>
    <phoneticPr fontId="4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</si>
  <si>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9" type="noConversion"/>
  </si>
  <si>
    <r>
      <rPr>
        <sz val="10"/>
        <color indexed="8"/>
        <rFont val="宋体"/>
        <family val="3"/>
        <charset val="134"/>
      </rPr>
      <t>（</t>
    </r>
    <r>
      <rPr>
        <sz val="10"/>
        <color indexed="8"/>
        <rFont val="Arial"/>
        <family val="2"/>
      </rPr>
      <t>5</t>
    </r>
    <r>
      <rPr>
        <sz val="10"/>
        <color indexed="8"/>
        <rFont val="宋体"/>
        <family val="3"/>
        <charset val="134"/>
      </rPr>
      <t>）</t>
    </r>
    <phoneticPr fontId="43" type="noConversion"/>
  </si>
  <si>
    <r>
      <rPr>
        <sz val="10"/>
        <color indexed="8"/>
        <rFont val="宋体"/>
        <family val="3"/>
        <charset val="134"/>
      </rPr>
      <t>（</t>
    </r>
    <r>
      <rPr>
        <sz val="10"/>
        <color indexed="8"/>
        <rFont val="Arial"/>
        <family val="2"/>
      </rPr>
      <t>6</t>
    </r>
    <r>
      <rPr>
        <sz val="10"/>
        <color indexed="8"/>
        <rFont val="宋体"/>
        <family val="3"/>
        <charset val="134"/>
      </rPr>
      <t>）</t>
    </r>
    <phoneticPr fontId="43" type="noConversion"/>
  </si>
  <si>
    <r>
      <rPr>
        <sz val="10"/>
        <rFont val="宋体"/>
        <family val="3"/>
        <charset val="134"/>
      </rPr>
      <t>加计扣除金额</t>
    </r>
    <phoneticPr fontId="43"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</si>
  <si>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9" type="noConversion"/>
  </si>
  <si>
    <r>
      <rPr>
        <b/>
        <sz val="14"/>
        <color rgb="FFFF0000"/>
        <rFont val="宋体"/>
        <family val="3"/>
        <charset val="134"/>
      </rPr>
      <t>估价结果</t>
    </r>
    <phoneticPr fontId="13" type="noConversion"/>
  </si>
  <si>
    <r>
      <rPr>
        <b/>
        <sz val="11"/>
        <color indexed="8"/>
        <rFont val="宋体"/>
        <family val="3"/>
        <charset val="134"/>
      </rPr>
      <t>结果表</t>
    </r>
    <r>
      <rPr>
        <b/>
        <sz val="11"/>
        <color indexed="8"/>
        <rFont val="Arial"/>
        <family val="2"/>
      </rPr>
      <t>-1</t>
    </r>
    <phoneticPr fontId="1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</si>
  <si>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3"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</si>
  <si>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</si>
  <si>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3"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</si>
  <si>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</si>
  <si>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</si>
  <si>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</si>
  <si>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</si>
  <si>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</si>
  <si>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</si>
  <si>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3"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</si>
  <si>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3"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</si>
  <si>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3"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</si>
  <si>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3" type="noConversion"/>
  </si>
  <si>
    <r>
      <rPr>
        <b/>
        <sz val="11"/>
        <color indexed="8"/>
        <rFont val="宋体"/>
        <family val="3"/>
        <charset val="134"/>
      </rPr>
      <t>结果表</t>
    </r>
    <r>
      <rPr>
        <b/>
        <sz val="11"/>
        <color indexed="8"/>
        <rFont val="Arial"/>
        <family val="2"/>
      </rPr>
      <t>-3</t>
    </r>
    <phoneticPr fontId="8"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</si>
  <si>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</si>
  <si>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</si>
  <si>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</si>
  <si>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</si>
  <si>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3"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</si>
  <si>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</si>
  <si>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</si>
  <si>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9" type="noConversion"/>
  </si>
  <si>
    <r>
      <rPr>
        <b/>
        <sz val="12"/>
        <color rgb="FFFF0000"/>
        <rFont val="宋体"/>
        <family val="3"/>
        <charset val="134"/>
      </rPr>
      <t>测算中的特殊事项处理</t>
    </r>
    <phoneticPr fontId="13"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</si>
  <si>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</si>
  <si>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8"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</si>
  <si>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3" type="noConversion"/>
  </si>
  <si>
    <r>
      <rPr>
        <b/>
        <sz val="10"/>
        <color indexed="8"/>
        <rFont val="宋体"/>
        <family val="3"/>
        <charset val="134"/>
      </rPr>
      <t>初审意见：</t>
    </r>
    <r>
      <rPr>
        <b/>
        <sz val="10"/>
        <color indexed="8"/>
        <rFont val="Arial"/>
        <family val="2"/>
      </rPr>
      <t xml:space="preserve">      </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</si>
  <si>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3" type="noConversion"/>
  </si>
  <si>
    <r>
      <rPr>
        <b/>
        <sz val="10"/>
        <color indexed="8"/>
        <rFont val="宋体"/>
        <family val="3"/>
        <charset val="134"/>
      </rPr>
      <t>终审意见：</t>
    </r>
    <r>
      <rPr>
        <b/>
        <sz val="10"/>
        <color indexed="8"/>
        <rFont val="Arial"/>
        <family val="2"/>
      </rPr>
      <t xml:space="preserve">      </t>
    </r>
    <phoneticPr fontId="8" type="noConversion"/>
  </si>
  <si>
    <r>
      <rPr>
        <b/>
        <sz val="16"/>
        <color indexed="10"/>
        <rFont val="宋体"/>
        <family val="3"/>
        <charset val="134"/>
      </rPr>
      <t>成本法</t>
    </r>
    <phoneticPr fontId="21" type="noConversion"/>
  </si>
  <si>
    <r>
      <rPr>
        <b/>
        <sz val="12"/>
        <rFont val="宋体"/>
        <family val="3"/>
        <charset val="134"/>
      </rPr>
      <t>总价</t>
    </r>
    <phoneticPr fontId="23" type="noConversion"/>
  </si>
  <si>
    <r>
      <rPr>
        <b/>
        <sz val="12"/>
        <rFont val="宋体"/>
        <family val="3"/>
        <charset val="134"/>
      </rPr>
      <t>万元</t>
    </r>
    <phoneticPr fontId="23" type="noConversion"/>
  </si>
  <si>
    <r>
      <rPr>
        <b/>
        <sz val="12"/>
        <rFont val="宋体"/>
        <family val="3"/>
        <charset val="134"/>
      </rPr>
      <t>楼面单价</t>
    </r>
    <phoneticPr fontId="23" type="noConversion"/>
  </si>
  <si>
    <r>
      <rPr>
        <b/>
        <sz val="12"/>
        <rFont val="宋体"/>
        <family val="3"/>
        <charset val="134"/>
      </rPr>
      <t>元</t>
    </r>
    <r>
      <rPr>
        <b/>
        <sz val="12"/>
        <rFont val="Arial"/>
        <family val="2"/>
      </rPr>
      <t>/</t>
    </r>
    <r>
      <rPr>
        <b/>
        <sz val="12"/>
        <rFont val="宋体"/>
        <family val="3"/>
        <charset val="134"/>
      </rPr>
      <t>平方米</t>
    </r>
    <phoneticPr fontId="23" type="noConversion"/>
  </si>
  <si>
    <r>
      <t>1.</t>
    </r>
    <r>
      <rPr>
        <b/>
        <sz val="12"/>
        <rFont val="宋体"/>
        <family val="3"/>
        <charset val="134"/>
      </rPr>
      <t>土地价值</t>
    </r>
    <phoneticPr fontId="21" type="noConversion"/>
  </si>
  <si>
    <r>
      <rPr>
        <b/>
        <sz val="10"/>
        <rFont val="宋体"/>
        <family val="3"/>
        <charset val="134"/>
      </rPr>
      <t>（</t>
    </r>
    <r>
      <rPr>
        <b/>
        <sz val="10"/>
        <rFont val="Arial"/>
        <family val="2"/>
      </rPr>
      <t>1</t>
    </r>
    <r>
      <rPr>
        <b/>
        <sz val="10"/>
        <rFont val="宋体"/>
        <family val="3"/>
        <charset val="134"/>
      </rPr>
      <t>）</t>
    </r>
    <phoneticPr fontId="23" type="noConversion"/>
  </si>
  <si>
    <r>
      <rPr>
        <b/>
        <sz val="10"/>
        <rFont val="宋体"/>
        <family val="3"/>
        <charset val="134"/>
      </rPr>
      <t>土地取得成本</t>
    </r>
    <phoneticPr fontId="21" type="noConversion"/>
  </si>
  <si>
    <r>
      <rPr>
        <b/>
        <sz val="10"/>
        <rFont val="宋体"/>
        <family val="3"/>
        <charset val="134"/>
      </rPr>
      <t>面积</t>
    </r>
    <phoneticPr fontId="21" type="noConversion"/>
  </si>
  <si>
    <r>
      <rPr>
        <b/>
        <sz val="10"/>
        <rFont val="宋体"/>
        <family val="3"/>
        <charset val="134"/>
      </rPr>
      <t>单价</t>
    </r>
    <phoneticPr fontId="21" type="noConversion"/>
  </si>
  <si>
    <r>
      <rPr>
        <b/>
        <sz val="10"/>
        <rFont val="宋体"/>
        <family val="3"/>
        <charset val="134"/>
      </rPr>
      <t>系数</t>
    </r>
    <phoneticPr fontId="21" type="noConversion"/>
  </si>
  <si>
    <r>
      <t>1</t>
    </r>
    <r>
      <rPr>
        <sz val="10"/>
        <rFont val="宋体"/>
        <family val="3"/>
        <charset val="134"/>
      </rPr>
      <t>）</t>
    </r>
    <phoneticPr fontId="21" type="noConversion"/>
  </si>
  <si>
    <r>
      <rPr>
        <sz val="10"/>
        <rFont val="宋体"/>
        <family val="3"/>
        <charset val="134"/>
      </rPr>
      <t>土地购买价格</t>
    </r>
    <phoneticPr fontId="23" type="noConversion"/>
  </si>
  <si>
    <r>
      <t>2</t>
    </r>
    <r>
      <rPr>
        <sz val="10"/>
        <rFont val="宋体"/>
        <family val="3"/>
        <charset val="134"/>
      </rPr>
      <t>）</t>
    </r>
    <phoneticPr fontId="21" type="noConversion"/>
  </si>
  <si>
    <r>
      <rPr>
        <sz val="10"/>
        <rFont val="宋体"/>
        <family val="3"/>
        <charset val="134"/>
      </rPr>
      <t>土地取得税费</t>
    </r>
  </si>
  <si>
    <r>
      <t>3</t>
    </r>
    <r>
      <rPr>
        <sz val="10"/>
        <rFont val="宋体"/>
        <family val="3"/>
        <charset val="134"/>
      </rPr>
      <t>）</t>
    </r>
    <phoneticPr fontId="21" type="noConversion"/>
  </si>
  <si>
    <r>
      <rPr>
        <sz val="10"/>
        <rFont val="宋体"/>
        <family val="3"/>
        <charset val="134"/>
      </rPr>
      <t>城市基础设施建设费（行政收费）</t>
    </r>
    <phoneticPr fontId="21" type="noConversion"/>
  </si>
  <si>
    <r>
      <rPr>
        <i/>
        <sz val="10"/>
        <rFont val="宋体"/>
        <family val="3"/>
        <charset val="134"/>
      </rPr>
      <t>住宅</t>
    </r>
    <phoneticPr fontId="21" type="noConversion"/>
  </si>
  <si>
    <r>
      <rPr>
        <b/>
        <sz val="10"/>
        <color rgb="FFFF0000"/>
        <rFont val="宋体"/>
        <family val="3"/>
        <charset val="134"/>
      </rPr>
      <t>万元</t>
    </r>
    <phoneticPr fontId="148" type="noConversion"/>
  </si>
  <si>
    <r>
      <rPr>
        <i/>
        <sz val="10"/>
        <rFont val="宋体"/>
        <family val="3"/>
        <charset val="134"/>
      </rPr>
      <t>非住宅</t>
    </r>
    <phoneticPr fontId="21" type="noConversion"/>
  </si>
  <si>
    <r>
      <rPr>
        <sz val="10"/>
        <rFont val="宋体"/>
        <family val="3"/>
        <charset val="134"/>
      </rPr>
      <t>土地使用权出让金</t>
    </r>
    <phoneticPr fontId="21" type="noConversion"/>
  </si>
  <si>
    <r>
      <rPr>
        <sz val="10"/>
        <rFont val="宋体"/>
        <family val="3"/>
        <charset val="134"/>
      </rPr>
      <t>相关税费</t>
    </r>
    <phoneticPr fontId="21" type="noConversion"/>
  </si>
  <si>
    <r>
      <rPr>
        <sz val="10"/>
        <rFont val="宋体"/>
        <family val="3"/>
        <charset val="134"/>
      </rPr>
      <t>征地补偿安置费及其相关税费</t>
    </r>
    <phoneticPr fontId="21" type="noConversion"/>
  </si>
  <si>
    <r>
      <rPr>
        <sz val="10"/>
        <rFont val="宋体"/>
        <family val="3"/>
        <charset val="134"/>
      </rPr>
      <t>城市基础设施建设费（行政收费）</t>
    </r>
    <phoneticPr fontId="21" type="noConversion"/>
  </si>
  <si>
    <r>
      <rPr>
        <sz val="10"/>
        <rFont val="宋体"/>
        <family val="3"/>
        <charset val="134"/>
      </rPr>
      <t>以建筑面积为计算基数，按各区发文标准</t>
    </r>
    <phoneticPr fontId="21" type="noConversion"/>
  </si>
  <si>
    <r>
      <rPr>
        <sz val="10"/>
        <rFont val="宋体"/>
        <family val="3"/>
        <charset val="134"/>
      </rPr>
      <t>出让金</t>
    </r>
    <phoneticPr fontId="21" type="noConversion"/>
  </si>
  <si>
    <r>
      <rPr>
        <sz val="10"/>
        <rFont val="宋体"/>
        <family val="3"/>
        <charset val="134"/>
      </rPr>
      <t>采用比较法求取</t>
    </r>
    <phoneticPr fontId="21" type="noConversion"/>
  </si>
  <si>
    <r>
      <rPr>
        <sz val="10"/>
        <rFont val="宋体"/>
        <family val="3"/>
        <charset val="134"/>
      </rPr>
      <t>开发补偿费用</t>
    </r>
    <phoneticPr fontId="21" type="noConversion"/>
  </si>
  <si>
    <r>
      <rPr>
        <sz val="10"/>
        <rFont val="宋体"/>
        <family val="3"/>
        <charset val="134"/>
      </rPr>
      <t>契税及印花税</t>
    </r>
    <phoneticPr fontId="21" type="noConversion"/>
  </si>
  <si>
    <r>
      <rPr>
        <sz val="10"/>
        <rFont val="宋体"/>
        <family val="3"/>
        <charset val="134"/>
      </rPr>
      <t>以上述三项为基数计算</t>
    </r>
    <phoneticPr fontId="21" type="noConversion"/>
  </si>
  <si>
    <r>
      <rPr>
        <b/>
        <sz val="10"/>
        <rFont val="宋体"/>
        <family val="3"/>
        <charset val="134"/>
      </rPr>
      <t>（</t>
    </r>
    <r>
      <rPr>
        <b/>
        <sz val="10"/>
        <rFont val="Arial"/>
        <family val="2"/>
      </rPr>
      <t>2</t>
    </r>
    <r>
      <rPr>
        <b/>
        <sz val="10"/>
        <rFont val="宋体"/>
        <family val="3"/>
        <charset val="134"/>
      </rPr>
      <t>）</t>
    </r>
    <phoneticPr fontId="23" type="noConversion"/>
  </si>
  <si>
    <r>
      <rPr>
        <b/>
        <sz val="10"/>
        <rFont val="宋体"/>
        <family val="3"/>
        <charset val="134"/>
      </rPr>
      <t>土地开发费用</t>
    </r>
    <r>
      <rPr>
        <b/>
        <sz val="10"/>
        <rFont val="Arial"/>
        <family val="2"/>
      </rPr>
      <t>-</t>
    </r>
    <r>
      <rPr>
        <b/>
        <sz val="10"/>
        <rFont val="宋体"/>
        <family val="3"/>
        <charset val="134"/>
      </rPr>
      <t>红线外（现状）</t>
    </r>
    <phoneticPr fontId="21" type="noConversion"/>
  </si>
  <si>
    <r>
      <rPr>
        <b/>
        <sz val="10"/>
        <rFont val="宋体"/>
        <family val="3"/>
        <charset val="134"/>
      </rPr>
      <t>（</t>
    </r>
    <r>
      <rPr>
        <b/>
        <sz val="10"/>
        <rFont val="Arial"/>
        <family val="2"/>
      </rPr>
      <t>3</t>
    </r>
    <r>
      <rPr>
        <b/>
        <sz val="10"/>
        <rFont val="宋体"/>
        <family val="3"/>
        <charset val="134"/>
      </rPr>
      <t>）</t>
    </r>
    <phoneticPr fontId="23" type="noConversion"/>
  </si>
  <si>
    <r>
      <rPr>
        <b/>
        <sz val="10"/>
        <rFont val="宋体"/>
        <family val="3"/>
        <charset val="134"/>
      </rPr>
      <t>管理费用</t>
    </r>
    <phoneticPr fontId="21" type="noConversion"/>
  </si>
  <si>
    <r>
      <rPr>
        <b/>
        <sz val="10"/>
        <rFont val="宋体"/>
        <family val="3"/>
        <charset val="134"/>
      </rPr>
      <t>以前述</t>
    </r>
    <r>
      <rPr>
        <b/>
        <sz val="10"/>
        <rFont val="Arial"/>
        <family val="2"/>
      </rPr>
      <t>2</t>
    </r>
    <r>
      <rPr>
        <b/>
        <sz val="10"/>
        <rFont val="宋体"/>
        <family val="3"/>
        <charset val="134"/>
      </rPr>
      <t>项为基数</t>
    </r>
    <phoneticPr fontId="21" type="noConversion"/>
  </si>
  <si>
    <r>
      <rPr>
        <b/>
        <sz val="10"/>
        <rFont val="宋体"/>
        <family val="3"/>
        <charset val="134"/>
      </rPr>
      <t>（</t>
    </r>
    <r>
      <rPr>
        <b/>
        <sz val="10"/>
        <rFont val="Arial"/>
        <family val="2"/>
      </rPr>
      <t>4</t>
    </r>
    <r>
      <rPr>
        <b/>
        <sz val="10"/>
        <rFont val="宋体"/>
        <family val="3"/>
        <charset val="134"/>
      </rPr>
      <t>）</t>
    </r>
    <phoneticPr fontId="23" type="noConversion"/>
  </si>
  <si>
    <r>
      <rPr>
        <b/>
        <sz val="10"/>
        <rFont val="宋体"/>
        <family val="3"/>
        <charset val="134"/>
      </rPr>
      <t>销售费用</t>
    </r>
    <phoneticPr fontId="21" type="noConversion"/>
  </si>
  <si>
    <r>
      <t>V</t>
    </r>
    <r>
      <rPr>
        <b/>
        <vertAlign val="subscript"/>
        <sz val="10"/>
        <rFont val="宋体"/>
        <family val="3"/>
        <charset val="134"/>
      </rPr>
      <t>土</t>
    </r>
    <phoneticPr fontId="21" type="noConversion"/>
  </si>
  <si>
    <r>
      <rPr>
        <b/>
        <sz val="10"/>
        <rFont val="宋体"/>
        <family val="3"/>
        <charset val="134"/>
      </rPr>
      <t>以土地价值为基数</t>
    </r>
    <phoneticPr fontId="21" type="noConversion"/>
  </si>
  <si>
    <r>
      <rPr>
        <b/>
        <sz val="10"/>
        <rFont val="宋体"/>
        <family val="3"/>
        <charset val="134"/>
      </rPr>
      <t>（</t>
    </r>
    <r>
      <rPr>
        <b/>
        <sz val="10"/>
        <rFont val="Arial"/>
        <family val="2"/>
      </rPr>
      <t>5</t>
    </r>
    <r>
      <rPr>
        <b/>
        <sz val="10"/>
        <rFont val="宋体"/>
        <family val="3"/>
        <charset val="134"/>
      </rPr>
      <t>）</t>
    </r>
    <phoneticPr fontId="23" type="noConversion"/>
  </si>
  <si>
    <r>
      <rPr>
        <b/>
        <sz val="10"/>
        <rFont val="宋体"/>
        <family val="3"/>
        <charset val="134"/>
      </rPr>
      <t>贷款利息</t>
    </r>
    <phoneticPr fontId="21" type="noConversion"/>
  </si>
  <si>
    <r>
      <t>1</t>
    </r>
    <r>
      <rPr>
        <sz val="10"/>
        <rFont val="宋体"/>
        <family val="3"/>
        <charset val="134"/>
      </rPr>
      <t>）</t>
    </r>
    <phoneticPr fontId="21" type="noConversion"/>
  </si>
  <si>
    <r>
      <rPr>
        <sz val="10"/>
        <rFont val="宋体"/>
        <family val="3"/>
        <charset val="134"/>
      </rPr>
      <t>（</t>
    </r>
    <r>
      <rPr>
        <sz val="10"/>
        <rFont val="Arial"/>
        <family val="2"/>
      </rPr>
      <t>1</t>
    </r>
    <r>
      <rPr>
        <sz val="10"/>
        <rFont val="宋体"/>
        <family val="3"/>
        <charset val="134"/>
      </rPr>
      <t>）项产生的利息</t>
    </r>
    <phoneticPr fontId="21" type="noConversion"/>
  </si>
  <si>
    <r>
      <rPr>
        <sz val="10"/>
        <rFont val="宋体"/>
        <family val="3"/>
        <charset val="134"/>
      </rPr>
      <t>计项目已运行全期</t>
    </r>
    <phoneticPr fontId="21" type="noConversion"/>
  </si>
  <si>
    <r>
      <t>2</t>
    </r>
    <r>
      <rPr>
        <sz val="10"/>
        <rFont val="宋体"/>
        <family val="3"/>
        <charset val="134"/>
      </rPr>
      <t>）</t>
    </r>
    <phoneticPr fontId="21" type="noConversion"/>
  </si>
  <si>
    <r>
      <rPr>
        <sz val="10"/>
        <rFont val="宋体"/>
        <family val="3"/>
        <charset val="134"/>
      </rPr>
      <t>（</t>
    </r>
    <r>
      <rPr>
        <sz val="10"/>
        <rFont val="Arial"/>
        <family val="2"/>
      </rPr>
      <t>2</t>
    </r>
    <r>
      <rPr>
        <sz val="10"/>
        <rFont val="宋体"/>
        <family val="3"/>
        <charset val="134"/>
      </rPr>
      <t>）项产生的利息</t>
    </r>
    <phoneticPr fontId="21" type="noConversion"/>
  </si>
  <si>
    <r>
      <rPr>
        <sz val="10"/>
        <rFont val="宋体"/>
        <family val="3"/>
        <charset val="134"/>
      </rPr>
      <t>土地开发期均匀投入、已建工期计全期</t>
    </r>
    <phoneticPr fontId="21" type="noConversion"/>
  </si>
  <si>
    <r>
      <t>3</t>
    </r>
    <r>
      <rPr>
        <sz val="10"/>
        <rFont val="宋体"/>
        <family val="3"/>
        <charset val="134"/>
      </rPr>
      <t>）</t>
    </r>
    <phoneticPr fontId="21" type="noConversion"/>
  </si>
  <si>
    <r>
      <rPr>
        <sz val="10"/>
        <rFont val="宋体"/>
        <family val="3"/>
        <charset val="134"/>
      </rPr>
      <t>（</t>
    </r>
    <r>
      <rPr>
        <sz val="10"/>
        <rFont val="Arial"/>
        <family val="2"/>
      </rPr>
      <t>3</t>
    </r>
    <r>
      <rPr>
        <sz val="10"/>
        <rFont val="宋体"/>
        <family val="3"/>
        <charset val="134"/>
      </rPr>
      <t>）项产生的利息</t>
    </r>
    <phoneticPr fontId="21" type="noConversion"/>
  </si>
  <si>
    <r>
      <rPr>
        <sz val="10"/>
        <rFont val="宋体"/>
        <family val="3"/>
        <charset val="134"/>
      </rPr>
      <t>管理费用及销售费用于项目已运行期内均匀投入</t>
    </r>
    <phoneticPr fontId="21" type="noConversion"/>
  </si>
  <si>
    <r>
      <rPr>
        <sz val="10"/>
        <rFont val="宋体"/>
        <family val="3"/>
        <charset val="134"/>
      </rPr>
      <t>（</t>
    </r>
    <r>
      <rPr>
        <sz val="10"/>
        <rFont val="Arial"/>
        <family val="2"/>
      </rPr>
      <t>4</t>
    </r>
    <r>
      <rPr>
        <sz val="10"/>
        <rFont val="宋体"/>
        <family val="3"/>
        <charset val="134"/>
      </rPr>
      <t>）项产生的利息</t>
    </r>
    <phoneticPr fontId="21" type="noConversion"/>
  </si>
  <si>
    <r>
      <rPr>
        <b/>
        <sz val="10"/>
        <rFont val="宋体"/>
        <family val="3"/>
        <charset val="134"/>
      </rPr>
      <t>（</t>
    </r>
    <r>
      <rPr>
        <b/>
        <sz val="10"/>
        <rFont val="Arial"/>
        <family val="2"/>
      </rPr>
      <t>6</t>
    </r>
    <r>
      <rPr>
        <b/>
        <sz val="10"/>
        <rFont val="宋体"/>
        <family val="3"/>
        <charset val="134"/>
      </rPr>
      <t>）</t>
    </r>
    <phoneticPr fontId="23" type="noConversion"/>
  </si>
  <si>
    <r>
      <rPr>
        <b/>
        <sz val="10"/>
        <rFont val="宋体"/>
        <family val="3"/>
        <charset val="134"/>
      </rPr>
      <t>利润</t>
    </r>
    <phoneticPr fontId="21" type="noConversion"/>
  </si>
  <si>
    <r>
      <t>V</t>
    </r>
    <r>
      <rPr>
        <b/>
        <vertAlign val="subscript"/>
        <sz val="10"/>
        <rFont val="宋体"/>
        <family val="3"/>
        <charset val="134"/>
      </rPr>
      <t>土</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</si>
  <si>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1"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</si>
  <si>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1" type="noConversion"/>
  </si>
  <si>
    <r>
      <rPr>
        <sz val="10"/>
        <rFont val="宋体"/>
        <family val="3"/>
        <charset val="134"/>
      </rPr>
      <t>（</t>
    </r>
    <r>
      <rPr>
        <sz val="10"/>
        <rFont val="Arial"/>
        <family val="2"/>
      </rPr>
      <t>4</t>
    </r>
    <r>
      <rPr>
        <sz val="10"/>
        <rFont val="宋体"/>
        <family val="3"/>
        <charset val="134"/>
      </rPr>
      <t>）项产生的利润</t>
    </r>
    <phoneticPr fontId="21" type="noConversion"/>
  </si>
  <si>
    <r>
      <rPr>
        <b/>
        <sz val="10"/>
        <rFont val="宋体"/>
        <family val="3"/>
        <charset val="134"/>
      </rPr>
      <t>（</t>
    </r>
    <r>
      <rPr>
        <b/>
        <sz val="10"/>
        <rFont val="Arial"/>
        <family val="2"/>
      </rPr>
      <t>7</t>
    </r>
    <r>
      <rPr>
        <b/>
        <sz val="10"/>
        <rFont val="宋体"/>
        <family val="3"/>
        <charset val="134"/>
      </rPr>
      <t>）</t>
    </r>
    <phoneticPr fontId="23"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</si>
  <si>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</si>
  <si>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1"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</si>
  <si>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1" type="noConversion"/>
  </si>
  <si>
    <r>
      <rPr>
        <b/>
        <sz val="10"/>
        <rFont val="宋体"/>
        <family val="3"/>
        <charset val="134"/>
      </rPr>
      <t>前述</t>
    </r>
    <r>
      <rPr>
        <b/>
        <sz val="10"/>
        <rFont val="Arial"/>
        <family val="2"/>
      </rPr>
      <t>7</t>
    </r>
    <r>
      <rPr>
        <b/>
        <sz val="10"/>
        <rFont val="宋体"/>
        <family val="3"/>
        <charset val="134"/>
      </rPr>
      <t>项相加</t>
    </r>
    <phoneticPr fontId="21" type="noConversion"/>
  </si>
  <si>
    <r>
      <t>2.</t>
    </r>
    <r>
      <rPr>
        <b/>
        <sz val="12"/>
        <rFont val="宋体"/>
        <family val="3"/>
        <charset val="134"/>
      </rPr>
      <t>建筑物</t>
    </r>
    <r>
      <rPr>
        <b/>
        <sz val="12"/>
        <rFont val="Arial"/>
        <family val="2"/>
      </rPr>
      <t>/</t>
    </r>
    <r>
      <rPr>
        <b/>
        <sz val="12"/>
        <rFont val="宋体"/>
        <family val="3"/>
        <charset val="134"/>
      </rPr>
      <t>在建工程价值</t>
    </r>
    <phoneticPr fontId="21" type="noConversion"/>
  </si>
  <si>
    <r>
      <rPr>
        <b/>
        <sz val="10"/>
        <rFont val="宋体"/>
        <family val="3"/>
        <charset val="134"/>
      </rPr>
      <t>建筑物建造</t>
    </r>
    <r>
      <rPr>
        <b/>
        <sz val="10"/>
        <rFont val="Arial"/>
        <family val="2"/>
      </rPr>
      <t>/</t>
    </r>
    <r>
      <rPr>
        <b/>
        <sz val="10"/>
        <rFont val="宋体"/>
        <family val="3"/>
        <charset val="134"/>
      </rPr>
      <t>已建成本</t>
    </r>
    <phoneticPr fontId="21"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</si>
  <si>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</si>
  <si>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1" type="noConversion"/>
  </si>
  <si>
    <r>
      <rPr>
        <sz val="10"/>
        <rFont val="宋体"/>
        <family val="3"/>
        <charset val="134"/>
      </rPr>
      <t>勘察设计和前期工程费</t>
    </r>
  </si>
  <si>
    <r>
      <rPr>
        <sz val="10"/>
        <rFont val="宋体"/>
        <family val="3"/>
        <charset val="134"/>
      </rPr>
      <t>以建安费用为基数计取</t>
    </r>
    <phoneticPr fontId="21"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</si>
  <si>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</si>
  <si>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</si>
  <si>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1" type="noConversion"/>
  </si>
  <si>
    <r>
      <rPr>
        <sz val="10"/>
        <rFont val="宋体"/>
        <family val="3"/>
        <charset val="134"/>
      </rPr>
      <t>按工程进度计取或按实际情况计取</t>
    </r>
    <phoneticPr fontId="21"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</si>
  <si>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</si>
  <si>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3" type="noConversion"/>
  </si>
  <si>
    <r>
      <rPr>
        <b/>
        <sz val="10"/>
        <rFont val="宋体"/>
        <family val="3"/>
        <charset val="134"/>
      </rPr>
      <t>管理费用</t>
    </r>
    <phoneticPr fontId="21" type="noConversion"/>
  </si>
  <si>
    <r>
      <rPr>
        <b/>
        <sz val="10"/>
        <rFont val="宋体"/>
        <family val="3"/>
        <charset val="134"/>
      </rPr>
      <t>以（</t>
    </r>
    <r>
      <rPr>
        <b/>
        <sz val="10"/>
        <rFont val="Arial"/>
        <family val="2"/>
      </rPr>
      <t>1</t>
    </r>
    <r>
      <rPr>
        <b/>
        <sz val="10"/>
        <rFont val="宋体"/>
        <family val="3"/>
        <charset val="134"/>
      </rPr>
      <t>）为基数</t>
    </r>
    <phoneticPr fontId="21" type="noConversion"/>
  </si>
  <si>
    <r>
      <rPr>
        <b/>
        <sz val="10"/>
        <rFont val="宋体"/>
        <family val="3"/>
        <charset val="134"/>
      </rPr>
      <t>（</t>
    </r>
    <r>
      <rPr>
        <b/>
        <sz val="10"/>
        <rFont val="Arial"/>
        <family val="2"/>
      </rPr>
      <t>3</t>
    </r>
    <r>
      <rPr>
        <b/>
        <sz val="10"/>
        <rFont val="宋体"/>
        <family val="3"/>
        <charset val="134"/>
      </rPr>
      <t>）</t>
    </r>
    <phoneticPr fontId="23" type="noConversion"/>
  </si>
  <si>
    <r>
      <rPr>
        <b/>
        <sz val="10"/>
        <rFont val="宋体"/>
        <family val="3"/>
        <charset val="134"/>
      </rPr>
      <t>销售费用</t>
    </r>
    <phoneticPr fontId="21" type="noConversion"/>
  </si>
  <si>
    <r>
      <t>V</t>
    </r>
    <r>
      <rPr>
        <b/>
        <vertAlign val="subscript"/>
        <sz val="10"/>
        <rFont val="宋体"/>
        <family val="3"/>
        <charset val="134"/>
      </rPr>
      <t>建</t>
    </r>
    <phoneticPr fontId="21" type="noConversion"/>
  </si>
  <si>
    <r>
      <rPr>
        <b/>
        <sz val="10"/>
        <rFont val="宋体"/>
        <family val="3"/>
        <charset val="134"/>
      </rPr>
      <t>以</t>
    </r>
    <r>
      <rPr>
        <b/>
        <sz val="10"/>
        <rFont val="Arial"/>
        <family val="2"/>
      </rPr>
      <t>V</t>
    </r>
    <r>
      <rPr>
        <b/>
        <sz val="10"/>
        <rFont val="宋体"/>
        <family val="3"/>
        <charset val="134"/>
      </rPr>
      <t>建为基数</t>
    </r>
    <phoneticPr fontId="21" type="noConversion"/>
  </si>
  <si>
    <r>
      <rPr>
        <b/>
        <sz val="10"/>
        <rFont val="宋体"/>
        <family val="3"/>
        <charset val="134"/>
      </rPr>
      <t>（</t>
    </r>
    <r>
      <rPr>
        <b/>
        <sz val="10"/>
        <rFont val="Arial"/>
        <family val="2"/>
      </rPr>
      <t>4</t>
    </r>
    <r>
      <rPr>
        <b/>
        <sz val="10"/>
        <rFont val="宋体"/>
        <family val="3"/>
        <charset val="134"/>
      </rPr>
      <t>）</t>
    </r>
    <phoneticPr fontId="23" type="noConversion"/>
  </si>
  <si>
    <r>
      <rPr>
        <b/>
        <sz val="10"/>
        <rFont val="宋体"/>
        <family val="3"/>
        <charset val="134"/>
      </rPr>
      <t>贷款利息</t>
    </r>
    <phoneticPr fontId="21" type="noConversion"/>
  </si>
  <si>
    <r>
      <rPr>
        <sz val="10"/>
        <rFont val="宋体"/>
        <family val="3"/>
        <charset val="134"/>
      </rPr>
      <t>（</t>
    </r>
    <r>
      <rPr>
        <sz val="10"/>
        <rFont val="Arial"/>
        <family val="2"/>
      </rPr>
      <t>1</t>
    </r>
    <r>
      <rPr>
        <sz val="10"/>
        <rFont val="宋体"/>
        <family val="3"/>
        <charset val="134"/>
      </rPr>
      <t>）项产生的利息</t>
    </r>
    <phoneticPr fontId="21" type="noConversion"/>
  </si>
  <si>
    <r>
      <rPr>
        <sz val="10"/>
        <rFont val="宋体"/>
        <family val="3"/>
        <charset val="134"/>
      </rPr>
      <t>已建工期均匀投入</t>
    </r>
    <phoneticPr fontId="21" type="noConversion"/>
  </si>
  <si>
    <r>
      <rPr>
        <sz val="10"/>
        <rFont val="宋体"/>
        <family val="3"/>
        <charset val="134"/>
      </rPr>
      <t>（</t>
    </r>
    <r>
      <rPr>
        <sz val="10"/>
        <rFont val="Arial"/>
        <family val="2"/>
      </rPr>
      <t>2</t>
    </r>
    <r>
      <rPr>
        <sz val="10"/>
        <rFont val="宋体"/>
        <family val="3"/>
        <charset val="134"/>
      </rPr>
      <t>）项产生的利息</t>
    </r>
    <phoneticPr fontId="21" type="noConversion"/>
  </si>
  <si>
    <r>
      <rPr>
        <sz val="10"/>
        <rFont val="宋体"/>
        <family val="3"/>
        <charset val="134"/>
      </rPr>
      <t>（</t>
    </r>
    <r>
      <rPr>
        <sz val="10"/>
        <rFont val="Arial"/>
        <family val="2"/>
      </rPr>
      <t>3</t>
    </r>
    <r>
      <rPr>
        <sz val="10"/>
        <rFont val="宋体"/>
        <family val="3"/>
        <charset val="134"/>
      </rPr>
      <t>）项产生的利息</t>
    </r>
    <phoneticPr fontId="21" type="noConversion"/>
  </si>
  <si>
    <r>
      <rPr>
        <b/>
        <sz val="10"/>
        <rFont val="宋体"/>
        <family val="3"/>
        <charset val="134"/>
      </rPr>
      <t>（</t>
    </r>
    <r>
      <rPr>
        <b/>
        <sz val="10"/>
        <rFont val="Arial"/>
        <family val="2"/>
      </rPr>
      <t>5</t>
    </r>
    <r>
      <rPr>
        <b/>
        <sz val="10"/>
        <rFont val="宋体"/>
        <family val="3"/>
        <charset val="134"/>
      </rPr>
      <t>）</t>
    </r>
    <phoneticPr fontId="23"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</si>
  <si>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1"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</si>
  <si>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1" type="noConversion"/>
  </si>
  <si>
    <r>
      <rPr>
        <sz val="10"/>
        <rFont val="宋体"/>
        <family val="3"/>
        <charset val="134"/>
      </rPr>
      <t>（</t>
    </r>
    <r>
      <rPr>
        <sz val="10"/>
        <rFont val="Arial"/>
        <family val="2"/>
      </rPr>
      <t>3</t>
    </r>
    <r>
      <rPr>
        <sz val="10"/>
        <rFont val="宋体"/>
        <family val="3"/>
        <charset val="134"/>
      </rPr>
      <t>）项产生的利润</t>
    </r>
    <phoneticPr fontId="21" type="noConversion"/>
  </si>
  <si>
    <r>
      <rPr>
        <b/>
        <sz val="10"/>
        <rFont val="宋体"/>
        <family val="3"/>
        <charset val="134"/>
      </rPr>
      <t>销售税费</t>
    </r>
    <phoneticPr fontId="21" type="noConversion"/>
  </si>
  <si>
    <r>
      <rPr>
        <b/>
        <sz val="10"/>
        <rFont val="宋体"/>
        <family val="3"/>
        <charset val="134"/>
      </rPr>
      <t>以成本价值</t>
    </r>
    <r>
      <rPr>
        <b/>
        <sz val="10"/>
        <rFont val="Arial"/>
        <family val="2"/>
      </rPr>
      <t>/(1+5%)</t>
    </r>
    <r>
      <rPr>
        <b/>
        <sz val="10"/>
        <rFont val="宋体"/>
        <family val="3"/>
        <charset val="134"/>
      </rPr>
      <t>为基数</t>
    </r>
    <phoneticPr fontId="21"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</si>
  <si>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1" type="noConversion"/>
  </si>
  <si>
    <r>
      <rPr>
        <b/>
        <sz val="10"/>
        <rFont val="宋体"/>
        <family val="3"/>
        <charset val="134"/>
      </rPr>
      <t>前述</t>
    </r>
    <r>
      <rPr>
        <b/>
        <sz val="10"/>
        <rFont val="Arial"/>
        <family val="2"/>
      </rPr>
      <t>6</t>
    </r>
    <r>
      <rPr>
        <b/>
        <sz val="10"/>
        <rFont val="宋体"/>
        <family val="3"/>
        <charset val="134"/>
      </rPr>
      <t>项相加</t>
    </r>
    <phoneticPr fontId="21" type="noConversion"/>
  </si>
  <si>
    <r>
      <rPr>
        <b/>
        <sz val="10"/>
        <rFont val="宋体"/>
        <family val="3"/>
        <charset val="134"/>
      </rPr>
      <t>（</t>
    </r>
    <r>
      <rPr>
        <b/>
        <sz val="10"/>
        <rFont val="Arial"/>
        <family val="2"/>
      </rPr>
      <t>8</t>
    </r>
    <r>
      <rPr>
        <b/>
        <sz val="10"/>
        <rFont val="宋体"/>
        <family val="3"/>
        <charset val="134"/>
      </rPr>
      <t>）</t>
    </r>
    <phoneticPr fontId="23" type="noConversion"/>
  </si>
  <si>
    <r>
      <rPr>
        <b/>
        <sz val="10"/>
        <rFont val="宋体"/>
        <family val="3"/>
        <charset val="134"/>
      </rPr>
      <t>成新率</t>
    </r>
    <phoneticPr fontId="21" type="noConversion"/>
  </si>
  <si>
    <r>
      <rPr>
        <b/>
        <sz val="10"/>
        <rFont val="宋体"/>
        <family val="3"/>
        <charset val="134"/>
      </rPr>
      <t>现房为成新率，在建依实际情况（停工）记取</t>
    </r>
    <phoneticPr fontId="23" type="noConversion"/>
  </si>
  <si>
    <r>
      <rPr>
        <b/>
        <sz val="10"/>
        <rFont val="宋体"/>
        <family val="3"/>
        <charset val="134"/>
      </rPr>
      <t>（</t>
    </r>
    <r>
      <rPr>
        <b/>
        <sz val="10"/>
        <rFont val="Arial"/>
        <family val="2"/>
      </rPr>
      <t>9</t>
    </r>
    <r>
      <rPr>
        <b/>
        <sz val="10"/>
        <rFont val="宋体"/>
        <family val="3"/>
        <charset val="134"/>
      </rPr>
      <t>）</t>
    </r>
    <phoneticPr fontId="23"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</si>
  <si>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1" type="noConversion"/>
  </si>
  <si>
    <r>
      <rPr>
        <b/>
        <sz val="10"/>
        <rFont val="宋体"/>
        <family val="3"/>
        <charset val="134"/>
      </rPr>
      <t>重置价值</t>
    </r>
    <r>
      <rPr>
        <b/>
        <sz val="10"/>
        <rFont val="Arial"/>
        <family val="2"/>
      </rPr>
      <t>×</t>
    </r>
    <r>
      <rPr>
        <b/>
        <sz val="10"/>
        <rFont val="宋体"/>
        <family val="3"/>
        <charset val="134"/>
      </rPr>
      <t>成新率</t>
    </r>
    <phoneticPr fontId="21" type="noConversion"/>
  </si>
  <si>
    <r>
      <t>3.</t>
    </r>
    <r>
      <rPr>
        <b/>
        <sz val="12"/>
        <rFont val="宋体"/>
        <family val="3"/>
        <charset val="134"/>
      </rPr>
      <t>成本价值</t>
    </r>
    <phoneticPr fontId="21" type="noConversion"/>
  </si>
  <si>
    <r>
      <rPr>
        <b/>
        <sz val="10"/>
        <color indexed="10"/>
        <rFont val="宋体"/>
        <family val="3"/>
        <charset val="134"/>
      </rPr>
      <t>成本比率</t>
    </r>
    <phoneticPr fontId="8" type="noConversion"/>
  </si>
  <si>
    <r>
      <rPr>
        <b/>
        <sz val="12"/>
        <color rgb="FFFF0000"/>
        <rFont val="宋体"/>
        <family val="3"/>
        <charset val="134"/>
      </rPr>
      <t>仅限现房使用</t>
    </r>
    <phoneticPr fontId="148" type="noConversion"/>
  </si>
  <si>
    <r>
      <rPr>
        <sz val="10"/>
        <rFont val="宋体"/>
        <family val="3"/>
        <charset val="134"/>
      </rPr>
      <t>相关税费</t>
    </r>
    <phoneticPr fontId="21" type="noConversion"/>
  </si>
  <si>
    <r>
      <rPr>
        <sz val="10"/>
        <rFont val="宋体"/>
        <family val="3"/>
        <charset val="134"/>
      </rPr>
      <t>征地补偿安置费及其相关税费</t>
    </r>
    <phoneticPr fontId="21" type="noConversion"/>
  </si>
  <si>
    <r>
      <rPr>
        <sz val="10"/>
        <rFont val="宋体"/>
        <family val="3"/>
        <charset val="134"/>
      </rPr>
      <t>以建筑面积为计算基数，按各区发文标准</t>
    </r>
    <phoneticPr fontId="21" type="noConversion"/>
  </si>
  <si>
    <r>
      <rPr>
        <sz val="10"/>
        <rFont val="宋体"/>
        <family val="3"/>
        <charset val="134"/>
      </rPr>
      <t>出让金</t>
    </r>
    <phoneticPr fontId="21" type="noConversion"/>
  </si>
  <si>
    <r>
      <rPr>
        <sz val="10"/>
        <rFont val="宋体"/>
        <family val="3"/>
        <charset val="134"/>
      </rPr>
      <t>采用比较法求取</t>
    </r>
    <phoneticPr fontId="21" type="noConversion"/>
  </si>
  <si>
    <r>
      <rPr>
        <sz val="10"/>
        <rFont val="宋体"/>
        <family val="3"/>
        <charset val="134"/>
      </rPr>
      <t>开发补偿费用</t>
    </r>
    <phoneticPr fontId="21" type="noConversion"/>
  </si>
  <si>
    <r>
      <rPr>
        <sz val="10"/>
        <rFont val="宋体"/>
        <family val="3"/>
        <charset val="134"/>
      </rPr>
      <t>契税及印花税</t>
    </r>
    <phoneticPr fontId="21" type="noConversion"/>
  </si>
  <si>
    <r>
      <rPr>
        <sz val="10"/>
        <rFont val="宋体"/>
        <family val="3"/>
        <charset val="134"/>
      </rPr>
      <t>以上述三项为基数计算</t>
    </r>
    <phoneticPr fontId="21" type="noConversion"/>
  </si>
  <si>
    <r>
      <rPr>
        <b/>
        <sz val="10"/>
        <rFont val="宋体"/>
        <family val="3"/>
        <charset val="134"/>
      </rPr>
      <t>（</t>
    </r>
    <r>
      <rPr>
        <b/>
        <sz val="10"/>
        <rFont val="Arial"/>
        <family val="2"/>
      </rPr>
      <t>2</t>
    </r>
    <r>
      <rPr>
        <b/>
        <sz val="10"/>
        <rFont val="宋体"/>
        <family val="3"/>
        <charset val="134"/>
      </rPr>
      <t>）</t>
    </r>
    <phoneticPr fontId="23" type="noConversion"/>
  </si>
  <si>
    <r>
      <rPr>
        <b/>
        <sz val="10"/>
        <rFont val="宋体"/>
        <family val="3"/>
        <charset val="134"/>
      </rPr>
      <t>土地开发费用</t>
    </r>
    <r>
      <rPr>
        <b/>
        <sz val="10"/>
        <rFont val="Arial"/>
        <family val="2"/>
      </rPr>
      <t>-</t>
    </r>
    <r>
      <rPr>
        <b/>
        <sz val="10"/>
        <rFont val="宋体"/>
        <family val="3"/>
        <charset val="134"/>
      </rPr>
      <t>红线外（现状）</t>
    </r>
    <phoneticPr fontId="21" type="noConversion"/>
  </si>
  <si>
    <r>
      <rPr>
        <b/>
        <sz val="10"/>
        <rFont val="宋体"/>
        <family val="3"/>
        <charset val="134"/>
      </rPr>
      <t>（</t>
    </r>
    <r>
      <rPr>
        <b/>
        <sz val="10"/>
        <rFont val="Arial"/>
        <family val="2"/>
      </rPr>
      <t>3</t>
    </r>
    <r>
      <rPr>
        <b/>
        <sz val="10"/>
        <rFont val="宋体"/>
        <family val="3"/>
        <charset val="134"/>
      </rPr>
      <t>）</t>
    </r>
    <phoneticPr fontId="23" type="noConversion"/>
  </si>
  <si>
    <r>
      <rPr>
        <b/>
        <sz val="10"/>
        <rFont val="宋体"/>
        <family val="3"/>
        <charset val="134"/>
      </rPr>
      <t>管理费用</t>
    </r>
    <phoneticPr fontId="21" type="noConversion"/>
  </si>
  <si>
    <r>
      <rPr>
        <b/>
        <sz val="10"/>
        <rFont val="宋体"/>
        <family val="3"/>
        <charset val="134"/>
      </rPr>
      <t>以前述</t>
    </r>
    <r>
      <rPr>
        <b/>
        <sz val="10"/>
        <rFont val="Arial"/>
        <family val="2"/>
      </rPr>
      <t>2</t>
    </r>
    <r>
      <rPr>
        <b/>
        <sz val="10"/>
        <rFont val="宋体"/>
        <family val="3"/>
        <charset val="134"/>
      </rPr>
      <t>项为基数</t>
    </r>
    <phoneticPr fontId="21" type="noConversion"/>
  </si>
  <si>
    <r>
      <rPr>
        <b/>
        <sz val="10"/>
        <rFont val="宋体"/>
        <family val="3"/>
        <charset val="134"/>
      </rPr>
      <t>（</t>
    </r>
    <r>
      <rPr>
        <b/>
        <sz val="10"/>
        <rFont val="Arial"/>
        <family val="2"/>
      </rPr>
      <t>4</t>
    </r>
    <r>
      <rPr>
        <b/>
        <sz val="10"/>
        <rFont val="宋体"/>
        <family val="3"/>
        <charset val="134"/>
      </rPr>
      <t>）</t>
    </r>
    <phoneticPr fontId="23" type="noConversion"/>
  </si>
  <si>
    <r>
      <rPr>
        <b/>
        <sz val="10"/>
        <rFont val="宋体"/>
        <family val="3"/>
        <charset val="134"/>
      </rPr>
      <t>销售费用</t>
    </r>
    <phoneticPr fontId="21" type="noConversion"/>
  </si>
  <si>
    <r>
      <t>V</t>
    </r>
    <r>
      <rPr>
        <b/>
        <vertAlign val="subscript"/>
        <sz val="10"/>
        <rFont val="宋体"/>
        <family val="3"/>
        <charset val="134"/>
      </rPr>
      <t>土</t>
    </r>
    <phoneticPr fontId="21" type="noConversion"/>
  </si>
  <si>
    <r>
      <rPr>
        <b/>
        <sz val="10"/>
        <rFont val="宋体"/>
        <family val="3"/>
        <charset val="134"/>
      </rPr>
      <t>以土地价值为基数</t>
    </r>
    <phoneticPr fontId="21" type="noConversion"/>
  </si>
  <si>
    <r>
      <rPr>
        <b/>
        <sz val="10"/>
        <rFont val="宋体"/>
        <family val="3"/>
        <charset val="134"/>
      </rPr>
      <t>（</t>
    </r>
    <r>
      <rPr>
        <b/>
        <sz val="10"/>
        <rFont val="Arial"/>
        <family val="2"/>
      </rPr>
      <t>5</t>
    </r>
    <r>
      <rPr>
        <b/>
        <sz val="10"/>
        <rFont val="宋体"/>
        <family val="3"/>
        <charset val="134"/>
      </rPr>
      <t>）</t>
    </r>
    <phoneticPr fontId="23" type="noConversion"/>
  </si>
  <si>
    <r>
      <rPr>
        <b/>
        <sz val="10"/>
        <rFont val="宋体"/>
        <family val="3"/>
        <charset val="134"/>
      </rPr>
      <t>贷款利息</t>
    </r>
    <phoneticPr fontId="21" type="noConversion"/>
  </si>
  <si>
    <r>
      <rPr>
        <sz val="10"/>
        <rFont val="宋体"/>
        <family val="3"/>
        <charset val="134"/>
      </rPr>
      <t>（</t>
    </r>
    <r>
      <rPr>
        <sz val="10"/>
        <rFont val="Arial"/>
        <family val="2"/>
      </rPr>
      <t>1</t>
    </r>
    <r>
      <rPr>
        <sz val="10"/>
        <rFont val="宋体"/>
        <family val="3"/>
        <charset val="134"/>
      </rPr>
      <t>）项产生的利息</t>
    </r>
    <phoneticPr fontId="21" type="noConversion"/>
  </si>
  <si>
    <r>
      <rPr>
        <sz val="10"/>
        <rFont val="宋体"/>
        <family val="3"/>
        <charset val="134"/>
      </rPr>
      <t>计项目已运行全期</t>
    </r>
    <phoneticPr fontId="21" type="noConversion"/>
  </si>
  <si>
    <r>
      <rPr>
        <sz val="10"/>
        <rFont val="宋体"/>
        <family val="3"/>
        <charset val="134"/>
      </rPr>
      <t>（</t>
    </r>
    <r>
      <rPr>
        <sz val="10"/>
        <rFont val="Arial"/>
        <family val="2"/>
      </rPr>
      <t>2</t>
    </r>
    <r>
      <rPr>
        <sz val="10"/>
        <rFont val="宋体"/>
        <family val="3"/>
        <charset val="134"/>
      </rPr>
      <t>）项产生的利息</t>
    </r>
    <phoneticPr fontId="21" type="noConversion"/>
  </si>
  <si>
    <r>
      <rPr>
        <sz val="10"/>
        <rFont val="宋体"/>
        <family val="3"/>
        <charset val="134"/>
      </rPr>
      <t>土地开发期均匀投入、已建工期计全期</t>
    </r>
    <phoneticPr fontId="21" type="noConversion"/>
  </si>
  <si>
    <r>
      <rPr>
        <sz val="10"/>
        <rFont val="宋体"/>
        <family val="3"/>
        <charset val="134"/>
      </rPr>
      <t>（</t>
    </r>
    <r>
      <rPr>
        <sz val="10"/>
        <rFont val="Arial"/>
        <family val="2"/>
      </rPr>
      <t>3</t>
    </r>
    <r>
      <rPr>
        <sz val="10"/>
        <rFont val="宋体"/>
        <family val="3"/>
        <charset val="134"/>
      </rPr>
      <t>）项产生的利息</t>
    </r>
    <phoneticPr fontId="21" type="noConversion"/>
  </si>
  <si>
    <r>
      <rPr>
        <sz val="10"/>
        <rFont val="宋体"/>
        <family val="3"/>
        <charset val="134"/>
      </rPr>
      <t>管理费用及销售费用于项目已运行期内均匀投入</t>
    </r>
    <phoneticPr fontId="21" type="noConversion"/>
  </si>
  <si>
    <r>
      <t>2.</t>
    </r>
    <r>
      <rPr>
        <b/>
        <sz val="12"/>
        <rFont val="宋体"/>
        <family val="3"/>
        <charset val="134"/>
      </rPr>
      <t>建筑物价值</t>
    </r>
    <phoneticPr fontId="21" type="noConversion"/>
  </si>
  <si>
    <r>
      <rPr>
        <b/>
        <sz val="10"/>
        <rFont val="宋体"/>
        <family val="3"/>
        <charset val="134"/>
      </rPr>
      <t>建筑物建造成本</t>
    </r>
    <phoneticPr fontId="21" type="noConversion"/>
  </si>
  <si>
    <r>
      <rPr>
        <sz val="10"/>
        <rFont val="宋体"/>
        <family val="3"/>
        <charset val="134"/>
      </rPr>
      <t>建设期期均匀投入</t>
    </r>
    <phoneticPr fontId="21"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</si>
  <si>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1"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</si>
  <si>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1" type="noConversion"/>
  </si>
  <si>
    <r>
      <rPr>
        <b/>
        <sz val="16"/>
        <color indexed="10"/>
        <rFont val="宋体"/>
        <family val="3"/>
        <charset val="134"/>
      </rPr>
      <t>假设开发法</t>
    </r>
    <phoneticPr fontId="21" type="noConversion"/>
  </si>
  <si>
    <r>
      <rPr>
        <b/>
        <sz val="12"/>
        <color indexed="8"/>
        <rFont val="宋体"/>
        <family val="3"/>
        <charset val="134"/>
      </rPr>
      <t>万元</t>
    </r>
    <phoneticPr fontId="23"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</si>
  <si>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3" type="noConversion"/>
  </si>
  <si>
    <r>
      <t>1.</t>
    </r>
    <r>
      <rPr>
        <b/>
        <sz val="12"/>
        <color indexed="8"/>
        <rFont val="宋体"/>
        <family val="3"/>
        <charset val="134"/>
      </rPr>
      <t>开发完成后房地产价值</t>
    </r>
    <phoneticPr fontId="21" type="noConversion"/>
  </si>
  <si>
    <r>
      <rPr>
        <b/>
        <sz val="11"/>
        <color indexed="8"/>
        <rFont val="宋体"/>
        <family val="3"/>
        <charset val="134"/>
      </rPr>
      <t>序号</t>
    </r>
    <phoneticPr fontId="21" type="noConversion"/>
  </si>
  <si>
    <r>
      <rPr>
        <b/>
        <sz val="11"/>
        <color indexed="8"/>
        <rFont val="宋体"/>
        <family val="3"/>
        <charset val="134"/>
      </rPr>
      <t>项目名称</t>
    </r>
    <phoneticPr fontId="21"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</si>
  <si>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</si>
  <si>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</si>
  <si>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</si>
  <si>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1" type="noConversion"/>
  </si>
  <si>
    <r>
      <rPr>
        <sz val="10"/>
        <color indexed="8"/>
        <rFont val="宋体"/>
        <family val="3"/>
        <charset val="134"/>
      </rPr>
      <t>（</t>
    </r>
    <r>
      <rPr>
        <sz val="10"/>
        <color indexed="8"/>
        <rFont val="Arial"/>
        <family val="2"/>
      </rPr>
      <t>2</t>
    </r>
    <r>
      <rPr>
        <sz val="10"/>
        <color indexed="8"/>
        <rFont val="宋体"/>
        <family val="3"/>
        <charset val="134"/>
      </rPr>
      <t>）</t>
    </r>
    <phoneticPr fontId="23" type="noConversion"/>
  </si>
  <si>
    <r>
      <rPr>
        <sz val="10"/>
        <color indexed="8"/>
        <rFont val="宋体"/>
        <family val="3"/>
        <charset val="134"/>
      </rPr>
      <t>建筑面积</t>
    </r>
    <phoneticPr fontId="21" type="noConversion"/>
  </si>
  <si>
    <r>
      <rPr>
        <sz val="10"/>
        <color indexed="8"/>
        <rFont val="宋体"/>
        <family val="3"/>
        <charset val="134"/>
      </rPr>
      <t>（</t>
    </r>
    <r>
      <rPr>
        <sz val="10"/>
        <color indexed="8"/>
        <rFont val="Arial"/>
        <family val="2"/>
      </rPr>
      <t>3</t>
    </r>
    <r>
      <rPr>
        <sz val="10"/>
        <color indexed="8"/>
        <rFont val="宋体"/>
        <family val="3"/>
        <charset val="134"/>
      </rPr>
      <t>）</t>
    </r>
    <phoneticPr fontId="23" type="noConversion"/>
  </si>
  <si>
    <r>
      <rPr>
        <sz val="10"/>
        <color indexed="8"/>
        <rFont val="宋体"/>
        <family val="3"/>
        <charset val="134"/>
      </rPr>
      <t>总额</t>
    </r>
    <phoneticPr fontId="21" type="noConversion"/>
  </si>
  <si>
    <r>
      <t>2.</t>
    </r>
    <r>
      <rPr>
        <b/>
        <sz val="12"/>
        <color indexed="8"/>
        <rFont val="宋体"/>
        <family val="3"/>
        <charset val="134"/>
      </rPr>
      <t>扣减项</t>
    </r>
    <phoneticPr fontId="21" type="noConversion"/>
  </si>
  <si>
    <r>
      <rPr>
        <b/>
        <sz val="11"/>
        <color indexed="8"/>
        <rFont val="宋体"/>
        <family val="3"/>
        <charset val="134"/>
      </rPr>
      <t>序号</t>
    </r>
    <phoneticPr fontId="21" type="noConversion"/>
  </si>
  <si>
    <r>
      <rPr>
        <b/>
        <sz val="11"/>
        <color indexed="8"/>
        <rFont val="宋体"/>
        <family val="3"/>
        <charset val="134"/>
      </rPr>
      <t>项目名称</t>
    </r>
    <phoneticPr fontId="21" type="noConversion"/>
  </si>
  <si>
    <r>
      <rPr>
        <b/>
        <sz val="11"/>
        <color indexed="8"/>
        <rFont val="宋体"/>
        <family val="3"/>
        <charset val="134"/>
      </rPr>
      <t>总额</t>
    </r>
    <phoneticPr fontId="21" type="noConversion"/>
  </si>
  <si>
    <r>
      <rPr>
        <b/>
        <sz val="11"/>
        <color indexed="8"/>
        <rFont val="宋体"/>
        <family val="3"/>
        <charset val="134"/>
      </rPr>
      <t>面积</t>
    </r>
    <phoneticPr fontId="21" type="noConversion"/>
  </si>
  <si>
    <r>
      <rPr>
        <b/>
        <sz val="11"/>
        <color indexed="8"/>
        <rFont val="宋体"/>
        <family val="3"/>
        <charset val="134"/>
      </rPr>
      <t>单价</t>
    </r>
    <phoneticPr fontId="21" type="noConversion"/>
  </si>
  <si>
    <r>
      <rPr>
        <b/>
        <sz val="11"/>
        <color indexed="8"/>
        <rFont val="宋体"/>
        <family val="3"/>
        <charset val="134"/>
      </rPr>
      <t>相关系数</t>
    </r>
    <phoneticPr fontId="21" type="noConversion"/>
  </si>
  <si>
    <r>
      <rPr>
        <sz val="10"/>
        <color indexed="8"/>
        <rFont val="宋体"/>
        <family val="3"/>
        <charset val="134"/>
      </rPr>
      <t>续建建安</t>
    </r>
    <phoneticPr fontId="21" type="noConversion"/>
  </si>
  <si>
    <r>
      <rPr>
        <sz val="10"/>
        <color indexed="8"/>
        <rFont val="宋体"/>
        <family val="3"/>
        <charset val="134"/>
      </rPr>
      <t>勘察设计和前期工程费</t>
    </r>
    <phoneticPr fontId="21" type="noConversion"/>
  </si>
  <si>
    <r>
      <rPr>
        <b/>
        <sz val="11"/>
        <color indexed="8"/>
        <rFont val="宋体"/>
        <family val="3"/>
        <charset val="134"/>
      </rPr>
      <t>以建安费用为基数计取</t>
    </r>
    <phoneticPr fontId="21" type="noConversion"/>
  </si>
  <si>
    <r>
      <rPr>
        <sz val="10"/>
        <color indexed="8"/>
        <rFont val="宋体"/>
        <family val="3"/>
        <charset val="134"/>
      </rPr>
      <t>公共配套设施费用</t>
    </r>
    <phoneticPr fontId="21" type="noConversion"/>
  </si>
  <si>
    <r>
      <rPr>
        <b/>
        <sz val="11"/>
        <color indexed="8"/>
        <rFont val="宋体"/>
        <family val="3"/>
        <charset val="134"/>
      </rPr>
      <t>以住宅用房建安费用为基数计取</t>
    </r>
    <phoneticPr fontId="21" type="noConversion"/>
  </si>
  <si>
    <r>
      <rPr>
        <sz val="10"/>
        <color indexed="8"/>
        <rFont val="宋体"/>
        <family val="3"/>
        <charset val="134"/>
      </rPr>
      <t>红线内市政费用</t>
    </r>
    <phoneticPr fontId="21" type="noConversion"/>
  </si>
  <si>
    <r>
      <rPr>
        <b/>
        <sz val="11"/>
        <color indexed="8"/>
        <rFont val="宋体"/>
        <family val="3"/>
        <charset val="134"/>
      </rPr>
      <t>按工程进度计取或按实际情况计取</t>
    </r>
    <phoneticPr fontId="21" type="noConversion"/>
  </si>
  <si>
    <r>
      <rPr>
        <sz val="10"/>
        <color indexed="8"/>
        <rFont val="宋体"/>
        <family val="3"/>
        <charset val="134"/>
      </rPr>
      <t>相关税费</t>
    </r>
    <phoneticPr fontId="21" type="noConversion"/>
  </si>
  <si>
    <r>
      <rPr>
        <sz val="10"/>
        <color indexed="8"/>
        <rFont val="宋体"/>
        <family val="3"/>
        <charset val="134"/>
      </rPr>
      <t>以建安费用为基数计取</t>
    </r>
    <phoneticPr fontId="21" type="noConversion"/>
  </si>
  <si>
    <r>
      <rPr>
        <sz val="10"/>
        <color indexed="8"/>
        <rFont val="宋体"/>
        <family val="3"/>
        <charset val="134"/>
      </rPr>
      <t>续建成本</t>
    </r>
    <phoneticPr fontId="23" type="noConversion"/>
  </si>
  <si>
    <r>
      <rPr>
        <sz val="10"/>
        <color indexed="8"/>
        <rFont val="宋体"/>
        <family val="3"/>
        <charset val="134"/>
      </rPr>
      <t>红线外市政费用（待完成）</t>
    </r>
    <phoneticPr fontId="21" type="noConversion"/>
  </si>
  <si>
    <r>
      <rPr>
        <sz val="10"/>
        <color indexed="8"/>
        <rFont val="宋体"/>
        <family val="3"/>
        <charset val="134"/>
      </rPr>
      <t>按实际情况计取</t>
    </r>
    <phoneticPr fontId="21" type="noConversion"/>
  </si>
  <si>
    <r>
      <rPr>
        <sz val="10"/>
        <color indexed="8"/>
        <rFont val="宋体"/>
        <family val="3"/>
        <charset val="134"/>
      </rPr>
      <t>城市基础设施建设费（行政收费）</t>
    </r>
    <phoneticPr fontId="21" type="noConversion"/>
  </si>
  <si>
    <r>
      <rPr>
        <b/>
        <sz val="10"/>
        <color indexed="8"/>
        <rFont val="宋体"/>
        <family val="3"/>
        <charset val="134"/>
      </rPr>
      <t>万元</t>
    </r>
    <phoneticPr fontId="23" type="noConversion"/>
  </si>
  <si>
    <r>
      <rPr>
        <sz val="10"/>
        <color indexed="8"/>
        <rFont val="宋体"/>
        <family val="3"/>
        <charset val="134"/>
      </rPr>
      <t>住宅</t>
    </r>
    <phoneticPr fontId="21" type="noConversion"/>
  </si>
  <si>
    <r>
      <rPr>
        <sz val="10"/>
        <color indexed="8"/>
        <rFont val="宋体"/>
        <family val="3"/>
        <charset val="134"/>
      </rPr>
      <t>非住宅</t>
    </r>
    <phoneticPr fontId="21" type="noConversion"/>
  </si>
  <si>
    <r>
      <rPr>
        <b/>
        <sz val="11"/>
        <color indexed="8"/>
        <rFont val="宋体"/>
        <family val="3"/>
        <charset val="134"/>
      </rPr>
      <t>后续开发成本</t>
    </r>
    <phoneticPr fontId="21"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</si>
  <si>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3" type="noConversion"/>
  </si>
  <si>
    <r>
      <rPr>
        <b/>
        <sz val="11"/>
        <color indexed="8"/>
        <rFont val="宋体"/>
        <family val="3"/>
        <charset val="134"/>
      </rPr>
      <t>管理费用</t>
    </r>
    <phoneticPr fontId="21" type="noConversion"/>
  </si>
  <si>
    <r>
      <rPr>
        <b/>
        <sz val="11"/>
        <color indexed="8"/>
        <rFont val="宋体"/>
        <family val="3"/>
        <charset val="134"/>
      </rPr>
      <t>以续建成本为基数计算</t>
    </r>
    <phoneticPr fontId="21" type="noConversion"/>
  </si>
  <si>
    <r>
      <rPr>
        <b/>
        <sz val="11"/>
        <color indexed="8"/>
        <rFont val="宋体"/>
        <family val="3"/>
        <charset val="134"/>
      </rPr>
      <t>销售费用</t>
    </r>
    <phoneticPr fontId="21"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</si>
  <si>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1" type="noConversion"/>
  </si>
  <si>
    <r>
      <rPr>
        <sz val="10"/>
        <color indexed="8"/>
        <rFont val="宋体"/>
        <family val="3"/>
        <charset val="134"/>
      </rPr>
      <t>（</t>
    </r>
    <r>
      <rPr>
        <sz val="10"/>
        <color indexed="8"/>
        <rFont val="Arial"/>
        <family val="2"/>
      </rPr>
      <t>4</t>
    </r>
    <r>
      <rPr>
        <sz val="10"/>
        <color indexed="8"/>
        <rFont val="宋体"/>
        <family val="3"/>
        <charset val="134"/>
      </rPr>
      <t>）</t>
    </r>
    <phoneticPr fontId="23" type="noConversion"/>
  </si>
  <si>
    <r>
      <rPr>
        <b/>
        <sz val="11"/>
        <color indexed="8"/>
        <rFont val="宋体"/>
        <family val="3"/>
        <charset val="134"/>
      </rPr>
      <t>取得税费</t>
    </r>
    <phoneticPr fontId="21"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</si>
  <si>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1" type="noConversion"/>
  </si>
  <si>
    <r>
      <rPr>
        <sz val="10"/>
        <color indexed="8"/>
        <rFont val="宋体"/>
        <family val="3"/>
        <charset val="134"/>
      </rPr>
      <t>（</t>
    </r>
    <r>
      <rPr>
        <sz val="10"/>
        <color indexed="8"/>
        <rFont val="Arial"/>
        <family val="2"/>
      </rPr>
      <t>5</t>
    </r>
    <r>
      <rPr>
        <sz val="10"/>
        <color indexed="8"/>
        <rFont val="宋体"/>
        <family val="3"/>
        <charset val="134"/>
      </rPr>
      <t>）</t>
    </r>
    <phoneticPr fontId="23" type="noConversion"/>
  </si>
  <si>
    <r>
      <rPr>
        <b/>
        <sz val="11"/>
        <color indexed="8"/>
        <rFont val="宋体"/>
        <family val="3"/>
        <charset val="134"/>
      </rPr>
      <t>利息</t>
    </r>
    <phoneticPr fontId="21" type="noConversion"/>
  </si>
  <si>
    <r>
      <rPr>
        <sz val="10"/>
        <color indexed="8"/>
        <rFont val="宋体"/>
        <family val="3"/>
        <charset val="134"/>
      </rPr>
      <t>估价对象及取得税费产生的利息</t>
    </r>
    <phoneticPr fontId="21"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</si>
  <si>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1" type="noConversion"/>
  </si>
  <si>
    <r>
      <rPr>
        <sz val="10"/>
        <color indexed="8"/>
        <rFont val="宋体"/>
        <family val="3"/>
        <charset val="134"/>
      </rPr>
      <t>（</t>
    </r>
    <r>
      <rPr>
        <sz val="10"/>
        <color indexed="8"/>
        <rFont val="Arial"/>
        <family val="2"/>
      </rPr>
      <t>6</t>
    </r>
    <r>
      <rPr>
        <sz val="10"/>
        <color indexed="8"/>
        <rFont val="宋体"/>
        <family val="3"/>
        <charset val="134"/>
      </rPr>
      <t>）</t>
    </r>
    <phoneticPr fontId="23" type="noConversion"/>
  </si>
  <si>
    <r>
      <rPr>
        <b/>
        <sz val="11"/>
        <color indexed="8"/>
        <rFont val="宋体"/>
        <family val="3"/>
        <charset val="134"/>
      </rPr>
      <t>投资利润</t>
    </r>
    <phoneticPr fontId="21" type="noConversion"/>
  </si>
  <si>
    <r>
      <rPr>
        <sz val="10"/>
        <color indexed="8"/>
        <rFont val="宋体"/>
        <family val="3"/>
        <charset val="134"/>
      </rPr>
      <t>估价对象及取得税费应计的利润</t>
    </r>
    <phoneticPr fontId="21"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</si>
  <si>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1"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</si>
  <si>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1" type="noConversion"/>
  </si>
  <si>
    <r>
      <rPr>
        <sz val="10"/>
        <color indexed="8"/>
        <rFont val="宋体"/>
        <family val="3"/>
        <charset val="134"/>
      </rPr>
      <t>（</t>
    </r>
    <r>
      <rPr>
        <sz val="10"/>
        <color indexed="8"/>
        <rFont val="Arial"/>
        <family val="2"/>
      </rPr>
      <t>7</t>
    </r>
    <r>
      <rPr>
        <sz val="10"/>
        <color indexed="8"/>
        <rFont val="宋体"/>
        <family val="3"/>
        <charset val="134"/>
      </rPr>
      <t>）</t>
    </r>
    <phoneticPr fontId="23" type="noConversion"/>
  </si>
  <si>
    <r>
      <rPr>
        <b/>
        <sz val="11"/>
        <color indexed="8"/>
        <rFont val="宋体"/>
        <family val="3"/>
        <charset val="134"/>
      </rPr>
      <t>销售税费</t>
    </r>
    <phoneticPr fontId="21"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</si>
  <si>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1"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</si>
  <si>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3" type="noConversion"/>
  </si>
  <si>
    <r>
      <rPr>
        <b/>
        <sz val="12"/>
        <color indexed="8"/>
        <rFont val="宋体"/>
        <family val="3"/>
        <charset val="134"/>
      </rPr>
      <t>估价对象价值</t>
    </r>
    <r>
      <rPr>
        <b/>
        <sz val="12"/>
        <color indexed="8"/>
        <rFont val="Arial"/>
        <family val="2"/>
      </rPr>
      <t>=1-2</t>
    </r>
    <phoneticPr fontId="21" type="noConversion"/>
  </si>
  <si>
    <r>
      <rPr>
        <sz val="11"/>
        <color theme="1"/>
        <rFont val="宋体"/>
        <family val="3"/>
        <charset val="134"/>
      </rPr>
      <t>万元</t>
    </r>
  </si>
  <si>
    <r>
      <rPr>
        <b/>
        <sz val="11"/>
        <color theme="1"/>
        <rFont val="宋体"/>
        <family val="3"/>
        <charset val="134"/>
      </rPr>
      <t>汇总建筑面积</t>
    </r>
    <phoneticPr fontId="148" type="noConversion"/>
  </si>
  <si>
    <r>
      <rPr>
        <b/>
        <sz val="11"/>
        <color theme="1"/>
        <rFont val="宋体"/>
        <family val="3"/>
        <charset val="134"/>
      </rPr>
      <t>本次评估所采用的收益法</t>
    </r>
    <phoneticPr fontId="148" type="noConversion"/>
  </si>
  <si>
    <r>
      <rPr>
        <b/>
        <sz val="11"/>
        <color theme="1"/>
        <rFont val="宋体"/>
        <family val="3"/>
        <charset val="134"/>
      </rPr>
      <t>估价结果</t>
    </r>
    <phoneticPr fontId="148" type="noConversion"/>
  </si>
  <si>
    <r>
      <rPr>
        <b/>
        <sz val="11"/>
        <color theme="1"/>
        <rFont val="宋体"/>
        <family val="3"/>
        <charset val="134"/>
      </rPr>
      <t>建筑面积</t>
    </r>
    <phoneticPr fontId="148" type="noConversion"/>
  </si>
  <si>
    <r>
      <rPr>
        <sz val="11"/>
        <color theme="1"/>
        <rFont val="宋体"/>
        <family val="3"/>
        <charset val="134"/>
      </rPr>
      <t>是否参与计算</t>
    </r>
    <phoneticPr fontId="148" type="noConversion"/>
  </si>
  <si>
    <r>
      <rPr>
        <sz val="11"/>
        <color theme="1"/>
        <rFont val="宋体"/>
        <family val="3"/>
        <charset val="134"/>
      </rPr>
      <t>是</t>
    </r>
  </si>
  <si>
    <r>
      <rPr>
        <b/>
        <sz val="16"/>
        <color rgb="FFFF0000"/>
        <rFont val="宋体"/>
        <family val="3"/>
        <charset val="134"/>
      </rPr>
      <t>收益法（汇总）</t>
    </r>
    <phoneticPr fontId="8"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</si>
  <si>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</si>
  <si>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8" type="noConversion"/>
  </si>
  <si>
    <r>
      <rPr>
        <b/>
        <sz val="16"/>
        <rFont val="宋体"/>
        <family val="3"/>
        <charset val="134"/>
      </rPr>
      <t>住宅</t>
    </r>
    <phoneticPr fontId="8" type="noConversion"/>
  </si>
  <si>
    <r>
      <rPr>
        <b/>
        <sz val="16"/>
        <rFont val="宋体"/>
        <family val="3"/>
        <charset val="134"/>
      </rPr>
      <t>─</t>
    </r>
    <phoneticPr fontId="30"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</si>
  <si>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</si>
  <si>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0" type="noConversion"/>
  </si>
  <si>
    <r>
      <rPr>
        <b/>
        <sz val="12"/>
        <rFont val="宋体"/>
        <family val="3"/>
        <charset val="134"/>
      </rPr>
      <t>万元</t>
    </r>
    <phoneticPr fontId="23" type="noConversion"/>
  </si>
  <si>
    <r>
      <rPr>
        <b/>
        <sz val="12"/>
        <rFont val="宋体"/>
        <family val="3"/>
        <charset val="134"/>
      </rPr>
      <t>建筑面积</t>
    </r>
    <phoneticPr fontId="30" type="noConversion"/>
  </si>
  <si>
    <r>
      <rPr>
        <b/>
        <sz val="11"/>
        <rFont val="宋体"/>
        <family val="3"/>
        <charset val="134"/>
      </rPr>
      <t>比较因素</t>
    </r>
    <phoneticPr fontId="8" type="noConversion"/>
  </si>
  <si>
    <r>
      <rPr>
        <sz val="11"/>
        <rFont val="宋体"/>
        <family val="3"/>
        <charset val="134"/>
      </rPr>
      <t>估价对象</t>
    </r>
    <phoneticPr fontId="8" type="noConversion"/>
  </si>
  <si>
    <r>
      <rPr>
        <sz val="11"/>
        <rFont val="宋体"/>
        <family val="3"/>
        <charset val="134"/>
      </rPr>
      <t>案例</t>
    </r>
    <r>
      <rPr>
        <sz val="11"/>
        <rFont val="Arial"/>
        <family val="2"/>
      </rPr>
      <t>A</t>
    </r>
    <phoneticPr fontId="8" type="noConversion"/>
  </si>
  <si>
    <r>
      <rPr>
        <sz val="11"/>
        <rFont val="宋体"/>
        <family val="3"/>
        <charset val="134"/>
      </rPr>
      <t>案例</t>
    </r>
    <r>
      <rPr>
        <sz val="11"/>
        <rFont val="Arial"/>
        <family val="2"/>
      </rPr>
      <t>B</t>
    </r>
    <phoneticPr fontId="8" type="noConversion"/>
  </si>
  <si>
    <r>
      <rPr>
        <sz val="11"/>
        <rFont val="宋体"/>
        <family val="3"/>
        <charset val="134"/>
      </rPr>
      <t>案例</t>
    </r>
    <r>
      <rPr>
        <sz val="11"/>
        <rFont val="Arial"/>
        <family val="2"/>
      </rPr>
      <t>C</t>
    </r>
    <phoneticPr fontId="8" type="noConversion"/>
  </si>
  <si>
    <r>
      <rPr>
        <sz val="11"/>
        <color indexed="8"/>
        <rFont val="宋体"/>
        <family val="3"/>
        <charset val="134"/>
      </rPr>
      <t>修正幅度</t>
    </r>
    <phoneticPr fontId="8" type="noConversion"/>
  </si>
  <si>
    <r>
      <rPr>
        <sz val="11"/>
        <rFont val="宋体"/>
        <family val="3"/>
        <charset val="134"/>
      </rPr>
      <t>比较因素</t>
    </r>
    <phoneticPr fontId="8" type="noConversion"/>
  </si>
  <si>
    <r>
      <rPr>
        <sz val="11"/>
        <color theme="9" tint="-0.249977111117893"/>
        <rFont val="宋体"/>
        <family val="3"/>
        <charset val="134"/>
      </rPr>
      <t>估价对象名称</t>
    </r>
    <phoneticPr fontId="8"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</si>
  <si>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8"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</si>
  <si>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8"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</si>
  <si>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8" type="noConversion"/>
  </si>
  <si>
    <r>
      <rPr>
        <sz val="11"/>
        <color theme="9" tint="-0.249977111117893"/>
        <rFont val="宋体"/>
        <family val="3"/>
        <charset val="134"/>
      </rPr>
      <t>项目位置</t>
    </r>
    <phoneticPr fontId="8" type="noConversion"/>
  </si>
  <si>
    <r>
      <rPr>
        <sz val="11"/>
        <color indexed="8"/>
        <rFont val="宋体"/>
        <family val="3"/>
        <charset val="134"/>
      </rPr>
      <t>系数</t>
    </r>
    <r>
      <rPr>
        <sz val="11"/>
        <color indexed="8"/>
        <rFont val="Arial"/>
        <family val="2"/>
      </rPr>
      <t>%</t>
    </r>
    <phoneticPr fontId="8" type="noConversion"/>
  </si>
  <si>
    <r>
      <rPr>
        <b/>
        <sz val="11"/>
        <color indexed="8"/>
        <rFont val="宋体"/>
        <family val="3"/>
        <charset val="134"/>
      </rPr>
      <t>交易时间</t>
    </r>
    <phoneticPr fontId="8" type="noConversion"/>
  </si>
  <si>
    <r>
      <rPr>
        <sz val="11"/>
        <color indexed="8"/>
        <rFont val="宋体"/>
        <family val="3"/>
        <charset val="134"/>
      </rPr>
      <t>交易时间</t>
    </r>
    <phoneticPr fontId="8" type="noConversion"/>
  </si>
  <si>
    <r>
      <rPr>
        <b/>
        <sz val="11"/>
        <color indexed="8"/>
        <rFont val="宋体"/>
        <family val="3"/>
        <charset val="134"/>
      </rPr>
      <t>交易情况</t>
    </r>
    <phoneticPr fontId="8" type="noConversion"/>
  </si>
  <si>
    <r>
      <rPr>
        <sz val="11"/>
        <color indexed="8"/>
        <rFont val="宋体"/>
        <family val="3"/>
        <charset val="134"/>
      </rPr>
      <t>正常</t>
    </r>
  </si>
  <si>
    <r>
      <rPr>
        <sz val="11"/>
        <color indexed="8"/>
        <rFont val="宋体"/>
        <family val="3"/>
        <charset val="134"/>
      </rPr>
      <t>交易情况</t>
    </r>
    <phoneticPr fontId="8" type="noConversion"/>
  </si>
  <si>
    <r>
      <rPr>
        <b/>
        <sz val="11"/>
        <color indexed="8"/>
        <rFont val="宋体"/>
        <family val="3"/>
        <charset val="134"/>
      </rPr>
      <t>权益状况</t>
    </r>
    <phoneticPr fontId="8" type="noConversion"/>
  </si>
  <si>
    <r>
      <rPr>
        <sz val="11"/>
        <color indexed="8"/>
        <rFont val="宋体"/>
        <family val="3"/>
        <charset val="134"/>
      </rPr>
      <t>用途</t>
    </r>
    <phoneticPr fontId="8" type="noConversion"/>
  </si>
  <si>
    <r>
      <rPr>
        <sz val="11"/>
        <rFont val="宋体"/>
        <family val="3"/>
        <charset val="134"/>
      </rPr>
      <t>权益状况</t>
    </r>
    <phoneticPr fontId="8" type="noConversion"/>
  </si>
  <si>
    <r>
      <rPr>
        <sz val="11"/>
        <color indexed="8"/>
        <rFont val="宋体"/>
        <family val="3"/>
        <charset val="134"/>
      </rPr>
      <t>权益状况</t>
    </r>
    <phoneticPr fontId="8" type="noConversion"/>
  </si>
  <si>
    <r>
      <rPr>
        <sz val="11"/>
        <color indexed="8"/>
        <rFont val="宋体"/>
        <family val="3"/>
        <charset val="134"/>
      </rPr>
      <t>土地使用年限（年）</t>
    </r>
    <phoneticPr fontId="8" type="noConversion"/>
  </si>
  <si>
    <r>
      <rPr>
        <sz val="11"/>
        <color indexed="8"/>
        <rFont val="宋体"/>
        <family val="3"/>
        <charset val="134"/>
      </rPr>
      <t>容积率</t>
    </r>
    <phoneticPr fontId="8" type="noConversion"/>
  </si>
  <si>
    <r>
      <rPr>
        <b/>
        <sz val="11"/>
        <rFont val="宋体"/>
        <family val="3"/>
        <charset val="134"/>
      </rPr>
      <t>区位状况</t>
    </r>
    <phoneticPr fontId="8" type="noConversion"/>
  </si>
  <si>
    <r>
      <rPr>
        <sz val="11"/>
        <rFont val="宋体"/>
        <family val="3"/>
        <charset val="134"/>
      </rPr>
      <t>区位状况</t>
    </r>
    <phoneticPr fontId="8" type="noConversion"/>
  </si>
  <si>
    <r>
      <rPr>
        <sz val="11"/>
        <color indexed="8"/>
        <rFont val="宋体"/>
        <family val="3"/>
        <charset val="134"/>
      </rPr>
      <t>楼层</t>
    </r>
    <r>
      <rPr>
        <sz val="11"/>
        <color indexed="8"/>
        <rFont val="Arial"/>
        <family val="2"/>
      </rPr>
      <t>-1</t>
    </r>
    <phoneticPr fontId="30" type="noConversion"/>
  </si>
  <si>
    <r>
      <rPr>
        <sz val="11"/>
        <color indexed="8"/>
        <rFont val="宋体"/>
        <family val="3"/>
        <charset val="134"/>
      </rPr>
      <t>朝向</t>
    </r>
  </si>
  <si>
    <r>
      <rPr>
        <b/>
        <sz val="11"/>
        <rFont val="宋体"/>
        <family val="3"/>
        <charset val="134"/>
      </rPr>
      <t>实物状况</t>
    </r>
    <phoneticPr fontId="8" type="noConversion"/>
  </si>
  <si>
    <r>
      <rPr>
        <sz val="11"/>
        <color indexed="8"/>
        <rFont val="宋体"/>
        <family val="3"/>
        <charset val="134"/>
      </rPr>
      <t>建筑类型</t>
    </r>
  </si>
  <si>
    <r>
      <rPr>
        <sz val="11"/>
        <rFont val="宋体"/>
        <family val="3"/>
        <charset val="134"/>
      </rPr>
      <t>实物状况</t>
    </r>
    <phoneticPr fontId="8"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</si>
  <si>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</si>
  <si>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</si>
  <si>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</si>
  <si>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</si>
  <si>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</si>
  <si>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</si>
  <si>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3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</si>
  <si>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</si>
  <si>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8"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</si>
  <si>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</si>
  <si>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</si>
  <si>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8" type="noConversion"/>
  </si>
  <si>
    <r>
      <rPr>
        <b/>
        <sz val="11"/>
        <rFont val="宋体"/>
        <family val="3"/>
        <charset val="134"/>
      </rPr>
      <t>比较价值（元</t>
    </r>
    <r>
      <rPr>
        <b/>
        <sz val="11"/>
        <rFont val="Arial"/>
        <family val="2"/>
      </rPr>
      <t>/</t>
    </r>
    <r>
      <rPr>
        <b/>
        <sz val="11"/>
        <rFont val="宋体"/>
        <family val="3"/>
        <charset val="134"/>
      </rPr>
      <t>平方米）</t>
    </r>
    <phoneticPr fontId="8"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</si>
  <si>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8" type="noConversion"/>
  </si>
  <si>
    <r>
      <rPr>
        <b/>
        <sz val="11"/>
        <rFont val="宋体"/>
        <family val="3"/>
        <charset val="134"/>
      </rPr>
      <t>总修正幅度不超过</t>
    </r>
    <r>
      <rPr>
        <b/>
        <sz val="11"/>
        <color indexed="10"/>
        <rFont val="Arial"/>
        <family val="2"/>
      </rPr>
      <t>30%</t>
    </r>
    <phoneticPr fontId="8" type="noConversion"/>
  </si>
  <si>
    <r>
      <rPr>
        <b/>
        <sz val="11"/>
        <rFont val="宋体"/>
        <family val="3"/>
        <charset val="134"/>
      </rPr>
      <t>各修正结果之间不超过</t>
    </r>
    <r>
      <rPr>
        <b/>
        <sz val="11"/>
        <color indexed="10"/>
        <rFont val="Arial"/>
        <family val="2"/>
      </rPr>
      <t>20%</t>
    </r>
    <phoneticPr fontId="8" type="noConversion"/>
  </si>
  <si>
    <r>
      <rPr>
        <b/>
        <sz val="11"/>
        <rFont val="宋体"/>
        <family val="3"/>
        <charset val="134"/>
      </rPr>
      <t>各案例间不超过</t>
    </r>
    <r>
      <rPr>
        <b/>
        <sz val="11"/>
        <color indexed="10"/>
        <rFont val="Arial"/>
        <family val="2"/>
      </rPr>
      <t>30%</t>
    </r>
    <phoneticPr fontId="8"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</si>
  <si>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8" type="noConversion"/>
  </si>
  <si>
    <r>
      <rPr>
        <b/>
        <sz val="11"/>
        <color indexed="8"/>
        <rFont val="宋体"/>
        <family val="3"/>
        <charset val="134"/>
      </rPr>
      <t>交易时间</t>
    </r>
    <phoneticPr fontId="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</si>
  <si>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0" type="noConversion"/>
  </si>
  <si>
    <r>
      <rPr>
        <b/>
        <sz val="11"/>
        <color indexed="8"/>
        <rFont val="宋体"/>
        <family val="3"/>
        <charset val="134"/>
      </rPr>
      <t>交易情况</t>
    </r>
    <phoneticPr fontId="8" type="noConversion"/>
  </si>
  <si>
    <r>
      <rPr>
        <sz val="11"/>
        <color indexed="8"/>
        <rFont val="宋体"/>
        <family val="3"/>
        <charset val="134"/>
      </rPr>
      <t>正常</t>
    </r>
    <phoneticPr fontId="30" type="noConversion"/>
  </si>
  <si>
    <r>
      <rPr>
        <b/>
        <sz val="11"/>
        <rFont val="宋体"/>
        <family val="3"/>
        <charset val="134"/>
      </rPr>
      <t>权益状况</t>
    </r>
    <phoneticPr fontId="8" type="noConversion"/>
  </si>
  <si>
    <r>
      <t>60-70</t>
    </r>
    <r>
      <rPr>
        <sz val="11"/>
        <rFont val="宋体"/>
        <family val="3"/>
        <charset val="134"/>
      </rPr>
      <t>（含）</t>
    </r>
    <phoneticPr fontId="30" type="noConversion"/>
  </si>
  <si>
    <r>
      <t>50-60</t>
    </r>
    <r>
      <rPr>
        <sz val="11"/>
        <rFont val="宋体"/>
        <family val="3"/>
        <charset val="134"/>
      </rPr>
      <t>（含）</t>
    </r>
    <phoneticPr fontId="30" type="noConversion"/>
  </si>
  <si>
    <r>
      <t>40-50</t>
    </r>
    <r>
      <rPr>
        <sz val="11"/>
        <rFont val="宋体"/>
        <family val="3"/>
        <charset val="134"/>
      </rPr>
      <t>（含）</t>
    </r>
    <phoneticPr fontId="30" type="noConversion"/>
  </si>
  <si>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</si>
  <si>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</si>
  <si>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</si>
  <si>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r>
      <t>0-10</t>
    </r>
    <r>
      <rPr>
        <sz val="11"/>
        <rFont val="宋体"/>
        <family val="3"/>
        <charset val="134"/>
      </rPr>
      <t>（含）</t>
    </r>
    <phoneticPr fontId="30" type="noConversion"/>
  </si>
  <si>
    <r>
      <rPr>
        <sz val="11"/>
        <color indexed="8"/>
        <rFont val="宋体"/>
        <family val="3"/>
        <charset val="134"/>
      </rPr>
      <t>居住社区成熟度</t>
    </r>
    <phoneticPr fontId="8" type="noConversion"/>
  </si>
  <si>
    <r>
      <rPr>
        <sz val="11"/>
        <color indexed="8"/>
        <rFont val="宋体"/>
        <family val="3"/>
        <charset val="134"/>
      </rPr>
      <t>好</t>
    </r>
    <phoneticPr fontId="8" type="noConversion"/>
  </si>
  <si>
    <r>
      <rPr>
        <sz val="11"/>
        <color indexed="8"/>
        <rFont val="宋体"/>
        <family val="3"/>
        <charset val="134"/>
      </rPr>
      <t>较好</t>
    </r>
    <phoneticPr fontId="8" type="noConversion"/>
  </si>
  <si>
    <r>
      <rPr>
        <sz val="11"/>
        <color indexed="8"/>
        <rFont val="宋体"/>
        <family val="3"/>
        <charset val="134"/>
      </rPr>
      <t>一般</t>
    </r>
    <phoneticPr fontId="8" type="noConversion"/>
  </si>
  <si>
    <r>
      <rPr>
        <sz val="11"/>
        <color indexed="8"/>
        <rFont val="宋体"/>
        <family val="3"/>
        <charset val="134"/>
      </rPr>
      <t>较差</t>
    </r>
    <phoneticPr fontId="8" type="noConversion"/>
  </si>
  <si>
    <r>
      <rPr>
        <sz val="11"/>
        <color indexed="8"/>
        <rFont val="宋体"/>
        <family val="3"/>
        <charset val="134"/>
      </rPr>
      <t>差</t>
    </r>
    <phoneticPr fontId="8" type="noConversion"/>
  </si>
  <si>
    <r>
      <rPr>
        <sz val="11"/>
        <color indexed="8"/>
        <rFont val="宋体"/>
        <family val="3"/>
        <charset val="134"/>
      </rPr>
      <t>交通便捷度</t>
    </r>
    <phoneticPr fontId="8" type="noConversion"/>
  </si>
  <si>
    <r>
      <rPr>
        <sz val="11"/>
        <color indexed="8"/>
        <rFont val="宋体"/>
        <family val="3"/>
        <charset val="134"/>
      </rPr>
      <t>公共配套设施</t>
    </r>
    <phoneticPr fontId="8"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</si>
  <si>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</si>
  <si>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</si>
  <si>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</si>
  <si>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</si>
  <si>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</si>
  <si>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自然及人文环境</t>
    </r>
    <phoneticPr fontId="8" type="noConversion"/>
  </si>
  <si>
    <r>
      <rPr>
        <sz val="11"/>
        <color indexed="8"/>
        <rFont val="宋体"/>
        <family val="3"/>
        <charset val="134"/>
      </rPr>
      <t>楼层</t>
    </r>
    <r>
      <rPr>
        <sz val="11"/>
        <color indexed="8"/>
        <rFont val="Arial"/>
        <family val="2"/>
      </rPr>
      <t>-1</t>
    </r>
    <phoneticPr fontId="8" type="noConversion"/>
  </si>
  <si>
    <r>
      <rPr>
        <sz val="11"/>
        <color indexed="8"/>
        <rFont val="宋体"/>
        <family val="3"/>
        <charset val="134"/>
      </rPr>
      <t>朝向</t>
    </r>
    <phoneticPr fontId="8" type="noConversion"/>
  </si>
  <si>
    <r>
      <rPr>
        <sz val="11"/>
        <color indexed="8"/>
        <rFont val="宋体"/>
        <family val="3"/>
        <charset val="134"/>
      </rPr>
      <t>建筑类型</t>
    </r>
    <phoneticPr fontId="8" type="noConversion"/>
  </si>
  <si>
    <r>
      <rPr>
        <sz val="11"/>
        <color indexed="8"/>
        <rFont val="宋体"/>
        <family val="3"/>
        <charset val="134"/>
      </rPr>
      <t>项目建筑规模</t>
    </r>
    <phoneticPr fontId="8" type="noConversion"/>
  </si>
  <si>
    <r>
      <rPr>
        <sz val="11"/>
        <color indexed="8"/>
        <rFont val="宋体"/>
        <family val="3"/>
        <charset val="134"/>
      </rPr>
      <t>建筑结构</t>
    </r>
    <phoneticPr fontId="8" type="noConversion"/>
  </si>
  <si>
    <r>
      <rPr>
        <sz val="11"/>
        <color indexed="8"/>
        <rFont val="宋体"/>
        <family val="3"/>
        <charset val="134"/>
      </rPr>
      <t>建筑品质</t>
    </r>
    <phoneticPr fontId="8" type="noConversion"/>
  </si>
  <si>
    <r>
      <rPr>
        <sz val="11"/>
        <color indexed="8"/>
        <rFont val="宋体"/>
        <family val="3"/>
        <charset val="134"/>
      </rPr>
      <t>公共部分装修</t>
    </r>
    <phoneticPr fontId="8" type="noConversion"/>
  </si>
  <si>
    <r>
      <rPr>
        <sz val="11"/>
        <color indexed="8"/>
        <rFont val="宋体"/>
        <family val="3"/>
        <charset val="134"/>
      </rPr>
      <t>物业管理</t>
    </r>
    <phoneticPr fontId="8" type="noConversion"/>
  </si>
  <si>
    <r>
      <rPr>
        <sz val="11"/>
        <color indexed="8"/>
        <rFont val="宋体"/>
        <family val="3"/>
        <charset val="134"/>
      </rPr>
      <t>市政基础设施</t>
    </r>
    <phoneticPr fontId="8" type="noConversion"/>
  </si>
  <si>
    <r>
      <rPr>
        <sz val="11"/>
        <color indexed="8"/>
        <rFont val="宋体"/>
        <family val="3"/>
        <charset val="134"/>
      </rPr>
      <t>房型</t>
    </r>
    <phoneticPr fontId="8" type="noConversion"/>
  </si>
  <si>
    <r>
      <rPr>
        <sz val="11"/>
        <color indexed="8"/>
        <rFont val="宋体"/>
        <family val="3"/>
        <charset val="134"/>
      </rPr>
      <t>内部装修</t>
    </r>
    <phoneticPr fontId="8" type="noConversion"/>
  </si>
  <si>
    <r>
      <rPr>
        <sz val="11"/>
        <color indexed="8"/>
        <rFont val="宋体"/>
        <family val="3"/>
        <charset val="134"/>
      </rPr>
      <t>内部装修维护情况</t>
    </r>
    <phoneticPr fontId="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</si>
  <si>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8" type="noConversion"/>
  </si>
  <si>
    <r>
      <rPr>
        <sz val="11"/>
        <color theme="1"/>
        <rFont val="宋体"/>
        <family val="3"/>
        <charset val="134"/>
      </rPr>
      <t>多层</t>
    </r>
    <phoneticPr fontId="8" type="noConversion"/>
  </si>
  <si>
    <r>
      <rPr>
        <sz val="11"/>
        <color theme="1"/>
        <rFont val="宋体"/>
        <family val="3"/>
        <charset val="134"/>
      </rPr>
      <t>高层</t>
    </r>
    <phoneticPr fontId="8" type="noConversion"/>
  </si>
  <si>
    <r>
      <rPr>
        <sz val="11"/>
        <color theme="1"/>
        <rFont val="宋体"/>
        <family val="3"/>
        <charset val="134"/>
      </rPr>
      <t>无电梯</t>
    </r>
    <phoneticPr fontId="8" type="noConversion"/>
  </si>
  <si>
    <r>
      <rPr>
        <sz val="11"/>
        <color theme="1"/>
        <rFont val="宋体"/>
        <family val="3"/>
        <charset val="134"/>
      </rPr>
      <t>增值项</t>
    </r>
    <phoneticPr fontId="8" type="noConversion"/>
  </si>
  <si>
    <r>
      <rPr>
        <sz val="11"/>
        <color theme="1"/>
        <rFont val="宋体"/>
        <family val="3"/>
        <charset val="134"/>
      </rPr>
      <t>系数</t>
    </r>
    <phoneticPr fontId="8" type="noConversion"/>
  </si>
  <si>
    <r>
      <rPr>
        <sz val="11"/>
        <color theme="1"/>
        <rFont val="宋体"/>
        <family val="3"/>
        <charset val="134"/>
      </rPr>
      <t>有电梯</t>
    </r>
    <phoneticPr fontId="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</si>
  <si>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 type="noConversion"/>
  </si>
  <si>
    <r>
      <rPr>
        <sz val="11"/>
        <color theme="1"/>
        <rFont val="宋体"/>
        <family val="3"/>
        <charset val="134"/>
      </rPr>
      <t>层差</t>
    </r>
    <r>
      <rPr>
        <sz val="11"/>
        <color theme="1"/>
        <rFont val="Arial"/>
        <family val="2"/>
      </rPr>
      <t>/</t>
    </r>
    <r>
      <rPr>
        <sz val="11"/>
        <color theme="1"/>
        <rFont val="宋体"/>
        <family val="3"/>
        <charset val="134"/>
      </rPr>
      <t>系数</t>
    </r>
    <phoneticPr fontId="8" type="noConversion"/>
  </si>
  <si>
    <r>
      <rPr>
        <sz val="11"/>
        <color theme="1"/>
        <rFont val="宋体"/>
        <family val="3"/>
        <charset val="134"/>
      </rPr>
      <t>露台</t>
    </r>
    <phoneticPr fontId="8" type="noConversion"/>
  </si>
  <si>
    <r>
      <rPr>
        <sz val="11"/>
        <color theme="1"/>
        <rFont val="宋体"/>
        <family val="3"/>
        <charset val="134"/>
      </rPr>
      <t>总层数</t>
    </r>
    <phoneticPr fontId="8" type="noConversion"/>
  </si>
  <si>
    <r>
      <rPr>
        <sz val="11"/>
        <color theme="1"/>
        <rFont val="宋体"/>
        <family val="3"/>
        <charset val="134"/>
      </rPr>
      <t>中间层</t>
    </r>
    <phoneticPr fontId="8" type="noConversion"/>
  </si>
  <si>
    <r>
      <rPr>
        <sz val="11"/>
        <color theme="1"/>
        <rFont val="宋体"/>
        <family val="3"/>
        <charset val="134"/>
      </rPr>
      <t>首层</t>
    </r>
    <phoneticPr fontId="8" type="noConversion"/>
  </si>
  <si>
    <r>
      <rPr>
        <sz val="11"/>
        <color theme="1"/>
        <rFont val="宋体"/>
        <family val="3"/>
        <charset val="134"/>
      </rPr>
      <t>顶层</t>
    </r>
    <phoneticPr fontId="8" type="noConversion"/>
  </si>
  <si>
    <r>
      <rPr>
        <sz val="11"/>
        <color theme="1"/>
        <rFont val="宋体"/>
        <family val="3"/>
        <charset val="134"/>
      </rPr>
      <t>所在楼层</t>
    </r>
    <phoneticPr fontId="8" type="noConversion"/>
  </si>
  <si>
    <r>
      <rPr>
        <sz val="11"/>
        <color theme="1"/>
        <rFont val="宋体"/>
        <family val="3"/>
        <charset val="134"/>
      </rPr>
      <t>花园</t>
    </r>
    <phoneticPr fontId="8" type="noConversion"/>
  </si>
  <si>
    <r>
      <rPr>
        <sz val="11"/>
        <color theme="1"/>
        <rFont val="宋体"/>
        <family val="3"/>
        <charset val="134"/>
      </rPr>
      <t>最高最低差</t>
    </r>
    <phoneticPr fontId="8" type="noConversion"/>
  </si>
  <si>
    <r>
      <rPr>
        <sz val="12"/>
        <rFont val="宋体"/>
        <family val="3"/>
        <charset val="134"/>
      </rPr>
      <t>注意于无电梯多层的价值匹配</t>
    </r>
    <phoneticPr fontId="8" type="noConversion"/>
  </si>
  <si>
    <r>
      <rPr>
        <sz val="11"/>
        <color rgb="FFFF0000"/>
        <rFont val="宋体"/>
        <family val="3"/>
        <charset val="134"/>
      </rPr>
      <t>修正体系描述方式：</t>
    </r>
    <phoneticPr fontId="8"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</si>
  <si>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8" type="noConversion"/>
  </si>
  <si>
    <r>
      <rPr>
        <b/>
        <sz val="16"/>
        <rFont val="宋体"/>
        <family val="3"/>
        <charset val="134"/>
      </rPr>
      <t>商业</t>
    </r>
    <phoneticPr fontId="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</si>
  <si>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0" type="noConversion"/>
  </si>
  <si>
    <r>
      <rPr>
        <b/>
        <sz val="12"/>
        <rFont val="宋体"/>
        <family val="3"/>
        <charset val="134"/>
      </rPr>
      <t>建筑面积</t>
    </r>
    <phoneticPr fontId="30" type="noConversion"/>
  </si>
  <si>
    <r>
      <rPr>
        <b/>
        <sz val="11"/>
        <rFont val="宋体"/>
        <family val="3"/>
        <charset val="134"/>
      </rPr>
      <t>比较因素</t>
    </r>
    <phoneticPr fontId="8" type="noConversion"/>
  </si>
  <si>
    <r>
      <rPr>
        <sz val="11"/>
        <rFont val="宋体"/>
        <family val="3"/>
        <charset val="134"/>
      </rPr>
      <t>估价对象</t>
    </r>
    <phoneticPr fontId="8" type="noConversion"/>
  </si>
  <si>
    <r>
      <rPr>
        <sz val="11"/>
        <rFont val="宋体"/>
        <family val="3"/>
        <charset val="134"/>
      </rPr>
      <t>案例</t>
    </r>
    <r>
      <rPr>
        <sz val="11"/>
        <rFont val="Arial"/>
        <family val="2"/>
      </rPr>
      <t>A</t>
    </r>
    <phoneticPr fontId="8" type="noConversion"/>
  </si>
  <si>
    <r>
      <rPr>
        <sz val="11"/>
        <rFont val="宋体"/>
        <family val="3"/>
        <charset val="134"/>
      </rPr>
      <t>案例</t>
    </r>
    <r>
      <rPr>
        <sz val="11"/>
        <rFont val="Arial"/>
        <family val="2"/>
      </rPr>
      <t>B</t>
    </r>
    <phoneticPr fontId="8" type="noConversion"/>
  </si>
  <si>
    <r>
      <rPr>
        <sz val="11"/>
        <rFont val="宋体"/>
        <family val="3"/>
        <charset val="134"/>
      </rPr>
      <t>案例</t>
    </r>
    <r>
      <rPr>
        <sz val="11"/>
        <rFont val="Arial"/>
        <family val="2"/>
      </rPr>
      <t>C</t>
    </r>
    <phoneticPr fontId="8" type="noConversion"/>
  </si>
  <si>
    <r>
      <rPr>
        <sz val="11"/>
        <color indexed="8"/>
        <rFont val="宋体"/>
        <family val="3"/>
        <charset val="134"/>
      </rPr>
      <t>修正幅度</t>
    </r>
    <phoneticPr fontId="8" type="noConversion"/>
  </si>
  <si>
    <r>
      <rPr>
        <sz val="11"/>
        <rFont val="宋体"/>
        <family val="3"/>
        <charset val="134"/>
      </rPr>
      <t>比较因素</t>
    </r>
    <phoneticPr fontId="8" type="noConversion"/>
  </si>
  <si>
    <r>
      <rPr>
        <sz val="11"/>
        <color indexed="8"/>
        <rFont val="宋体"/>
        <family val="3"/>
        <charset val="134"/>
      </rPr>
      <t>正常</t>
    </r>
    <phoneticPr fontId="30" type="noConversion"/>
  </si>
  <si>
    <r>
      <rPr>
        <sz val="11"/>
        <color indexed="8"/>
        <rFont val="宋体"/>
        <family val="3"/>
        <charset val="134"/>
      </rPr>
      <t>商业繁华度</t>
    </r>
    <phoneticPr fontId="36"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</si>
  <si>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</si>
  <si>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</si>
  <si>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临街状况</t>
    </r>
    <phoneticPr fontId="3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</si>
  <si>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6" type="noConversion"/>
  </si>
  <si>
    <r>
      <rPr>
        <sz val="11"/>
        <color indexed="8"/>
        <rFont val="宋体"/>
        <family val="3"/>
        <charset val="134"/>
      </rPr>
      <t>人流量</t>
    </r>
    <phoneticPr fontId="36" type="noConversion"/>
  </si>
  <si>
    <r>
      <rPr>
        <sz val="11"/>
        <color indexed="8"/>
        <rFont val="宋体"/>
        <family val="3"/>
        <charset val="134"/>
      </rPr>
      <t>楼层</t>
    </r>
    <phoneticPr fontId="36" type="noConversion"/>
  </si>
  <si>
    <r>
      <rPr>
        <sz val="11"/>
        <color indexed="8"/>
        <rFont val="宋体"/>
        <family val="3"/>
        <charset val="134"/>
      </rPr>
      <t>商业类型</t>
    </r>
    <phoneticPr fontId="36" type="noConversion"/>
  </si>
  <si>
    <r>
      <rPr>
        <sz val="11"/>
        <color indexed="8"/>
        <rFont val="宋体"/>
        <family val="3"/>
        <charset val="134"/>
      </rPr>
      <t>公共部分装修</t>
    </r>
    <phoneticPr fontId="36" type="noConversion"/>
  </si>
  <si>
    <r>
      <rPr>
        <sz val="11"/>
        <color indexed="8"/>
        <rFont val="宋体"/>
        <family val="3"/>
        <charset val="134"/>
      </rPr>
      <t>成新度</t>
    </r>
    <phoneticPr fontId="36" type="noConversion"/>
  </si>
  <si>
    <r>
      <rPr>
        <sz val="11"/>
        <color indexed="8"/>
        <rFont val="宋体"/>
        <family val="3"/>
        <charset val="134"/>
      </rPr>
      <t>市政基础设施</t>
    </r>
    <phoneticPr fontId="36" type="noConversion"/>
  </si>
  <si>
    <r>
      <rPr>
        <sz val="11"/>
        <color indexed="8"/>
        <rFont val="宋体"/>
        <family val="3"/>
        <charset val="134"/>
      </rPr>
      <t>业态</t>
    </r>
    <phoneticPr fontId="36" type="noConversion"/>
  </si>
  <si>
    <r>
      <rPr>
        <sz val="11"/>
        <color indexed="8"/>
        <rFont val="宋体"/>
        <family val="3"/>
        <charset val="134"/>
      </rPr>
      <t>层高</t>
    </r>
    <phoneticPr fontId="36" type="noConversion"/>
  </si>
  <si>
    <r>
      <rPr>
        <sz val="11"/>
        <color indexed="8"/>
        <rFont val="宋体"/>
        <family val="3"/>
        <charset val="134"/>
      </rPr>
      <t>单套建筑面积</t>
    </r>
    <phoneticPr fontId="36" type="noConversion"/>
  </si>
  <si>
    <r>
      <rPr>
        <sz val="11"/>
        <rFont val="宋体"/>
        <family val="3"/>
        <charset val="134"/>
      </rPr>
      <t>进深比</t>
    </r>
    <phoneticPr fontId="8" type="noConversion"/>
  </si>
  <si>
    <r>
      <rPr>
        <sz val="11"/>
        <color indexed="8"/>
        <rFont val="宋体"/>
        <family val="3"/>
        <charset val="134"/>
      </rPr>
      <t>内部装修</t>
    </r>
    <phoneticPr fontId="36" type="noConversion"/>
  </si>
  <si>
    <r>
      <rPr>
        <b/>
        <sz val="11"/>
        <rFont val="宋体"/>
        <family val="3"/>
        <charset val="134"/>
      </rPr>
      <t>比较价值（元</t>
    </r>
    <r>
      <rPr>
        <b/>
        <sz val="11"/>
        <rFont val="Arial"/>
        <family val="2"/>
      </rPr>
      <t>/</t>
    </r>
    <r>
      <rPr>
        <b/>
        <sz val="11"/>
        <rFont val="宋体"/>
        <family val="3"/>
        <charset val="134"/>
      </rPr>
      <t>平方米）</t>
    </r>
    <phoneticPr fontId="8"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</si>
  <si>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8" type="noConversion"/>
  </si>
  <si>
    <r>
      <rPr>
        <b/>
        <sz val="11"/>
        <rFont val="宋体"/>
        <family val="3"/>
        <charset val="134"/>
      </rPr>
      <t>总修正幅度不超过</t>
    </r>
    <r>
      <rPr>
        <b/>
        <sz val="11"/>
        <color indexed="10"/>
        <rFont val="Arial"/>
        <family val="2"/>
      </rPr>
      <t>30%</t>
    </r>
    <phoneticPr fontId="8" type="noConversion"/>
  </si>
  <si>
    <r>
      <rPr>
        <b/>
        <sz val="11"/>
        <rFont val="宋体"/>
        <family val="3"/>
        <charset val="134"/>
      </rPr>
      <t>各修正结果之间不超过</t>
    </r>
    <r>
      <rPr>
        <b/>
        <sz val="11"/>
        <color indexed="10"/>
        <rFont val="Arial"/>
        <family val="2"/>
      </rPr>
      <t>20%</t>
    </r>
    <phoneticPr fontId="8" type="noConversion"/>
  </si>
  <si>
    <r>
      <rPr>
        <b/>
        <sz val="11"/>
        <rFont val="宋体"/>
        <family val="3"/>
        <charset val="134"/>
      </rPr>
      <t>各案例间不超过</t>
    </r>
    <r>
      <rPr>
        <b/>
        <sz val="11"/>
        <color indexed="10"/>
        <rFont val="Arial"/>
        <family val="2"/>
      </rPr>
      <t>30%</t>
    </r>
    <phoneticPr fontId="8"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</si>
  <si>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8" type="noConversion"/>
  </si>
  <si>
    <r>
      <rPr>
        <sz val="11"/>
        <rFont val="宋体"/>
        <family val="3"/>
        <charset val="134"/>
      </rPr>
      <t>七通</t>
    </r>
    <phoneticPr fontId="36" type="noConversion"/>
  </si>
  <si>
    <r>
      <rPr>
        <sz val="11"/>
        <rFont val="宋体"/>
        <family val="3"/>
        <charset val="134"/>
      </rPr>
      <t>六通</t>
    </r>
    <phoneticPr fontId="36" type="noConversion"/>
  </si>
  <si>
    <r>
      <rPr>
        <sz val="11"/>
        <rFont val="宋体"/>
        <family val="3"/>
        <charset val="134"/>
      </rPr>
      <t>五通</t>
    </r>
    <phoneticPr fontId="36" type="noConversion"/>
  </si>
  <si>
    <r>
      <rPr>
        <sz val="11"/>
        <rFont val="宋体"/>
        <family val="3"/>
        <charset val="134"/>
      </rPr>
      <t>四通</t>
    </r>
    <phoneticPr fontId="36" type="noConversion"/>
  </si>
  <si>
    <r>
      <rPr>
        <sz val="11"/>
        <rFont val="宋体"/>
        <family val="3"/>
        <charset val="134"/>
      </rPr>
      <t>三通</t>
    </r>
    <phoneticPr fontId="36" type="noConversion"/>
  </si>
  <si>
    <r>
      <rPr>
        <sz val="11"/>
        <color indexed="8"/>
        <rFont val="宋体"/>
        <family val="3"/>
        <charset val="134"/>
      </rPr>
      <t>临街状况</t>
    </r>
    <phoneticPr fontId="8" type="noConversion"/>
  </si>
  <si>
    <r>
      <rPr>
        <sz val="11"/>
        <color indexed="8"/>
        <rFont val="宋体"/>
        <family val="3"/>
        <charset val="134"/>
      </rPr>
      <t>商业类型</t>
    </r>
    <phoneticPr fontId="8" type="noConversion"/>
  </si>
  <si>
    <r>
      <rPr>
        <sz val="11"/>
        <color indexed="8"/>
        <rFont val="宋体"/>
        <family val="3"/>
        <charset val="134"/>
      </rPr>
      <t>业态</t>
    </r>
    <phoneticPr fontId="8" type="noConversion"/>
  </si>
  <si>
    <r>
      <rPr>
        <sz val="11"/>
        <color indexed="8"/>
        <rFont val="宋体"/>
        <family val="3"/>
        <charset val="134"/>
      </rPr>
      <t>层高</t>
    </r>
    <phoneticPr fontId="8" type="noConversion"/>
  </si>
  <si>
    <r>
      <rPr>
        <sz val="11"/>
        <color indexed="8"/>
        <rFont val="宋体"/>
        <family val="3"/>
        <charset val="134"/>
      </rPr>
      <t>单套建筑面积</t>
    </r>
    <phoneticPr fontId="8" type="noConversion"/>
  </si>
  <si>
    <r>
      <rPr>
        <sz val="11"/>
        <color indexed="8"/>
        <rFont val="宋体"/>
        <family val="3"/>
        <charset val="134"/>
      </rPr>
      <t>进深比</t>
    </r>
    <phoneticPr fontId="8" type="noConversion"/>
  </si>
  <si>
    <r>
      <rPr>
        <b/>
        <sz val="16"/>
        <rFont val="宋体"/>
        <family val="3"/>
        <charset val="134"/>
      </rPr>
      <t>办公</t>
    </r>
    <phoneticPr fontId="36" type="noConversion"/>
  </si>
  <si>
    <r>
      <rPr>
        <sz val="11"/>
        <color indexed="8"/>
        <rFont val="宋体"/>
        <family val="3"/>
        <charset val="134"/>
      </rPr>
      <t>办公集聚程度</t>
    </r>
    <phoneticPr fontId="36" type="noConversion"/>
  </si>
  <si>
    <r>
      <rPr>
        <sz val="11"/>
        <color indexed="8"/>
        <rFont val="宋体"/>
        <family val="3"/>
        <charset val="134"/>
      </rPr>
      <t>公共配套设施</t>
    </r>
    <phoneticPr fontId="37" type="noConversion"/>
  </si>
  <si>
    <r>
      <rPr>
        <sz val="11"/>
        <color indexed="8"/>
        <rFont val="宋体"/>
        <family val="3"/>
        <charset val="134"/>
      </rPr>
      <t>基础设施水平</t>
    </r>
    <phoneticPr fontId="37" type="noConversion"/>
  </si>
  <si>
    <r>
      <rPr>
        <sz val="11"/>
        <color indexed="8"/>
        <rFont val="宋体"/>
        <family val="3"/>
        <charset val="134"/>
      </rPr>
      <t>环境质量</t>
    </r>
    <phoneticPr fontId="37" type="noConversion"/>
  </si>
  <si>
    <r>
      <rPr>
        <sz val="11"/>
        <color indexed="8"/>
        <rFont val="宋体"/>
        <family val="3"/>
        <charset val="134"/>
      </rPr>
      <t>毗邻道路的类型与等级</t>
    </r>
    <phoneticPr fontId="36" type="noConversion"/>
  </si>
  <si>
    <r>
      <rPr>
        <sz val="11"/>
        <color indexed="8"/>
        <rFont val="宋体"/>
        <family val="3"/>
        <charset val="134"/>
      </rPr>
      <t>朝向</t>
    </r>
    <phoneticPr fontId="36" type="noConversion"/>
  </si>
  <si>
    <r>
      <rPr>
        <sz val="11"/>
        <color indexed="8"/>
        <rFont val="宋体"/>
        <family val="3"/>
        <charset val="134"/>
      </rPr>
      <t>建筑类型</t>
    </r>
    <phoneticPr fontId="36" type="noConversion"/>
  </si>
  <si>
    <r>
      <rPr>
        <sz val="11"/>
        <color indexed="8"/>
        <rFont val="宋体"/>
        <family val="3"/>
        <charset val="134"/>
      </rPr>
      <t>写字楼等级</t>
    </r>
    <phoneticPr fontId="36" type="noConversion"/>
  </si>
  <si>
    <r>
      <rPr>
        <sz val="11"/>
        <color indexed="8"/>
        <rFont val="宋体"/>
        <family val="3"/>
        <charset val="134"/>
      </rPr>
      <t>物业管理</t>
    </r>
    <phoneticPr fontId="36" type="noConversion"/>
  </si>
  <si>
    <r>
      <rPr>
        <sz val="11"/>
        <rFont val="宋体"/>
        <family val="3"/>
        <charset val="134"/>
      </rPr>
      <t>单套建筑面积</t>
    </r>
    <phoneticPr fontId="8" type="noConversion"/>
  </si>
  <si>
    <r>
      <rPr>
        <sz val="11"/>
        <color indexed="8"/>
        <rFont val="宋体"/>
        <family val="3"/>
        <charset val="134"/>
      </rPr>
      <t>办公集聚程度</t>
    </r>
    <phoneticPr fontId="8" type="noConversion"/>
  </si>
  <si>
    <r>
      <rPr>
        <sz val="11"/>
        <color indexed="8"/>
        <rFont val="宋体"/>
        <family val="3"/>
        <charset val="134"/>
      </rPr>
      <t>环境质量</t>
    </r>
    <phoneticPr fontId="8" type="noConversion"/>
  </si>
  <si>
    <r>
      <rPr>
        <sz val="11"/>
        <color indexed="8"/>
        <rFont val="宋体"/>
        <family val="3"/>
        <charset val="134"/>
      </rPr>
      <t>毗邻道路的类型与等级</t>
    </r>
    <phoneticPr fontId="8" type="noConversion"/>
  </si>
  <si>
    <r>
      <rPr>
        <sz val="11"/>
        <color indexed="8"/>
        <rFont val="宋体"/>
        <family val="3"/>
        <charset val="134"/>
      </rPr>
      <t>写字楼等级</t>
    </r>
    <phoneticPr fontId="8" type="noConversion"/>
  </si>
  <si>
    <r>
      <rPr>
        <sz val="11"/>
        <rFont val="宋体"/>
        <family val="3"/>
        <charset val="134"/>
      </rPr>
      <t>层高</t>
    </r>
    <phoneticPr fontId="8" type="noConversion"/>
  </si>
  <si>
    <r>
      <rPr>
        <b/>
        <sz val="16"/>
        <rFont val="宋体"/>
        <family val="3"/>
        <charset val="134"/>
      </rPr>
      <t>工业</t>
    </r>
    <phoneticPr fontId="8" type="noConversion"/>
  </si>
  <si>
    <r>
      <rPr>
        <sz val="11"/>
        <color indexed="8"/>
        <rFont val="宋体"/>
        <family val="3"/>
        <charset val="134"/>
      </rPr>
      <t>产业集聚程度</t>
    </r>
    <phoneticPr fontId="36" type="noConversion"/>
  </si>
  <si>
    <r>
      <rPr>
        <sz val="11"/>
        <color indexed="8"/>
        <rFont val="宋体"/>
        <family val="3"/>
        <charset val="134"/>
      </rPr>
      <t>内部装修状况</t>
    </r>
    <phoneticPr fontId="36" type="noConversion"/>
  </si>
  <si>
    <r>
      <rPr>
        <sz val="11"/>
        <color indexed="8"/>
        <rFont val="宋体"/>
        <family val="3"/>
        <charset val="134"/>
      </rPr>
      <t>产业集聚程度</t>
    </r>
    <phoneticPr fontId="8" type="noConversion"/>
  </si>
  <si>
    <r>
      <rPr>
        <sz val="11"/>
        <rFont val="宋体"/>
        <family val="3"/>
        <charset val="134"/>
      </rPr>
      <t>内部装修维护状况</t>
    </r>
    <phoneticPr fontId="8" type="noConversion"/>
  </si>
  <si>
    <r>
      <rPr>
        <b/>
        <sz val="16"/>
        <color indexed="10"/>
        <rFont val="宋体"/>
        <family val="3"/>
        <charset val="134"/>
      </rPr>
      <t>比较法</t>
    </r>
    <phoneticPr fontId="8" type="noConversion"/>
  </si>
  <si>
    <r>
      <rPr>
        <b/>
        <sz val="12"/>
        <rFont val="宋体"/>
        <family val="3"/>
        <charset val="134"/>
      </rPr>
      <t>车位数</t>
    </r>
    <phoneticPr fontId="30" type="noConversion"/>
  </si>
  <si>
    <r>
      <rPr>
        <sz val="11"/>
        <color indexed="8"/>
        <rFont val="宋体"/>
        <family val="3"/>
        <charset val="134"/>
      </rPr>
      <t>交通便捷度</t>
    </r>
    <phoneticPr fontId="36" type="noConversion"/>
  </si>
  <si>
    <r>
      <rPr>
        <sz val="11"/>
        <color indexed="8"/>
        <rFont val="宋体"/>
        <family val="3"/>
        <charset val="134"/>
      </rPr>
      <t>自然及人文环境</t>
    </r>
    <phoneticPr fontId="37" type="noConversion"/>
  </si>
  <si>
    <r>
      <rPr>
        <sz val="11"/>
        <color indexed="8"/>
        <rFont val="宋体"/>
        <family val="3"/>
        <charset val="134"/>
      </rPr>
      <t>楼层</t>
    </r>
    <phoneticPr fontId="37" type="noConversion"/>
  </si>
  <si>
    <r>
      <rPr>
        <sz val="11"/>
        <color indexed="8"/>
        <rFont val="宋体"/>
        <family val="3"/>
        <charset val="134"/>
      </rPr>
      <t>配套类型</t>
    </r>
    <phoneticPr fontId="36" type="noConversion"/>
  </si>
  <si>
    <r>
      <rPr>
        <sz val="11"/>
        <color indexed="8"/>
        <rFont val="宋体"/>
        <family val="3"/>
        <charset val="134"/>
      </rPr>
      <t>项目停车位配比</t>
    </r>
    <phoneticPr fontId="37" type="noConversion"/>
  </si>
  <si>
    <r>
      <rPr>
        <sz val="11"/>
        <color indexed="8"/>
        <rFont val="宋体"/>
        <family val="3"/>
        <charset val="134"/>
      </rPr>
      <t>公共部分装修</t>
    </r>
    <phoneticPr fontId="37" type="noConversion"/>
  </si>
  <si>
    <r>
      <rPr>
        <sz val="11"/>
        <color indexed="8"/>
        <rFont val="宋体"/>
        <family val="3"/>
        <charset val="134"/>
      </rPr>
      <t>成新率</t>
    </r>
    <phoneticPr fontId="36" type="noConversion"/>
  </si>
  <si>
    <r>
      <rPr>
        <sz val="11"/>
        <color indexed="8"/>
        <rFont val="宋体"/>
        <family val="3"/>
        <charset val="134"/>
      </rPr>
      <t>物业等级</t>
    </r>
    <phoneticPr fontId="36" type="noConversion"/>
  </si>
  <si>
    <r>
      <rPr>
        <sz val="11"/>
        <color indexed="8"/>
        <rFont val="宋体"/>
        <family val="3"/>
        <charset val="134"/>
      </rPr>
      <t>停车位面积</t>
    </r>
    <phoneticPr fontId="36" type="noConversion"/>
  </si>
  <si>
    <r>
      <rPr>
        <sz val="11"/>
        <color indexed="8"/>
        <rFont val="宋体"/>
        <family val="3"/>
        <charset val="134"/>
      </rPr>
      <t>车位类型</t>
    </r>
    <phoneticPr fontId="36" type="noConversion"/>
  </si>
  <si>
    <r>
      <rPr>
        <sz val="11"/>
        <color indexed="8"/>
        <rFont val="宋体"/>
        <family val="3"/>
        <charset val="134"/>
      </rPr>
      <t>是否直接入户</t>
    </r>
    <phoneticPr fontId="36" type="noConversion"/>
  </si>
  <si>
    <r>
      <rPr>
        <b/>
        <sz val="11"/>
        <rFont val="宋体"/>
        <family val="3"/>
        <charset val="134"/>
      </rPr>
      <t>成交单价</t>
    </r>
    <phoneticPr fontId="8"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</si>
  <si>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</si>
  <si>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8"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</si>
  <si>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8" type="noConversion"/>
  </si>
  <si>
    <r>
      <rPr>
        <b/>
        <sz val="11"/>
        <rFont val="宋体"/>
        <family val="3"/>
        <charset val="134"/>
      </rPr>
      <t>总修正幅度不超过</t>
    </r>
    <r>
      <rPr>
        <b/>
        <sz val="11"/>
        <color indexed="10"/>
        <rFont val="Arial"/>
        <family val="2"/>
      </rPr>
      <t>30%</t>
    </r>
    <phoneticPr fontId="8" type="noConversion"/>
  </si>
  <si>
    <r>
      <rPr>
        <b/>
        <sz val="11"/>
        <rFont val="宋体"/>
        <family val="3"/>
        <charset val="134"/>
      </rPr>
      <t>各修正结果之间不超过</t>
    </r>
    <r>
      <rPr>
        <b/>
        <sz val="11"/>
        <color indexed="10"/>
        <rFont val="Arial"/>
        <family val="2"/>
      </rPr>
      <t>20%</t>
    </r>
    <phoneticPr fontId="8" type="noConversion"/>
  </si>
  <si>
    <r>
      <rPr>
        <b/>
        <sz val="11"/>
        <rFont val="宋体"/>
        <family val="3"/>
        <charset val="134"/>
      </rPr>
      <t>各案例间不超过</t>
    </r>
    <r>
      <rPr>
        <b/>
        <sz val="11"/>
        <color indexed="10"/>
        <rFont val="Arial"/>
        <family val="2"/>
      </rPr>
      <t>30%</t>
    </r>
    <phoneticPr fontId="8"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</si>
  <si>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8" type="noConversion"/>
  </si>
  <si>
    <r>
      <rPr>
        <b/>
        <sz val="11"/>
        <color indexed="8"/>
        <rFont val="宋体"/>
        <family val="3"/>
        <charset val="134"/>
      </rPr>
      <t>交易时间</t>
    </r>
    <phoneticPr fontId="8" type="noConversion"/>
  </si>
  <si>
    <r>
      <rPr>
        <sz val="11"/>
        <color indexed="8"/>
        <rFont val="宋体"/>
        <family val="3"/>
        <charset val="134"/>
      </rPr>
      <t>楼层</t>
    </r>
    <phoneticPr fontId="8" type="noConversion"/>
  </si>
  <si>
    <r>
      <rPr>
        <sz val="11"/>
        <color indexed="8"/>
        <rFont val="宋体"/>
        <family val="3"/>
        <charset val="134"/>
      </rPr>
      <t>配套类型（地上主用途）</t>
    </r>
    <phoneticPr fontId="8" type="noConversion"/>
  </si>
  <si>
    <r>
      <rPr>
        <sz val="11"/>
        <color indexed="8"/>
        <rFont val="宋体"/>
        <family val="3"/>
        <charset val="134"/>
      </rPr>
      <t>项目停车位配比</t>
    </r>
    <phoneticPr fontId="8" type="noConversion"/>
  </si>
  <si>
    <r>
      <rPr>
        <sz val="11"/>
        <color indexed="8"/>
        <rFont val="宋体"/>
        <family val="3"/>
        <charset val="134"/>
      </rPr>
      <t>成新率</t>
    </r>
    <phoneticPr fontId="8" type="noConversion"/>
  </si>
  <si>
    <r>
      <rPr>
        <sz val="11"/>
        <color indexed="8"/>
        <rFont val="宋体"/>
        <family val="3"/>
        <charset val="134"/>
      </rPr>
      <t>物业等级</t>
    </r>
    <phoneticPr fontId="37" type="noConversion"/>
  </si>
  <si>
    <r>
      <rPr>
        <sz val="11"/>
        <color indexed="8"/>
        <rFont val="宋体"/>
        <family val="3"/>
        <charset val="134"/>
      </rPr>
      <t>停车位面积</t>
    </r>
    <phoneticPr fontId="8" type="noConversion"/>
  </si>
  <si>
    <r>
      <rPr>
        <sz val="11"/>
        <color indexed="8"/>
        <rFont val="宋体"/>
        <family val="3"/>
        <charset val="134"/>
      </rPr>
      <t>车位类型</t>
    </r>
    <phoneticPr fontId="8" type="noConversion"/>
  </si>
  <si>
    <r>
      <rPr>
        <sz val="11"/>
        <color indexed="8"/>
        <rFont val="宋体"/>
        <family val="3"/>
        <charset val="134"/>
      </rPr>
      <t>是否直接入户</t>
    </r>
    <phoneticPr fontId="8" type="noConversion"/>
  </si>
  <si>
    <r>
      <rPr>
        <sz val="11"/>
        <color indexed="8"/>
        <rFont val="宋体"/>
        <family val="3"/>
        <charset val="134"/>
      </rPr>
      <t>有无电梯</t>
    </r>
    <phoneticPr fontId="36" type="noConversion"/>
  </si>
  <si>
    <r>
      <rPr>
        <sz val="11"/>
        <color indexed="8"/>
        <rFont val="宋体"/>
        <family val="3"/>
        <charset val="134"/>
      </rPr>
      <t>建筑面积</t>
    </r>
    <phoneticPr fontId="36" type="noConversion"/>
  </si>
  <si>
    <r>
      <rPr>
        <sz val="11"/>
        <color indexed="8"/>
        <rFont val="宋体"/>
        <family val="3"/>
        <charset val="134"/>
      </rPr>
      <t>是否封闭</t>
    </r>
    <phoneticPr fontId="36" type="noConversion"/>
  </si>
  <si>
    <r>
      <rPr>
        <sz val="11"/>
        <color indexed="8"/>
        <rFont val="宋体"/>
        <family val="3"/>
        <charset val="134"/>
      </rPr>
      <t>公用设施及基础设施水平</t>
    </r>
    <phoneticPr fontId="8" type="noConversion"/>
  </si>
  <si>
    <r>
      <rPr>
        <sz val="11"/>
        <color indexed="8"/>
        <rFont val="宋体"/>
        <family val="3"/>
        <charset val="134"/>
      </rPr>
      <t>有无电梯</t>
    </r>
    <phoneticPr fontId="8" type="noConversion"/>
  </si>
  <si>
    <r>
      <rPr>
        <sz val="11"/>
        <color indexed="8"/>
        <rFont val="宋体"/>
        <family val="3"/>
        <charset val="134"/>
      </rPr>
      <t>建筑面积</t>
    </r>
    <phoneticPr fontId="37" type="noConversion"/>
  </si>
  <si>
    <r>
      <rPr>
        <sz val="11"/>
        <color indexed="8"/>
        <rFont val="宋体"/>
        <family val="3"/>
        <charset val="134"/>
      </rPr>
      <t>是否封闭</t>
    </r>
    <phoneticPr fontId="8" type="noConversion"/>
  </si>
  <si>
    <r>
      <rPr>
        <b/>
        <sz val="16"/>
        <color indexed="10"/>
        <rFont val="宋体"/>
        <family val="3"/>
        <charset val="134"/>
      </rPr>
      <t>套用比较法</t>
    </r>
    <phoneticPr fontId="8" type="noConversion"/>
  </si>
  <si>
    <r>
      <rPr>
        <b/>
        <sz val="16"/>
        <rFont val="宋体"/>
        <family val="3"/>
        <charset val="134"/>
      </rPr>
      <t>住宅、综合</t>
    </r>
    <phoneticPr fontId="36" type="noConversion"/>
  </si>
  <si>
    <r>
      <rPr>
        <b/>
        <sz val="12"/>
        <rFont val="宋体"/>
        <family val="3"/>
        <charset val="134"/>
      </rPr>
      <t>建筑面积</t>
    </r>
    <phoneticPr fontId="23" type="noConversion"/>
  </si>
  <si>
    <r>
      <rPr>
        <sz val="11"/>
        <color indexed="8"/>
        <rFont val="宋体"/>
        <family val="3"/>
        <charset val="134"/>
      </rPr>
      <t>配建</t>
    </r>
    <phoneticPr fontId="36" type="noConversion"/>
  </si>
  <si>
    <r>
      <rPr>
        <sz val="11"/>
        <color indexed="8"/>
        <rFont val="宋体"/>
        <family val="3"/>
        <charset val="134"/>
      </rPr>
      <t>区域土地利用方向</t>
    </r>
    <phoneticPr fontId="36" type="noConversion"/>
  </si>
  <si>
    <r>
      <rPr>
        <sz val="11"/>
        <color indexed="8"/>
        <rFont val="宋体"/>
        <family val="3"/>
        <charset val="134"/>
      </rPr>
      <t>自然及人文环境状况</t>
    </r>
    <phoneticPr fontId="36" type="noConversion"/>
  </si>
  <si>
    <r>
      <rPr>
        <sz val="11"/>
        <color indexed="8"/>
        <rFont val="宋体"/>
        <family val="3"/>
        <charset val="134"/>
      </rPr>
      <t>土地级别</t>
    </r>
    <phoneticPr fontId="36" type="noConversion"/>
  </si>
  <si>
    <r>
      <rPr>
        <sz val="11"/>
        <color indexed="8"/>
        <rFont val="宋体"/>
        <family val="3"/>
        <charset val="134"/>
      </rPr>
      <t>宗地面积</t>
    </r>
    <phoneticPr fontId="36" type="noConversion"/>
  </si>
  <si>
    <r>
      <rPr>
        <sz val="11"/>
        <color indexed="8"/>
        <rFont val="宋体"/>
        <family val="3"/>
        <charset val="134"/>
      </rPr>
      <t>宗地形状</t>
    </r>
    <phoneticPr fontId="36" type="noConversion"/>
  </si>
  <si>
    <r>
      <rPr>
        <sz val="11"/>
        <color indexed="8"/>
        <rFont val="宋体"/>
        <family val="3"/>
        <charset val="134"/>
      </rPr>
      <t>临街宽度及深度</t>
    </r>
    <phoneticPr fontId="36" type="noConversion"/>
  </si>
  <si>
    <r>
      <rPr>
        <sz val="11"/>
        <color indexed="8"/>
        <rFont val="宋体"/>
        <family val="3"/>
        <charset val="134"/>
      </rPr>
      <t>宗地开发程度</t>
    </r>
    <phoneticPr fontId="36" type="noConversion"/>
  </si>
  <si>
    <r>
      <rPr>
        <sz val="11"/>
        <color indexed="8"/>
        <rFont val="宋体"/>
        <family val="3"/>
        <charset val="134"/>
      </rPr>
      <t>工程地质条件</t>
    </r>
    <phoneticPr fontId="36"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</si>
  <si>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</si>
  <si>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8" type="noConversion"/>
  </si>
  <si>
    <r>
      <rPr>
        <sz val="11"/>
        <rFont val="宋体"/>
        <family val="3"/>
        <charset val="134"/>
      </rPr>
      <t>用途</t>
    </r>
    <r>
      <rPr>
        <sz val="11"/>
        <rFont val="Arial"/>
        <family val="2"/>
      </rPr>
      <t>/</t>
    </r>
    <r>
      <rPr>
        <sz val="11"/>
        <rFont val="宋体"/>
        <family val="3"/>
        <charset val="134"/>
      </rPr>
      <t>位置</t>
    </r>
    <phoneticPr fontId="36" type="noConversion"/>
  </si>
  <si>
    <r>
      <rPr>
        <sz val="11"/>
        <rFont val="宋体"/>
        <family val="3"/>
        <charset val="134"/>
      </rPr>
      <t>修正单价</t>
    </r>
    <phoneticPr fontId="36" type="noConversion"/>
  </si>
  <si>
    <r>
      <rPr>
        <sz val="11"/>
        <rFont val="宋体"/>
        <family val="3"/>
        <charset val="134"/>
      </rPr>
      <t>北京市系数</t>
    </r>
  </si>
  <si>
    <r>
      <rPr>
        <sz val="11"/>
        <rFont val="宋体"/>
        <family val="3"/>
        <charset val="134"/>
      </rPr>
      <t>政府土地出让收益比例</t>
    </r>
    <phoneticPr fontId="8" type="noConversion"/>
  </si>
  <si>
    <r>
      <rPr>
        <sz val="11"/>
        <rFont val="宋体"/>
        <family val="3"/>
        <charset val="134"/>
      </rPr>
      <t>建筑面积</t>
    </r>
    <phoneticPr fontId="36" type="noConversion"/>
  </si>
  <si>
    <r>
      <rPr>
        <sz val="11"/>
        <rFont val="宋体"/>
        <family val="3"/>
        <charset val="134"/>
      </rPr>
      <t>总价</t>
    </r>
    <phoneticPr fontId="36" type="noConversion"/>
  </si>
  <si>
    <r>
      <rPr>
        <sz val="11"/>
        <rFont val="宋体"/>
        <family val="3"/>
        <charset val="134"/>
      </rPr>
      <t>对应的地上用途及土地级别（北京市）</t>
    </r>
    <phoneticPr fontId="36" type="noConversion"/>
  </si>
  <si>
    <r>
      <rPr>
        <sz val="11"/>
        <color theme="1"/>
        <rFont val="宋体"/>
        <family val="3"/>
        <charset val="134"/>
      </rPr>
      <t>北京市</t>
    </r>
    <phoneticPr fontId="36" type="noConversion"/>
  </si>
  <si>
    <r>
      <rPr>
        <sz val="11"/>
        <color rgb="FFFF0000"/>
        <rFont val="宋体"/>
        <family val="3"/>
        <charset val="134"/>
      </rPr>
      <t>外省市地下修正系数请自行录入</t>
    </r>
    <phoneticPr fontId="36" type="noConversion"/>
  </si>
  <si>
    <r>
      <rPr>
        <sz val="10"/>
        <rFont val="宋体"/>
        <family val="3"/>
        <charset val="134"/>
      </rPr>
      <t>地上</t>
    </r>
    <phoneticPr fontId="23" type="noConversion"/>
  </si>
  <si>
    <r>
      <rPr>
        <sz val="10"/>
        <rFont val="宋体"/>
        <family val="3"/>
        <charset val="134"/>
      </rPr>
      <t>地下商业（</t>
    </r>
    <r>
      <rPr>
        <sz val="10"/>
        <rFont val="Arial"/>
        <family val="2"/>
      </rPr>
      <t>-1</t>
    </r>
    <r>
      <rPr>
        <sz val="10"/>
        <rFont val="宋体"/>
        <family val="3"/>
        <charset val="134"/>
      </rPr>
      <t>）</t>
    </r>
    <phoneticPr fontId="21" type="noConversion"/>
  </si>
  <si>
    <r>
      <rPr>
        <sz val="10"/>
        <color theme="1"/>
        <rFont val="宋体"/>
        <family val="3"/>
        <charset val="134"/>
      </rPr>
      <t>对应商业级别</t>
    </r>
    <phoneticPr fontId="36" type="noConversion"/>
  </si>
  <si>
    <r>
      <rPr>
        <sz val="10"/>
        <rFont val="宋体"/>
        <family val="3"/>
        <charset val="134"/>
      </rPr>
      <t>地下商业（</t>
    </r>
    <r>
      <rPr>
        <sz val="10"/>
        <rFont val="Arial"/>
        <family val="2"/>
      </rPr>
      <t>-2</t>
    </r>
    <r>
      <rPr>
        <sz val="10"/>
        <rFont val="宋体"/>
        <family val="3"/>
        <charset val="134"/>
      </rPr>
      <t>）</t>
    </r>
    <phoneticPr fontId="21" type="noConversion"/>
  </si>
  <si>
    <r>
      <rPr>
        <sz val="10"/>
        <rFont val="宋体"/>
        <family val="3"/>
        <charset val="134"/>
      </rPr>
      <t>地下商业（</t>
    </r>
    <r>
      <rPr>
        <sz val="10"/>
        <rFont val="Arial"/>
        <family val="2"/>
      </rPr>
      <t>-3</t>
    </r>
    <r>
      <rPr>
        <sz val="10"/>
        <rFont val="宋体"/>
        <family val="3"/>
        <charset val="134"/>
      </rPr>
      <t>）</t>
    </r>
    <phoneticPr fontId="21" type="noConversion"/>
  </si>
  <si>
    <r>
      <rPr>
        <sz val="10"/>
        <rFont val="宋体"/>
        <family val="3"/>
        <charset val="134"/>
      </rPr>
      <t>地下商业（</t>
    </r>
    <r>
      <rPr>
        <sz val="10"/>
        <rFont val="Arial"/>
        <family val="2"/>
      </rPr>
      <t>-4</t>
    </r>
    <r>
      <rPr>
        <sz val="10"/>
        <rFont val="宋体"/>
        <family val="3"/>
        <charset val="134"/>
      </rPr>
      <t>）</t>
    </r>
    <phoneticPr fontId="21" type="noConversion"/>
  </si>
  <si>
    <r>
      <rPr>
        <sz val="10"/>
        <rFont val="宋体"/>
        <family val="3"/>
        <charset val="134"/>
      </rPr>
      <t>地下办公（含物业）</t>
    </r>
    <phoneticPr fontId="21" type="noConversion"/>
  </si>
  <si>
    <r>
      <rPr>
        <sz val="10"/>
        <color theme="1"/>
        <rFont val="宋体"/>
        <family val="3"/>
        <charset val="134"/>
      </rPr>
      <t>对应办公级别</t>
    </r>
    <phoneticPr fontId="36" type="noConversion"/>
  </si>
  <si>
    <r>
      <rPr>
        <sz val="10"/>
        <rFont val="宋体"/>
        <family val="3"/>
        <charset val="134"/>
      </rPr>
      <t>地下仓储</t>
    </r>
    <phoneticPr fontId="21" type="noConversion"/>
  </si>
  <si>
    <r>
      <rPr>
        <sz val="10"/>
        <color indexed="53"/>
        <rFont val="宋体"/>
        <family val="3"/>
        <charset val="134"/>
      </rPr>
      <t>办公</t>
    </r>
  </si>
  <si>
    <r>
      <rPr>
        <sz val="10"/>
        <rFont val="宋体"/>
        <family val="3"/>
        <charset val="134"/>
      </rPr>
      <t>地下车库</t>
    </r>
    <phoneticPr fontId="21"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</si>
  <si>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</si>
  <si>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1" type="noConversion"/>
  </si>
  <si>
    <r>
      <rPr>
        <sz val="10"/>
        <rFont val="宋体"/>
        <family val="3"/>
        <charset val="134"/>
      </rPr>
      <t>地下车库</t>
    </r>
    <r>
      <rPr>
        <sz val="10"/>
        <rFont val="Arial"/>
        <family val="2"/>
      </rPr>
      <t>-</t>
    </r>
    <r>
      <rPr>
        <sz val="10"/>
        <rFont val="宋体"/>
        <family val="3"/>
        <charset val="134"/>
      </rPr>
      <t>办公</t>
    </r>
    <phoneticPr fontId="21" type="noConversion"/>
  </si>
  <si>
    <r>
      <rPr>
        <b/>
        <sz val="10"/>
        <rFont val="宋体"/>
        <family val="3"/>
        <charset val="134"/>
      </rPr>
      <t>土地购买价格</t>
    </r>
    <phoneticPr fontId="21" type="noConversion"/>
  </si>
  <si>
    <r>
      <rPr>
        <b/>
        <sz val="11"/>
        <color indexed="8"/>
        <rFont val="宋体"/>
        <family val="3"/>
        <charset val="134"/>
      </rPr>
      <t>交易时间（按季度调整）</t>
    </r>
    <phoneticPr fontId="8" type="noConversion"/>
  </si>
  <si>
    <r>
      <rPr>
        <sz val="11"/>
        <color indexed="8"/>
        <rFont val="宋体"/>
        <family val="3"/>
        <charset val="134"/>
      </rPr>
      <t>商业繁华度</t>
    </r>
    <phoneticPr fontId="8" type="noConversion"/>
  </si>
  <si>
    <r>
      <rPr>
        <sz val="11"/>
        <color indexed="8"/>
        <rFont val="宋体"/>
        <family val="3"/>
        <charset val="134"/>
      </rPr>
      <t>区域土地利用方向</t>
    </r>
    <phoneticPr fontId="8" type="noConversion"/>
  </si>
  <si>
    <r>
      <rPr>
        <sz val="11"/>
        <color indexed="8"/>
        <rFont val="宋体"/>
        <family val="3"/>
        <charset val="134"/>
      </rPr>
      <t>自然及人文环境状况</t>
    </r>
    <phoneticPr fontId="8" type="noConversion"/>
  </si>
  <si>
    <r>
      <rPr>
        <sz val="11"/>
        <rFont val="宋体"/>
        <family val="3"/>
        <charset val="134"/>
      </rPr>
      <t>多面临街</t>
    </r>
    <phoneticPr fontId="36" type="noConversion"/>
  </si>
  <si>
    <r>
      <rPr>
        <sz val="11"/>
        <rFont val="宋体"/>
        <family val="3"/>
        <charset val="134"/>
      </rPr>
      <t>双面临街</t>
    </r>
    <phoneticPr fontId="36" type="noConversion"/>
  </si>
  <si>
    <r>
      <rPr>
        <sz val="11"/>
        <rFont val="宋体"/>
        <family val="3"/>
        <charset val="134"/>
      </rPr>
      <t>单面临街</t>
    </r>
    <phoneticPr fontId="36" type="noConversion"/>
  </si>
  <si>
    <r>
      <rPr>
        <sz val="11"/>
        <rFont val="宋体"/>
        <family val="3"/>
        <charset val="134"/>
      </rPr>
      <t>不临街</t>
    </r>
    <phoneticPr fontId="36" type="noConversion"/>
  </si>
  <si>
    <r>
      <rPr>
        <sz val="11"/>
        <color indexed="8"/>
        <rFont val="宋体"/>
        <family val="3"/>
        <charset val="134"/>
      </rPr>
      <t>宗地面积</t>
    </r>
    <phoneticPr fontId="8" type="noConversion"/>
  </si>
  <si>
    <r>
      <rPr>
        <sz val="11"/>
        <color indexed="8"/>
        <rFont val="宋体"/>
        <family val="3"/>
        <charset val="134"/>
      </rPr>
      <t>宗地形状</t>
    </r>
    <phoneticPr fontId="8" type="noConversion"/>
  </si>
  <si>
    <r>
      <rPr>
        <sz val="11"/>
        <color indexed="8"/>
        <rFont val="宋体"/>
        <family val="3"/>
        <charset val="134"/>
      </rPr>
      <t>临街宽度及深度</t>
    </r>
    <phoneticPr fontId="8" type="noConversion"/>
  </si>
  <si>
    <r>
      <rPr>
        <sz val="11"/>
        <color indexed="8"/>
        <rFont val="宋体"/>
        <family val="3"/>
        <charset val="134"/>
      </rPr>
      <t>宗地开发程度</t>
    </r>
    <phoneticPr fontId="8" type="noConversion"/>
  </si>
  <si>
    <r>
      <rPr>
        <sz val="11"/>
        <color indexed="8"/>
        <rFont val="宋体"/>
        <family val="3"/>
        <charset val="134"/>
      </rPr>
      <t>工程地质条件</t>
    </r>
    <phoneticPr fontId="8" type="noConversion"/>
  </si>
  <si>
    <r>
      <rPr>
        <b/>
        <sz val="16"/>
        <rFont val="宋体"/>
        <family val="3"/>
        <charset val="134"/>
      </rPr>
      <t>工业</t>
    </r>
    <phoneticPr fontId="36" type="noConversion"/>
  </si>
  <si>
    <r>
      <rPr>
        <sz val="11"/>
        <rFont val="宋体"/>
        <family val="3"/>
        <charset val="134"/>
      </rPr>
      <t>项目位置</t>
    </r>
    <phoneticPr fontId="8" type="noConversion"/>
  </si>
  <si>
    <r>
      <rPr>
        <sz val="11"/>
        <color indexed="8"/>
        <rFont val="宋体"/>
        <family val="3"/>
        <charset val="134"/>
      </rPr>
      <t>产业集聚程度</t>
    </r>
    <phoneticPr fontId="38" type="noConversion"/>
  </si>
  <si>
    <r>
      <rPr>
        <sz val="11"/>
        <color indexed="8"/>
        <rFont val="宋体"/>
        <family val="3"/>
        <charset val="134"/>
      </rPr>
      <t>环境状况</t>
    </r>
    <phoneticPr fontId="36" type="noConversion"/>
  </si>
  <si>
    <r>
      <rPr>
        <b/>
        <sz val="11"/>
        <rFont val="宋体"/>
        <family val="3"/>
        <charset val="134"/>
      </rPr>
      <t>单价内涵</t>
    </r>
  </si>
  <si>
    <r>
      <rPr>
        <sz val="11"/>
        <rFont val="宋体"/>
        <family val="3"/>
        <charset val="134"/>
      </rPr>
      <t>北京市</t>
    </r>
    <phoneticPr fontId="36" type="noConversion"/>
  </si>
  <si>
    <r>
      <rPr>
        <b/>
        <sz val="11"/>
        <color indexed="8"/>
        <rFont val="宋体"/>
        <family val="3"/>
        <charset val="134"/>
      </rPr>
      <t>工业</t>
    </r>
    <phoneticPr fontId="38" type="noConversion"/>
  </si>
  <si>
    <r>
      <rPr>
        <sz val="11"/>
        <color indexed="8"/>
        <rFont val="宋体"/>
        <family val="3"/>
        <charset val="134"/>
      </rPr>
      <t>基础设施水平</t>
    </r>
    <phoneticPr fontId="38" type="noConversion"/>
  </si>
  <si>
    <r>
      <rPr>
        <b/>
        <sz val="16"/>
        <color indexed="10"/>
        <rFont val="宋体"/>
        <family val="3"/>
        <charset val="134"/>
      </rPr>
      <t>基准地价系数修正法</t>
    </r>
    <phoneticPr fontId="8" type="noConversion"/>
  </si>
  <si>
    <r>
      <rPr>
        <b/>
        <sz val="12"/>
        <rFont val="宋体"/>
        <family val="3"/>
        <charset val="134"/>
      </rPr>
      <t>建筑面积</t>
    </r>
    <phoneticPr fontId="84" type="noConversion"/>
  </si>
  <si>
    <r>
      <rPr>
        <sz val="11"/>
        <color theme="1"/>
        <rFont val="宋体"/>
        <family val="3"/>
        <charset val="134"/>
      </rPr>
      <t>一级</t>
    </r>
  </si>
  <si>
    <r>
      <rPr>
        <sz val="12"/>
        <rFont val="宋体"/>
        <family val="3"/>
        <charset val="134"/>
      </rPr>
      <t>商业多楼层</t>
    </r>
    <phoneticPr fontId="8" type="noConversion"/>
  </si>
  <si>
    <r>
      <rPr>
        <sz val="12"/>
        <rFont val="宋体"/>
        <family val="3"/>
        <charset val="134"/>
      </rPr>
      <t>楼层修正系数</t>
    </r>
    <phoneticPr fontId="8" type="noConversion"/>
  </si>
  <si>
    <r>
      <rPr>
        <sz val="12"/>
        <rFont val="宋体"/>
        <family val="3"/>
        <charset val="134"/>
      </rPr>
      <t>楼面熟地单价</t>
    </r>
    <phoneticPr fontId="8" type="noConversion"/>
  </si>
  <si>
    <r>
      <rPr>
        <sz val="12"/>
        <rFont val="宋体"/>
        <family val="3"/>
        <charset val="134"/>
      </rPr>
      <t>层面积</t>
    </r>
    <phoneticPr fontId="8" type="noConversion"/>
  </si>
  <si>
    <r>
      <rPr>
        <sz val="12"/>
        <rFont val="宋体"/>
        <family val="3"/>
        <charset val="134"/>
      </rPr>
      <t>总额</t>
    </r>
    <phoneticPr fontId="8" type="noConversion"/>
  </si>
  <si>
    <r>
      <rPr>
        <b/>
        <sz val="12"/>
        <rFont val="宋体"/>
        <family val="3"/>
        <charset val="134"/>
      </rPr>
      <t>总价</t>
    </r>
    <phoneticPr fontId="8" type="noConversion"/>
  </si>
  <si>
    <r>
      <rPr>
        <b/>
        <sz val="12"/>
        <rFont val="宋体"/>
        <family val="3"/>
        <charset val="134"/>
      </rPr>
      <t>万元</t>
    </r>
    <phoneticPr fontId="8" type="noConversion"/>
  </si>
  <si>
    <r>
      <rPr>
        <sz val="10"/>
        <rFont val="宋体"/>
        <family val="3"/>
        <charset val="134"/>
      </rPr>
      <t>用途</t>
    </r>
    <phoneticPr fontId="8" type="noConversion"/>
  </si>
  <si>
    <r>
      <rPr>
        <sz val="10"/>
        <rFont val="宋体"/>
        <family val="3"/>
        <charset val="134"/>
      </rPr>
      <t>土地级别</t>
    </r>
    <phoneticPr fontId="8" type="noConversion"/>
  </si>
  <si>
    <r>
      <rPr>
        <sz val="10"/>
        <rFont val="宋体"/>
        <family val="3"/>
        <charset val="134"/>
      </rPr>
      <t>区片编号</t>
    </r>
    <phoneticPr fontId="8" type="noConversion"/>
  </si>
  <si>
    <r>
      <rPr>
        <sz val="11"/>
        <color theme="1"/>
        <rFont val="宋体"/>
        <family val="3"/>
        <charset val="134"/>
      </rPr>
      <t>二级</t>
    </r>
  </si>
  <si>
    <r>
      <rPr>
        <b/>
        <sz val="12"/>
        <rFont val="宋体"/>
        <family val="3"/>
        <charset val="134"/>
      </rPr>
      <t>楼面单价</t>
    </r>
    <phoneticPr fontId="8" type="noConversion"/>
  </si>
  <si>
    <r>
      <rPr>
        <b/>
        <sz val="12"/>
        <rFont val="宋体"/>
        <family val="3"/>
        <charset val="134"/>
      </rPr>
      <t>元</t>
    </r>
    <r>
      <rPr>
        <b/>
        <sz val="12"/>
        <rFont val="Arial"/>
        <family val="2"/>
      </rPr>
      <t>/</t>
    </r>
    <r>
      <rPr>
        <b/>
        <sz val="12"/>
        <rFont val="宋体"/>
        <family val="3"/>
        <charset val="134"/>
      </rPr>
      <t>平方米</t>
    </r>
    <phoneticPr fontId="8" type="noConversion"/>
  </si>
  <si>
    <r>
      <rPr>
        <sz val="10"/>
        <rFont val="宋体"/>
        <family val="3"/>
        <charset val="134"/>
      </rPr>
      <t>用途类别</t>
    </r>
    <phoneticPr fontId="8" type="noConversion"/>
  </si>
  <si>
    <r>
      <rPr>
        <sz val="10"/>
        <rFont val="宋体"/>
        <family val="3"/>
        <charset val="134"/>
      </rPr>
      <t>宗地容积率</t>
    </r>
  </si>
  <si>
    <r>
      <rPr>
        <sz val="10"/>
        <rFont val="宋体"/>
        <family val="3"/>
        <charset val="134"/>
      </rPr>
      <t>楼层</t>
    </r>
    <phoneticPr fontId="8" type="noConversion"/>
  </si>
  <si>
    <r>
      <rPr>
        <sz val="10"/>
        <rFont val="宋体"/>
        <family val="3"/>
        <charset val="134"/>
      </rPr>
      <t>（地上）</t>
    </r>
    <phoneticPr fontId="8"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</si>
  <si>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</si>
  <si>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</si>
  <si>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8"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</si>
  <si>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</si>
  <si>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4" type="noConversion"/>
  </si>
  <si>
    <r>
      <rPr>
        <b/>
        <sz val="10"/>
        <rFont val="宋体"/>
        <family val="3"/>
        <charset val="134"/>
      </rPr>
      <t>适用的楼面熟地价</t>
    </r>
    <phoneticPr fontId="8" type="noConversion"/>
  </si>
  <si>
    <r>
      <rPr>
        <sz val="10"/>
        <color indexed="10"/>
        <rFont val="宋体"/>
        <family val="3"/>
        <charset val="134"/>
      </rPr>
      <t>依据《北京市区片基准地价表》，能否通过用途和级别筛选？</t>
    </r>
    <phoneticPr fontId="8" type="noConversion"/>
  </si>
  <si>
    <r>
      <rPr>
        <sz val="11"/>
        <color theme="1"/>
        <rFont val="宋体"/>
        <family val="3"/>
        <charset val="134"/>
      </rPr>
      <t>六级</t>
    </r>
  </si>
  <si>
    <r>
      <rPr>
        <b/>
        <sz val="10"/>
        <rFont val="宋体"/>
        <family val="3"/>
        <charset val="134"/>
      </rPr>
      <t>商业路线价修正（商业用途）</t>
    </r>
    <phoneticPr fontId="8" type="noConversion"/>
  </si>
  <si>
    <r>
      <rPr>
        <sz val="10"/>
        <rFont val="宋体"/>
        <family val="3"/>
        <charset val="134"/>
      </rPr>
      <t>宗地深度（米）</t>
    </r>
    <phoneticPr fontId="8" type="noConversion"/>
  </si>
  <si>
    <r>
      <rPr>
        <sz val="11"/>
        <color theme="1"/>
        <rFont val="宋体"/>
        <family val="3"/>
        <charset val="134"/>
      </rPr>
      <t>七级</t>
    </r>
  </si>
  <si>
    <r>
      <rPr>
        <sz val="10"/>
        <rFont val="宋体"/>
        <family val="3"/>
        <charset val="134"/>
      </rPr>
      <t>估价对象级别</t>
    </r>
    <phoneticPr fontId="8" type="noConversion"/>
  </si>
  <si>
    <r>
      <rPr>
        <sz val="10"/>
        <rFont val="宋体"/>
        <family val="3"/>
        <charset val="134"/>
      </rPr>
      <t>容积率</t>
    </r>
    <phoneticPr fontId="8" type="noConversion"/>
  </si>
  <si>
    <r>
      <rPr>
        <sz val="10"/>
        <rFont val="宋体"/>
        <family val="3"/>
        <charset val="134"/>
      </rPr>
      <t>所在商业街</t>
    </r>
    <phoneticPr fontId="8"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</si>
  <si>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8"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</si>
  <si>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</si>
  <si>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8" type="noConversion"/>
  </si>
  <si>
    <r>
      <rPr>
        <sz val="10"/>
        <color theme="1"/>
        <rFont val="宋体"/>
        <family val="3"/>
        <charset val="134"/>
      </rPr>
      <t>一级</t>
    </r>
    <phoneticPr fontId="8" type="noConversion"/>
  </si>
  <si>
    <r>
      <rPr>
        <sz val="10"/>
        <color theme="1"/>
        <rFont val="宋体"/>
        <family val="3"/>
        <charset val="134"/>
      </rPr>
      <t>二级</t>
    </r>
    <phoneticPr fontId="8" type="noConversion"/>
  </si>
  <si>
    <r>
      <rPr>
        <sz val="10"/>
        <color theme="1"/>
        <rFont val="宋体"/>
        <family val="3"/>
        <charset val="134"/>
      </rPr>
      <t>三级</t>
    </r>
    <phoneticPr fontId="8" type="noConversion"/>
  </si>
  <si>
    <r>
      <rPr>
        <sz val="10"/>
        <color theme="1"/>
        <rFont val="宋体"/>
        <family val="3"/>
        <charset val="134"/>
      </rPr>
      <t>四级</t>
    </r>
    <phoneticPr fontId="8" type="noConversion"/>
  </si>
  <si>
    <r>
      <rPr>
        <sz val="10"/>
        <color theme="1"/>
        <rFont val="宋体"/>
        <family val="3"/>
        <charset val="134"/>
      </rPr>
      <t>五级</t>
    </r>
    <phoneticPr fontId="8" type="noConversion"/>
  </si>
  <si>
    <r>
      <rPr>
        <sz val="10"/>
        <color theme="1"/>
        <rFont val="宋体"/>
        <family val="3"/>
        <charset val="134"/>
      </rPr>
      <t>六级</t>
    </r>
    <phoneticPr fontId="8" type="noConversion"/>
  </si>
  <si>
    <r>
      <rPr>
        <sz val="10"/>
        <color theme="1"/>
        <rFont val="宋体"/>
        <family val="3"/>
        <charset val="134"/>
      </rPr>
      <t>七级</t>
    </r>
    <phoneticPr fontId="8" type="noConversion"/>
  </si>
  <si>
    <r>
      <rPr>
        <sz val="10"/>
        <color theme="1"/>
        <rFont val="宋体"/>
        <family val="3"/>
        <charset val="134"/>
      </rPr>
      <t>八级</t>
    </r>
    <phoneticPr fontId="8" type="noConversion"/>
  </si>
  <si>
    <r>
      <rPr>
        <sz val="10"/>
        <color theme="1"/>
        <rFont val="宋体"/>
        <family val="3"/>
        <charset val="134"/>
      </rPr>
      <t>九级</t>
    </r>
    <phoneticPr fontId="8" type="noConversion"/>
  </si>
  <si>
    <r>
      <rPr>
        <sz val="10"/>
        <color theme="1"/>
        <rFont val="宋体"/>
        <family val="3"/>
        <charset val="134"/>
      </rPr>
      <t>十级</t>
    </r>
    <phoneticPr fontId="8" type="noConversion"/>
  </si>
  <si>
    <r>
      <rPr>
        <sz val="10"/>
        <color theme="1"/>
        <rFont val="宋体"/>
        <family val="3"/>
        <charset val="134"/>
      </rPr>
      <t>十一级</t>
    </r>
    <phoneticPr fontId="8" type="noConversion"/>
  </si>
  <si>
    <r>
      <rPr>
        <sz val="10"/>
        <color theme="1"/>
        <rFont val="宋体"/>
        <family val="3"/>
        <charset val="134"/>
      </rPr>
      <t>十二级</t>
    </r>
    <phoneticPr fontId="8" type="noConversion"/>
  </si>
  <si>
    <r>
      <rPr>
        <sz val="10"/>
        <rFont val="宋体"/>
        <family val="3"/>
        <charset val="134"/>
      </rPr>
      <t>加价幅度</t>
    </r>
    <phoneticPr fontId="8"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</si>
  <si>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8"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</si>
  <si>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</si>
  <si>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8" type="noConversion"/>
  </si>
  <si>
    <r>
      <t>7</t>
    </r>
    <r>
      <rPr>
        <sz val="10"/>
        <color theme="1"/>
        <rFont val="宋体"/>
        <family val="3"/>
        <charset val="134"/>
      </rPr>
      <t>层及以上</t>
    </r>
    <phoneticPr fontId="8" type="noConversion"/>
  </si>
  <si>
    <r>
      <rPr>
        <sz val="10"/>
        <rFont val="宋体"/>
        <family val="3"/>
        <charset val="134"/>
      </rPr>
      <t>标准深度（米）</t>
    </r>
    <phoneticPr fontId="8"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</si>
  <si>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8" type="noConversion"/>
  </si>
  <si>
    <r>
      <rPr>
        <sz val="11"/>
        <color theme="1"/>
        <rFont val="宋体"/>
        <family val="3"/>
        <charset val="134"/>
      </rPr>
      <t>十级</t>
    </r>
  </si>
  <si>
    <r>
      <t>1/4</t>
    </r>
    <r>
      <rPr>
        <sz val="10"/>
        <rFont val="宋体"/>
        <family val="3"/>
        <charset val="134"/>
      </rPr>
      <t>标准深度</t>
    </r>
    <phoneticPr fontId="8"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</si>
  <si>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8" type="noConversion"/>
  </si>
  <si>
    <r>
      <rPr>
        <sz val="11"/>
        <color theme="1"/>
        <rFont val="宋体"/>
        <family val="3"/>
        <charset val="134"/>
      </rPr>
      <t>十一级</t>
    </r>
  </si>
  <si>
    <r>
      <rPr>
        <sz val="10"/>
        <rFont val="宋体"/>
        <family val="3"/>
        <charset val="134"/>
      </rPr>
      <t>商业</t>
    </r>
    <r>
      <rPr>
        <sz val="10"/>
        <rFont val="Arial"/>
        <family val="2"/>
      </rPr>
      <t>R&lt;1</t>
    </r>
    <phoneticPr fontId="8" type="noConversion"/>
  </si>
  <si>
    <r>
      <rPr>
        <sz val="10"/>
        <rFont val="宋体"/>
        <family val="3"/>
        <charset val="134"/>
      </rPr>
      <t>容积率</t>
    </r>
    <phoneticPr fontId="8" type="noConversion"/>
  </si>
  <si>
    <r>
      <rPr>
        <sz val="10"/>
        <rFont val="宋体"/>
        <family val="3"/>
        <charset val="134"/>
      </rPr>
      <t>（</t>
    </r>
    <r>
      <rPr>
        <sz val="10"/>
        <rFont val="Arial"/>
        <family val="2"/>
      </rPr>
      <t>2</t>
    </r>
    <r>
      <rPr>
        <sz val="10"/>
        <rFont val="宋体"/>
        <family val="3"/>
        <charset val="134"/>
      </rPr>
      <t>）</t>
    </r>
    <phoneticPr fontId="84" type="noConversion"/>
  </si>
  <si>
    <r>
      <rPr>
        <b/>
        <sz val="10"/>
        <rFont val="宋体"/>
        <family val="3"/>
        <charset val="134"/>
      </rPr>
      <t>特殊情况修正（居住用途）</t>
    </r>
    <phoneticPr fontId="8" type="noConversion"/>
  </si>
  <si>
    <r>
      <rPr>
        <sz val="10"/>
        <rFont val="宋体"/>
        <family val="3"/>
        <charset val="134"/>
      </rPr>
      <t>需根据项目情况调整公式修正项</t>
    </r>
    <phoneticPr fontId="8"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</si>
  <si>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</si>
  <si>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8" type="noConversion"/>
  </si>
  <si>
    <r>
      <rPr>
        <sz val="10"/>
        <color indexed="8"/>
        <rFont val="宋体"/>
        <family val="3"/>
        <charset val="134"/>
      </rPr>
      <t>特殊情况</t>
    </r>
    <phoneticPr fontId="8" type="noConversion"/>
  </si>
  <si>
    <r>
      <rPr>
        <sz val="10"/>
        <color indexed="8"/>
        <rFont val="宋体"/>
        <family val="3"/>
        <charset val="134"/>
      </rPr>
      <t>公园</t>
    </r>
    <phoneticPr fontId="8" type="noConversion"/>
  </si>
  <si>
    <r>
      <rPr>
        <sz val="10"/>
        <color indexed="8"/>
        <rFont val="宋体"/>
        <family val="3"/>
        <charset val="134"/>
      </rPr>
      <t>水系</t>
    </r>
    <phoneticPr fontId="8" type="noConversion"/>
  </si>
  <si>
    <r>
      <rPr>
        <sz val="10"/>
        <color indexed="8"/>
        <rFont val="宋体"/>
        <family val="3"/>
        <charset val="134"/>
      </rPr>
      <t>中小学名校</t>
    </r>
    <phoneticPr fontId="8" type="noConversion"/>
  </si>
  <si>
    <r>
      <rPr>
        <sz val="10"/>
        <color indexed="8"/>
        <rFont val="宋体"/>
        <family val="3"/>
        <charset val="134"/>
      </rPr>
      <t>轨道交通站点周边</t>
    </r>
    <phoneticPr fontId="8" type="noConversion"/>
  </si>
  <si>
    <r>
      <rPr>
        <sz val="10"/>
        <rFont val="宋体"/>
        <family val="3"/>
        <charset val="134"/>
      </rPr>
      <t>无</t>
    </r>
    <phoneticPr fontId="8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</si>
  <si>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8" type="noConversion"/>
  </si>
  <si>
    <r>
      <rPr>
        <sz val="10"/>
        <color indexed="8"/>
        <rFont val="宋体"/>
        <family val="3"/>
        <charset val="134"/>
      </rPr>
      <t>修正系数</t>
    </r>
    <phoneticPr fontId="8" type="noConversion"/>
  </si>
  <si>
    <r>
      <rPr>
        <sz val="10"/>
        <rFont val="宋体"/>
        <family val="3"/>
        <charset val="134"/>
      </rPr>
      <t>商业</t>
    </r>
    <phoneticPr fontId="8" type="noConversion"/>
  </si>
  <si>
    <r>
      <rPr>
        <sz val="10"/>
        <rFont val="宋体"/>
        <family val="3"/>
        <charset val="134"/>
      </rPr>
      <t>办公</t>
    </r>
    <phoneticPr fontId="8" type="noConversion"/>
  </si>
  <si>
    <r>
      <rPr>
        <sz val="10"/>
        <rFont val="宋体"/>
        <family val="3"/>
        <charset val="134"/>
      </rPr>
      <t>住宅</t>
    </r>
    <phoneticPr fontId="8" type="noConversion"/>
  </si>
  <si>
    <r>
      <rPr>
        <sz val="10"/>
        <rFont val="宋体"/>
        <family val="3"/>
        <charset val="134"/>
      </rPr>
      <t>工业</t>
    </r>
    <phoneticPr fontId="8" type="noConversion"/>
  </si>
  <si>
    <r>
      <rPr>
        <sz val="10"/>
        <rFont val="宋体"/>
        <family val="3"/>
        <charset val="134"/>
      </rPr>
      <t>（</t>
    </r>
    <r>
      <rPr>
        <sz val="10"/>
        <rFont val="Arial"/>
        <family val="2"/>
      </rPr>
      <t>3</t>
    </r>
    <r>
      <rPr>
        <sz val="10"/>
        <rFont val="宋体"/>
        <family val="3"/>
        <charset val="134"/>
      </rPr>
      <t>）</t>
    </r>
    <phoneticPr fontId="84" type="noConversion"/>
  </si>
  <si>
    <r>
      <rPr>
        <b/>
        <sz val="10"/>
        <rFont val="宋体"/>
        <family val="3"/>
        <charset val="134"/>
      </rPr>
      <t>开发程度差异修正</t>
    </r>
    <phoneticPr fontId="8" type="noConversion"/>
  </si>
  <si>
    <r>
      <rPr>
        <sz val="10"/>
        <rFont val="宋体"/>
        <family val="3"/>
        <charset val="134"/>
      </rPr>
      <t>估价对象开发程度</t>
    </r>
    <phoneticPr fontId="8" type="noConversion"/>
  </si>
  <si>
    <r>
      <rPr>
        <sz val="10"/>
        <rFont val="宋体"/>
        <family val="3"/>
        <charset val="134"/>
      </rPr>
      <t>上浮比率</t>
    </r>
    <phoneticPr fontId="8" type="noConversion"/>
  </si>
  <si>
    <r>
      <rPr>
        <sz val="10"/>
        <rFont val="宋体"/>
        <family val="3"/>
        <charset val="134"/>
      </rPr>
      <t>级别平均容积率</t>
    </r>
    <phoneticPr fontId="8" type="noConversion"/>
  </si>
  <si>
    <r>
      <rPr>
        <sz val="10"/>
        <rFont val="宋体"/>
        <family val="3"/>
        <charset val="134"/>
      </rPr>
      <t>级别开发程度</t>
    </r>
    <phoneticPr fontId="8" type="noConversion"/>
  </si>
  <si>
    <r>
      <rPr>
        <sz val="10"/>
        <rFont val="宋体"/>
        <family val="3"/>
        <charset val="134"/>
      </rPr>
      <t>土地还原率</t>
    </r>
    <phoneticPr fontId="8" type="noConversion"/>
  </si>
  <si>
    <r>
      <rPr>
        <b/>
        <sz val="11"/>
        <rFont val="宋体"/>
        <family val="3"/>
        <charset val="134"/>
      </rPr>
      <t>用途修正系数</t>
    </r>
    <phoneticPr fontId="8" type="noConversion"/>
  </si>
  <si>
    <r>
      <rPr>
        <b/>
        <sz val="11"/>
        <rFont val="宋体"/>
        <family val="3"/>
        <charset val="134"/>
      </rPr>
      <t>期日修正指数</t>
    </r>
    <phoneticPr fontId="8" type="noConversion"/>
  </si>
  <si>
    <r>
      <rPr>
        <sz val="11"/>
        <rFont val="宋体"/>
        <family val="3"/>
        <charset val="134"/>
      </rPr>
      <t>基准期日</t>
    </r>
    <phoneticPr fontId="8" type="noConversion"/>
  </si>
  <si>
    <r>
      <rPr>
        <sz val="11"/>
        <rFont val="宋体"/>
        <family val="3"/>
        <charset val="134"/>
      </rPr>
      <t>估价期日</t>
    </r>
    <phoneticPr fontId="8" type="noConversion"/>
  </si>
  <si>
    <r>
      <rPr>
        <sz val="11"/>
        <rFont val="宋体"/>
        <family val="3"/>
        <charset val="134"/>
      </rPr>
      <t>基准日地价指数</t>
    </r>
    <phoneticPr fontId="84" type="noConversion"/>
  </si>
  <si>
    <r>
      <rPr>
        <sz val="10"/>
        <rFont val="宋体"/>
        <family val="3"/>
        <charset val="134"/>
      </rPr>
      <t>相差季度数</t>
    </r>
    <phoneticPr fontId="84" type="noConversion"/>
  </si>
  <si>
    <r>
      <rPr>
        <b/>
        <sz val="11"/>
        <rFont val="宋体"/>
        <family val="3"/>
        <charset val="134"/>
      </rPr>
      <t>年期修正系数</t>
    </r>
    <phoneticPr fontId="8" type="noConversion"/>
  </si>
  <si>
    <r>
      <rPr>
        <sz val="10"/>
        <rFont val="宋体"/>
        <family val="3"/>
        <charset val="134"/>
      </rPr>
      <t>现行一年期贷款利率</t>
    </r>
    <phoneticPr fontId="8" type="noConversion"/>
  </si>
  <si>
    <r>
      <rPr>
        <sz val="10"/>
        <rFont val="宋体"/>
        <family val="3"/>
        <charset val="134"/>
      </rPr>
      <t>剩余使用年限</t>
    </r>
    <phoneticPr fontId="8" type="noConversion"/>
  </si>
  <si>
    <r>
      <rPr>
        <sz val="11"/>
        <rFont val="宋体"/>
        <family val="3"/>
        <charset val="134"/>
      </rPr>
      <t>所在季度地价指数</t>
    </r>
    <phoneticPr fontId="84" type="noConversion"/>
  </si>
  <si>
    <r>
      <rPr>
        <sz val="11"/>
        <rFont val="宋体"/>
        <family val="3"/>
        <charset val="134"/>
      </rPr>
      <t>季度增幅</t>
    </r>
    <phoneticPr fontId="8" type="noConversion"/>
  </si>
  <si>
    <r>
      <rPr>
        <sz val="11"/>
        <rFont val="宋体"/>
        <family val="3"/>
        <charset val="134"/>
      </rPr>
      <t>自定义涨幅</t>
    </r>
    <phoneticPr fontId="8" type="noConversion"/>
  </si>
  <si>
    <r>
      <rPr>
        <sz val="11"/>
        <rFont val="宋体"/>
        <family val="3"/>
        <charset val="134"/>
      </rPr>
      <t>平均季度增幅（公示）</t>
    </r>
    <phoneticPr fontId="8" type="noConversion"/>
  </si>
  <si>
    <r>
      <rPr>
        <b/>
        <sz val="11"/>
        <rFont val="宋体"/>
        <family val="3"/>
        <charset val="134"/>
      </rPr>
      <t>楼层修正</t>
    </r>
  </si>
  <si>
    <r>
      <rPr>
        <sz val="11"/>
        <rFont val="宋体"/>
        <family val="3"/>
        <charset val="134"/>
      </rPr>
      <t>商业</t>
    </r>
    <phoneticPr fontId="8" type="noConversion"/>
  </si>
  <si>
    <r>
      <rPr>
        <sz val="11"/>
        <rFont val="宋体"/>
        <family val="3"/>
        <charset val="134"/>
      </rPr>
      <t>（</t>
    </r>
    <r>
      <rPr>
        <sz val="11"/>
        <rFont val="Arial"/>
        <family val="2"/>
      </rPr>
      <t>1</t>
    </r>
    <r>
      <rPr>
        <sz val="11"/>
        <rFont val="宋体"/>
        <family val="3"/>
        <charset val="134"/>
      </rPr>
      <t>）</t>
    </r>
    <phoneticPr fontId="84" type="noConversion"/>
  </si>
  <si>
    <r>
      <rPr>
        <sz val="11"/>
        <rFont val="宋体"/>
        <family val="3"/>
        <charset val="134"/>
      </rPr>
      <t>容积率修正系数</t>
    </r>
    <phoneticPr fontId="8" type="noConversion"/>
  </si>
  <si>
    <r>
      <t>R</t>
    </r>
    <r>
      <rPr>
        <sz val="11"/>
        <rFont val="宋体"/>
        <family val="3"/>
        <charset val="134"/>
      </rPr>
      <t>≤</t>
    </r>
    <r>
      <rPr>
        <sz val="11"/>
        <rFont val="Arial"/>
        <family val="2"/>
      </rPr>
      <t>10</t>
    </r>
    <phoneticPr fontId="8" type="noConversion"/>
  </si>
  <si>
    <r>
      <rPr>
        <sz val="11"/>
        <rFont val="宋体"/>
        <family val="3"/>
        <charset val="134"/>
      </rPr>
      <t>办公</t>
    </r>
    <phoneticPr fontId="8" type="noConversion"/>
  </si>
  <si>
    <r>
      <rPr>
        <sz val="11"/>
        <rFont val="宋体"/>
        <family val="3"/>
        <charset val="134"/>
      </rPr>
      <t>（</t>
    </r>
    <r>
      <rPr>
        <sz val="11"/>
        <rFont val="Arial"/>
        <family val="2"/>
      </rPr>
      <t>2</t>
    </r>
    <r>
      <rPr>
        <sz val="11"/>
        <rFont val="宋体"/>
        <family val="3"/>
        <charset val="134"/>
      </rPr>
      <t>）</t>
    </r>
    <phoneticPr fontId="84" type="noConversion"/>
  </si>
  <si>
    <r>
      <rPr>
        <sz val="11"/>
        <rFont val="宋体"/>
        <family val="3"/>
        <charset val="134"/>
      </rPr>
      <t>楼层修正系数（商业）</t>
    </r>
    <phoneticPr fontId="8" type="noConversion"/>
  </si>
  <si>
    <r>
      <rPr>
        <sz val="11"/>
        <rFont val="宋体"/>
        <family val="3"/>
        <charset val="134"/>
      </rPr>
      <t>住宅</t>
    </r>
  </si>
  <si>
    <r>
      <rPr>
        <b/>
        <sz val="11"/>
        <rFont val="宋体"/>
        <family val="3"/>
        <charset val="134"/>
      </rPr>
      <t>因素修正系数</t>
    </r>
    <phoneticPr fontId="8" type="noConversion"/>
  </si>
  <si>
    <r>
      <rPr>
        <sz val="11"/>
        <rFont val="宋体"/>
        <family val="3"/>
        <charset val="134"/>
      </rPr>
      <t>工业</t>
    </r>
  </si>
  <si>
    <r>
      <rPr>
        <b/>
        <sz val="11"/>
        <rFont val="宋体"/>
        <family val="3"/>
        <charset val="134"/>
      </rPr>
      <t>估算结果</t>
    </r>
    <phoneticPr fontId="8" type="noConversion"/>
  </si>
  <si>
    <r>
      <rPr>
        <sz val="11"/>
        <rFont val="宋体"/>
        <family val="3"/>
        <charset val="134"/>
      </rPr>
      <t>综合</t>
    </r>
    <phoneticPr fontId="8" type="noConversion"/>
  </si>
  <si>
    <r>
      <rPr>
        <sz val="11"/>
        <rFont val="宋体"/>
        <family val="3"/>
        <charset val="134"/>
      </rPr>
      <t>熟地价</t>
    </r>
    <phoneticPr fontId="84" type="noConversion"/>
  </si>
  <si>
    <r>
      <rPr>
        <sz val="11"/>
        <rFont val="宋体"/>
        <family val="3"/>
        <charset val="134"/>
      </rPr>
      <t>政府土地出让收益</t>
    </r>
    <phoneticPr fontId="84" type="noConversion"/>
  </si>
  <si>
    <r>
      <rPr>
        <b/>
        <sz val="10"/>
        <rFont val="宋体"/>
        <family val="3"/>
        <charset val="134"/>
      </rPr>
      <t>地上部分</t>
    </r>
    <phoneticPr fontId="8" type="noConversion"/>
  </si>
  <si>
    <r>
      <rPr>
        <b/>
        <sz val="11"/>
        <rFont val="宋体"/>
        <family val="3"/>
        <charset val="134"/>
      </rPr>
      <t>单价</t>
    </r>
    <phoneticPr fontId="8" type="noConversion"/>
  </si>
  <si>
    <r>
      <rPr>
        <b/>
        <sz val="11"/>
        <rFont val="宋体"/>
        <family val="3"/>
        <charset val="134"/>
      </rPr>
      <t>建筑面积</t>
    </r>
    <phoneticPr fontId="8" type="noConversion"/>
  </si>
  <si>
    <r>
      <rPr>
        <b/>
        <sz val="11"/>
        <rFont val="宋体"/>
        <family val="3"/>
        <charset val="134"/>
      </rPr>
      <t>总额</t>
    </r>
    <phoneticPr fontId="8" type="noConversion"/>
  </si>
  <si>
    <r>
      <rPr>
        <sz val="10"/>
        <rFont val="宋体"/>
        <family val="3"/>
        <charset val="134"/>
      </rPr>
      <t>地上部分</t>
    </r>
    <r>
      <rPr>
        <sz val="10"/>
        <rFont val="Arial"/>
        <family val="2"/>
      </rPr>
      <t>——</t>
    </r>
    <r>
      <rPr>
        <sz val="10"/>
        <rFont val="宋体"/>
        <family val="3"/>
        <charset val="134"/>
      </rPr>
      <t>楼面熟地价</t>
    </r>
    <phoneticPr fontId="8"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</si>
  <si>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8" type="noConversion"/>
  </si>
  <si>
    <r>
      <rPr>
        <sz val="10"/>
        <rFont val="宋体"/>
        <family val="3"/>
        <charset val="134"/>
      </rPr>
      <t>地上部分</t>
    </r>
    <r>
      <rPr>
        <sz val="10"/>
        <rFont val="Arial"/>
        <family val="2"/>
      </rPr>
      <t>——</t>
    </r>
    <r>
      <rPr>
        <sz val="10"/>
        <rFont val="宋体"/>
        <family val="3"/>
        <charset val="134"/>
      </rPr>
      <t>政府土地出让收益</t>
    </r>
    <phoneticPr fontId="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</si>
  <si>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 type="noConversion"/>
  </si>
  <si>
    <r>
      <rPr>
        <b/>
        <sz val="10"/>
        <rFont val="宋体"/>
        <family val="3"/>
        <charset val="134"/>
      </rPr>
      <t>地下部分</t>
    </r>
    <phoneticPr fontId="8"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</si>
  <si>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</si>
  <si>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4" type="noConversion"/>
  </si>
  <si>
    <r>
      <rPr>
        <sz val="10"/>
        <rFont val="宋体"/>
        <family val="3"/>
        <charset val="134"/>
      </rPr>
      <t>相应用途地下空间修正系数</t>
    </r>
  </si>
  <si>
    <r>
      <rPr>
        <b/>
        <sz val="10"/>
        <color rgb="FFFF0000"/>
        <rFont val="宋体"/>
        <family val="3"/>
        <charset val="134"/>
      </rPr>
      <t>地下商业不考虑路线价修正</t>
    </r>
    <phoneticPr fontId="8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</si>
  <si>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8"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</si>
  <si>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8"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</si>
  <si>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8"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</si>
  <si>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8" type="noConversion"/>
  </si>
  <si>
    <r>
      <rPr>
        <sz val="10"/>
        <color theme="1"/>
        <rFont val="宋体"/>
        <family val="3"/>
        <charset val="134"/>
      </rPr>
      <t>地下办公</t>
    </r>
    <phoneticPr fontId="8" type="noConversion"/>
  </si>
  <si>
    <r>
      <rPr>
        <sz val="10"/>
        <rFont val="宋体"/>
        <family val="3"/>
        <charset val="134"/>
      </rPr>
      <t>政府土地出让收益比例</t>
    </r>
    <phoneticPr fontId="84" type="noConversion"/>
  </si>
  <si>
    <r>
      <rPr>
        <sz val="10"/>
        <color theme="1"/>
        <rFont val="宋体"/>
        <family val="3"/>
        <charset val="134"/>
      </rPr>
      <t>地下仓储</t>
    </r>
    <phoneticPr fontId="8"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</si>
  <si>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8" type="noConversion"/>
  </si>
  <si>
    <r>
      <rPr>
        <sz val="10"/>
        <color theme="1"/>
        <rFont val="宋体"/>
        <family val="3"/>
        <charset val="134"/>
      </rPr>
      <t>地下车库</t>
    </r>
    <phoneticPr fontId="8" type="noConversion"/>
  </si>
  <si>
    <r>
      <rPr>
        <b/>
        <sz val="11"/>
        <color rgb="FFFF0000"/>
        <rFont val="宋体"/>
        <family val="3"/>
        <charset val="134"/>
      </rPr>
      <t>结果不可超过《北京市区片基准地价因素总修正幅度表》所列修正幅度；依据估价对象用途调整链接</t>
    </r>
    <phoneticPr fontId="8" type="noConversion"/>
  </si>
  <si>
    <r>
      <rPr>
        <b/>
        <sz val="11"/>
        <color rgb="FFFF0000"/>
        <rFont val="宋体"/>
        <family val="3"/>
        <charset val="134"/>
      </rPr>
      <t>商业</t>
    </r>
    <phoneticPr fontId="8" type="noConversion"/>
  </si>
  <si>
    <r>
      <rPr>
        <sz val="10"/>
        <color theme="1"/>
        <rFont val="宋体"/>
        <family val="3"/>
        <charset val="134"/>
      </rPr>
      <t>影响因素</t>
    </r>
    <phoneticPr fontId="8" type="noConversion"/>
  </si>
  <si>
    <r>
      <rPr>
        <sz val="10"/>
        <color theme="1"/>
        <rFont val="宋体"/>
        <family val="3"/>
        <charset val="134"/>
      </rPr>
      <t>情况说明</t>
    </r>
    <phoneticPr fontId="8" type="noConversion"/>
  </si>
  <si>
    <r>
      <rPr>
        <sz val="10"/>
        <color theme="1"/>
        <rFont val="宋体"/>
        <family val="3"/>
        <charset val="134"/>
      </rPr>
      <t>等级</t>
    </r>
    <phoneticPr fontId="8" type="noConversion"/>
  </si>
  <si>
    <r>
      <rPr>
        <sz val="10"/>
        <color indexed="8"/>
        <rFont val="宋体"/>
        <family val="3"/>
        <charset val="134"/>
      </rPr>
      <t>修正幅度</t>
    </r>
    <phoneticPr fontId="8" type="noConversion"/>
  </si>
  <si>
    <r>
      <rPr>
        <sz val="10"/>
        <rFont val="宋体"/>
        <family val="3"/>
        <charset val="134"/>
      </rPr>
      <t>合计</t>
    </r>
    <phoneticPr fontId="8" type="noConversion"/>
  </si>
  <si>
    <r>
      <rPr>
        <sz val="10"/>
        <color rgb="FFFF0000"/>
        <rFont val="宋体"/>
        <family val="3"/>
        <charset val="134"/>
      </rPr>
      <t>总幅度控制</t>
    </r>
    <r>
      <rPr>
        <sz val="10"/>
        <color rgb="FFFF0000"/>
        <rFont val="Arial"/>
        <family val="2"/>
      </rPr>
      <t>(±)</t>
    </r>
    <phoneticPr fontId="84" type="noConversion"/>
  </si>
  <si>
    <r>
      <rPr>
        <sz val="10"/>
        <color rgb="FFFF0000"/>
        <rFont val="宋体"/>
        <family val="3"/>
        <charset val="134"/>
      </rPr>
      <t>各因素幅度控制</t>
    </r>
    <r>
      <rPr>
        <sz val="10"/>
        <color rgb="FFFF0000"/>
        <rFont val="Arial"/>
        <family val="2"/>
      </rPr>
      <t>(±)</t>
    </r>
    <phoneticPr fontId="84" type="noConversion"/>
  </si>
  <si>
    <r>
      <rPr>
        <sz val="10"/>
        <color indexed="8"/>
        <rFont val="宋体"/>
        <family val="3"/>
        <charset val="134"/>
      </rPr>
      <t>权重</t>
    </r>
    <phoneticPr fontId="8" type="noConversion"/>
  </si>
  <si>
    <r>
      <t xml:space="preserve"> </t>
    </r>
    <r>
      <rPr>
        <sz val="10"/>
        <color theme="1"/>
        <rFont val="宋体"/>
        <family val="3"/>
        <charset val="134"/>
      </rPr>
      <t>商业繁华程度</t>
    </r>
    <phoneticPr fontId="8" type="noConversion"/>
  </si>
  <si>
    <r>
      <rPr>
        <sz val="10"/>
        <color theme="1"/>
        <rFont val="宋体"/>
        <family val="3"/>
        <charset val="134"/>
      </rPr>
      <t>交通便捷度</t>
    </r>
    <phoneticPr fontId="8" type="noConversion"/>
  </si>
  <si>
    <r>
      <rPr>
        <sz val="10"/>
        <color theme="1"/>
        <rFont val="宋体"/>
        <family val="3"/>
        <charset val="134"/>
      </rPr>
      <t>区域土地利用方向</t>
    </r>
    <phoneticPr fontId="8" type="noConversion"/>
  </si>
  <si>
    <r>
      <rPr>
        <sz val="10"/>
        <color theme="1"/>
        <rFont val="宋体"/>
        <family val="3"/>
        <charset val="134"/>
      </rPr>
      <t>临街宽度和深度</t>
    </r>
    <phoneticPr fontId="8"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</si>
  <si>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4" type="noConversion"/>
  </si>
  <si>
    <r>
      <rPr>
        <sz val="10"/>
        <color theme="1"/>
        <rFont val="宋体"/>
        <family val="3"/>
        <charset val="134"/>
      </rPr>
      <t>临街道路状况</t>
    </r>
    <phoneticPr fontId="8" type="noConversion"/>
  </si>
  <si>
    <r>
      <rPr>
        <sz val="10"/>
        <color theme="1"/>
        <rFont val="宋体"/>
        <family val="3"/>
        <charset val="134"/>
      </rPr>
      <t>宗地形状及可利用程度</t>
    </r>
    <phoneticPr fontId="8" type="noConversion"/>
  </si>
  <si>
    <r>
      <rPr>
        <sz val="10"/>
        <color theme="9" tint="-0.249977111117893"/>
        <rFont val="宋体"/>
        <family val="3"/>
        <charset val="134"/>
      </rPr>
      <t>宗地形状？，但对宗地利用影响？</t>
    </r>
    <phoneticPr fontId="84" type="noConversion"/>
  </si>
  <si>
    <r>
      <rPr>
        <sz val="10"/>
        <color theme="1"/>
        <rFont val="宋体"/>
        <family val="3"/>
        <charset val="134"/>
      </rPr>
      <t>公共服务设施状况</t>
    </r>
    <phoneticPr fontId="8" type="noConversion"/>
  </si>
  <si>
    <r>
      <rPr>
        <sz val="10"/>
        <color theme="1"/>
        <rFont val="宋体"/>
        <family val="3"/>
        <charset val="134"/>
      </rPr>
      <t>基础设施完备状况</t>
    </r>
    <phoneticPr fontId="8" type="noConversion"/>
  </si>
  <si>
    <r>
      <rPr>
        <sz val="10"/>
        <color theme="1"/>
        <rFont val="宋体"/>
        <family val="3"/>
        <charset val="134"/>
      </rPr>
      <t>自然和人文环境状况</t>
    </r>
    <phoneticPr fontId="8" type="noConversion"/>
  </si>
  <si>
    <r>
      <rPr>
        <b/>
        <sz val="11"/>
        <color rgb="FFFF0000"/>
        <rFont val="宋体"/>
        <family val="3"/>
        <charset val="134"/>
      </rPr>
      <t>办公</t>
    </r>
    <phoneticPr fontId="8" type="noConversion"/>
  </si>
  <si>
    <r>
      <rPr>
        <sz val="10"/>
        <color rgb="FFFF0000"/>
        <rFont val="宋体"/>
        <family val="3"/>
        <charset val="134"/>
      </rPr>
      <t>幅度控制</t>
    </r>
    <r>
      <rPr>
        <sz val="10"/>
        <color rgb="FFFF0000"/>
        <rFont val="Arial"/>
        <family val="2"/>
      </rPr>
      <t>(±)</t>
    </r>
    <phoneticPr fontId="84" type="noConversion"/>
  </si>
  <si>
    <r>
      <rPr>
        <sz val="10"/>
        <color theme="1"/>
        <rFont val="宋体"/>
        <family val="3"/>
        <charset val="134"/>
      </rPr>
      <t>办公集聚程度</t>
    </r>
    <phoneticPr fontId="8" type="noConversion"/>
  </si>
  <si>
    <r>
      <rPr>
        <b/>
        <sz val="11"/>
        <color rgb="FFFF0000"/>
        <rFont val="宋体"/>
        <family val="3"/>
        <charset val="134"/>
      </rPr>
      <t>住宅</t>
    </r>
    <phoneticPr fontId="8" type="noConversion"/>
  </si>
  <si>
    <r>
      <rPr>
        <sz val="10"/>
        <color theme="1"/>
        <rFont val="宋体"/>
        <family val="3"/>
        <charset val="134"/>
      </rPr>
      <t>居住社区成熟度</t>
    </r>
    <phoneticPr fontId="8" type="noConversion"/>
  </si>
  <si>
    <r>
      <rPr>
        <sz val="10"/>
        <color theme="1"/>
        <rFont val="宋体"/>
        <family val="3"/>
        <charset val="134"/>
      </rPr>
      <t>临路状况</t>
    </r>
    <phoneticPr fontId="8" type="noConversion"/>
  </si>
  <si>
    <r>
      <rPr>
        <sz val="10"/>
        <color theme="1"/>
        <rFont val="宋体"/>
        <family val="3"/>
        <charset val="134"/>
      </rPr>
      <t>与区域中心的接近程度</t>
    </r>
    <phoneticPr fontId="8" type="noConversion"/>
  </si>
  <si>
    <r>
      <rPr>
        <b/>
        <sz val="11"/>
        <color rgb="FFFF0000"/>
        <rFont val="宋体"/>
        <family val="3"/>
        <charset val="134"/>
      </rPr>
      <t>工业</t>
    </r>
    <phoneticPr fontId="8" type="noConversion"/>
  </si>
  <si>
    <r>
      <rPr>
        <sz val="10"/>
        <color theme="1"/>
        <rFont val="宋体"/>
        <family val="3"/>
        <charset val="134"/>
      </rPr>
      <t>产业集聚程度</t>
    </r>
    <phoneticPr fontId="8"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</si>
  <si>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</si>
  <si>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8" type="noConversion"/>
  </si>
  <si>
    <r>
      <rPr>
        <b/>
        <sz val="10"/>
        <color theme="1"/>
        <rFont val="宋体"/>
        <family val="3"/>
        <charset val="134"/>
      </rPr>
      <t>北京市基准地价商业用途楼层修正系数表</t>
    </r>
    <phoneticPr fontId="8" type="noConversion"/>
  </si>
  <si>
    <r>
      <rPr>
        <sz val="10"/>
        <color theme="1"/>
        <rFont val="宋体"/>
        <family val="3"/>
        <charset val="134"/>
      </rPr>
      <t>用途</t>
    </r>
    <phoneticPr fontId="8" type="noConversion"/>
  </si>
  <si>
    <r>
      <rPr>
        <sz val="10"/>
        <color theme="1"/>
        <rFont val="宋体"/>
        <family val="3"/>
        <charset val="134"/>
      </rPr>
      <t>所在楼层</t>
    </r>
    <phoneticPr fontId="8" type="noConversion"/>
  </si>
  <si>
    <r>
      <rPr>
        <sz val="10"/>
        <color theme="1"/>
        <rFont val="宋体"/>
        <family val="3"/>
        <charset val="134"/>
      </rPr>
      <t>楼层修正系数</t>
    </r>
    <phoneticPr fontId="8"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</si>
  <si>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8" type="noConversion"/>
  </si>
  <si>
    <r>
      <rPr>
        <sz val="10"/>
        <color theme="1"/>
        <rFont val="宋体"/>
        <family val="3"/>
        <charset val="134"/>
      </rPr>
      <t>商业</t>
    </r>
    <r>
      <rPr>
        <sz val="10"/>
        <color theme="1"/>
        <rFont val="Arial"/>
        <family val="2"/>
      </rPr>
      <t>R</t>
    </r>
    <r>
      <rPr>
        <sz val="10"/>
        <color indexed="8"/>
        <rFont val="Arial"/>
        <family val="2"/>
      </rPr>
      <t>&lt;1</t>
    </r>
    <phoneticPr fontId="8" type="noConversion"/>
  </si>
  <si>
    <r>
      <rPr>
        <sz val="10"/>
        <color theme="1"/>
        <rFont val="宋体"/>
        <family val="3"/>
        <charset val="134"/>
      </rPr>
      <t>容积率</t>
    </r>
    <phoneticPr fontId="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</si>
  <si>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8"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</si>
  <si>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8" type="noConversion"/>
  </si>
  <si>
    <r>
      <rPr>
        <sz val="10"/>
        <rFont val="宋体"/>
        <family val="3"/>
        <charset val="134"/>
      </rPr>
      <t>宗地容积率</t>
    </r>
    <r>
      <rPr>
        <sz val="10"/>
        <rFont val="Arial"/>
        <family val="2"/>
      </rPr>
      <t>R</t>
    </r>
    <phoneticPr fontId="8" type="noConversion"/>
  </si>
  <si>
    <r>
      <rPr>
        <sz val="10"/>
        <rFont val="宋体"/>
        <family val="3"/>
        <charset val="134"/>
      </rPr>
      <t>修正系数</t>
    </r>
    <phoneticPr fontId="8" type="noConversion"/>
  </si>
  <si>
    <r>
      <rPr>
        <sz val="10"/>
        <rFont val="宋体"/>
        <family val="3"/>
        <charset val="134"/>
      </rPr>
      <t>一级</t>
    </r>
    <phoneticPr fontId="8" type="noConversion"/>
  </si>
  <si>
    <r>
      <rPr>
        <sz val="10"/>
        <rFont val="宋体"/>
        <family val="3"/>
        <charset val="134"/>
      </rPr>
      <t>二级</t>
    </r>
    <phoneticPr fontId="8" type="noConversion"/>
  </si>
  <si>
    <r>
      <rPr>
        <sz val="10"/>
        <rFont val="宋体"/>
        <family val="3"/>
        <charset val="134"/>
      </rPr>
      <t>三级</t>
    </r>
    <phoneticPr fontId="8" type="noConversion"/>
  </si>
  <si>
    <r>
      <rPr>
        <sz val="10"/>
        <rFont val="宋体"/>
        <family val="3"/>
        <charset val="134"/>
      </rPr>
      <t>四级</t>
    </r>
    <phoneticPr fontId="8" type="noConversion"/>
  </si>
  <si>
    <r>
      <rPr>
        <sz val="10"/>
        <rFont val="宋体"/>
        <family val="3"/>
        <charset val="134"/>
      </rPr>
      <t>五级</t>
    </r>
    <phoneticPr fontId="8" type="noConversion"/>
  </si>
  <si>
    <r>
      <rPr>
        <sz val="10"/>
        <rFont val="宋体"/>
        <family val="3"/>
        <charset val="134"/>
      </rPr>
      <t>六级</t>
    </r>
    <phoneticPr fontId="8" type="noConversion"/>
  </si>
  <si>
    <r>
      <rPr>
        <sz val="10"/>
        <rFont val="宋体"/>
        <family val="3"/>
        <charset val="134"/>
      </rPr>
      <t>七级</t>
    </r>
    <phoneticPr fontId="8" type="noConversion"/>
  </si>
  <si>
    <r>
      <rPr>
        <sz val="10"/>
        <rFont val="宋体"/>
        <family val="3"/>
        <charset val="134"/>
      </rPr>
      <t>八级</t>
    </r>
    <phoneticPr fontId="8" type="noConversion"/>
  </si>
  <si>
    <r>
      <rPr>
        <sz val="10"/>
        <rFont val="宋体"/>
        <family val="3"/>
        <charset val="134"/>
      </rPr>
      <t>九级</t>
    </r>
    <phoneticPr fontId="8" type="noConversion"/>
  </si>
  <si>
    <r>
      <rPr>
        <sz val="10"/>
        <rFont val="宋体"/>
        <family val="3"/>
        <charset val="134"/>
      </rPr>
      <t>十级</t>
    </r>
    <phoneticPr fontId="8" type="noConversion"/>
  </si>
  <si>
    <r>
      <rPr>
        <sz val="10"/>
        <rFont val="宋体"/>
        <family val="3"/>
        <charset val="134"/>
      </rPr>
      <t>十一级</t>
    </r>
    <phoneticPr fontId="8" type="noConversion"/>
  </si>
  <si>
    <r>
      <rPr>
        <sz val="10"/>
        <rFont val="宋体"/>
        <family val="3"/>
        <charset val="134"/>
      </rPr>
      <t>十二级</t>
    </r>
    <phoneticPr fontId="8"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</si>
  <si>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</si>
  <si>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</si>
  <si>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</si>
  <si>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</si>
  <si>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</si>
  <si>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</si>
  <si>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</si>
  <si>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</si>
  <si>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8"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</si>
  <si>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</si>
  <si>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8" type="noConversion"/>
  </si>
  <si>
    <r>
      <rPr>
        <sz val="10"/>
        <color indexed="8"/>
        <rFont val="宋体"/>
        <family val="3"/>
        <charset val="134"/>
      </rPr>
      <t>说明</t>
    </r>
    <phoneticPr fontId="8" type="noConversion"/>
  </si>
  <si>
    <r>
      <rPr>
        <sz val="10"/>
        <color indexed="8"/>
        <rFont val="宋体"/>
        <family val="3"/>
        <charset val="134"/>
      </rPr>
      <t>修正系数</t>
    </r>
    <phoneticPr fontId="8" type="noConversion"/>
  </si>
  <si>
    <r>
      <rPr>
        <sz val="10"/>
        <color indexed="8"/>
        <rFont val="宋体"/>
        <family val="3"/>
        <charset val="134"/>
      </rPr>
      <t>建筑面积</t>
    </r>
    <phoneticPr fontId="8" type="noConversion"/>
  </si>
  <si>
    <r>
      <rPr>
        <sz val="10"/>
        <color theme="9" tint="-0.249977111117893"/>
        <rFont val="宋体"/>
        <family val="3"/>
        <charset val="134"/>
      </rPr>
      <t>修正项</t>
    </r>
    <r>
      <rPr>
        <sz val="10"/>
        <color theme="9" tint="-0.249977111117893"/>
        <rFont val="Arial"/>
        <family val="2"/>
      </rPr>
      <t>2</t>
    </r>
    <phoneticPr fontId="8" type="noConversion"/>
  </si>
  <si>
    <r>
      <rPr>
        <sz val="10"/>
        <color theme="9" tint="-0.249977111117893"/>
        <rFont val="宋体"/>
        <family val="3"/>
        <charset val="134"/>
      </rPr>
      <t>修正项</t>
    </r>
    <r>
      <rPr>
        <sz val="10"/>
        <color theme="9" tint="-0.249977111117893"/>
        <rFont val="Arial"/>
        <family val="2"/>
      </rPr>
      <t>3</t>
    </r>
    <phoneticPr fontId="8" type="noConversion"/>
  </si>
  <si>
    <r>
      <rPr>
        <sz val="10"/>
        <color theme="9" tint="-0.249977111117893"/>
        <rFont val="宋体"/>
        <family val="3"/>
        <charset val="134"/>
      </rPr>
      <t>修正项</t>
    </r>
    <r>
      <rPr>
        <sz val="10"/>
        <color theme="9" tint="-0.249977111117893"/>
        <rFont val="Arial"/>
        <family val="2"/>
      </rPr>
      <t>4</t>
    </r>
    <phoneticPr fontId="8" type="noConversion"/>
  </si>
  <si>
    <r>
      <rPr>
        <sz val="10"/>
        <color theme="9" tint="-0.249977111117893"/>
        <rFont val="宋体"/>
        <family val="3"/>
        <charset val="134"/>
      </rPr>
      <t>修正项</t>
    </r>
    <r>
      <rPr>
        <sz val="10"/>
        <color theme="9" tint="-0.249977111117893"/>
        <rFont val="Arial"/>
        <family val="2"/>
      </rPr>
      <t>5</t>
    </r>
    <phoneticPr fontId="8" type="noConversion"/>
  </si>
  <si>
    <r>
      <rPr>
        <sz val="10"/>
        <color theme="9" tint="-0.249977111117893"/>
        <rFont val="宋体"/>
        <family val="3"/>
        <charset val="134"/>
      </rPr>
      <t>修正项</t>
    </r>
    <r>
      <rPr>
        <sz val="10"/>
        <color theme="9" tint="-0.249977111117893"/>
        <rFont val="Arial"/>
        <family val="2"/>
      </rPr>
      <t>6</t>
    </r>
    <phoneticPr fontId="8" type="noConversion"/>
  </si>
  <si>
    <r>
      <rPr>
        <sz val="10"/>
        <color theme="9" tint="-0.249977111117893"/>
        <rFont val="宋体"/>
        <family val="3"/>
        <charset val="134"/>
      </rPr>
      <t>修正项</t>
    </r>
    <r>
      <rPr>
        <sz val="10"/>
        <color theme="9" tint="-0.249977111117893"/>
        <rFont val="Arial"/>
        <family val="2"/>
      </rPr>
      <t>7</t>
    </r>
    <phoneticPr fontId="8" type="noConversion"/>
  </si>
  <si>
    <r>
      <rPr>
        <b/>
        <sz val="10"/>
        <color indexed="8"/>
        <rFont val="宋体"/>
        <family val="3"/>
        <charset val="134"/>
      </rPr>
      <t>修正系数</t>
    </r>
    <phoneticPr fontId="8" type="noConversion"/>
  </si>
  <si>
    <r>
      <rPr>
        <sz val="10"/>
        <color indexed="8"/>
        <rFont val="宋体"/>
        <family val="3"/>
        <charset val="134"/>
      </rPr>
      <t>楼层</t>
    </r>
    <phoneticPr fontId="8" type="noConversion"/>
  </si>
  <si>
    <r>
      <rPr>
        <b/>
        <sz val="10"/>
        <color indexed="8"/>
        <rFont val="宋体"/>
        <family val="3"/>
        <charset val="134"/>
      </rPr>
      <t>承租人权益</t>
    </r>
    <phoneticPr fontId="30" type="noConversion"/>
  </si>
  <si>
    <r>
      <rPr>
        <b/>
        <sz val="12"/>
        <color indexed="8"/>
        <rFont val="宋体"/>
        <family val="3"/>
        <charset val="134"/>
      </rPr>
      <t>总价</t>
    </r>
    <phoneticPr fontId="30" type="noConversion"/>
  </si>
  <si>
    <r>
      <rPr>
        <b/>
        <sz val="10"/>
        <rFont val="宋体"/>
        <family val="3"/>
        <charset val="134"/>
      </rPr>
      <t>需扣减承租人权益</t>
    </r>
  </si>
  <si>
    <r>
      <rPr>
        <sz val="10"/>
        <color indexed="8"/>
        <rFont val="宋体"/>
        <family val="3"/>
        <charset val="134"/>
      </rPr>
      <t>万元</t>
    </r>
    <phoneticPr fontId="30" type="noConversion"/>
  </si>
  <si>
    <r>
      <rPr>
        <b/>
        <sz val="12"/>
        <color indexed="8"/>
        <rFont val="宋体"/>
        <family val="3"/>
        <charset val="134"/>
      </rPr>
      <t>楼面单价</t>
    </r>
    <phoneticPr fontId="30" type="noConversion"/>
  </si>
  <si>
    <r>
      <rPr>
        <b/>
        <sz val="10"/>
        <color indexed="8"/>
        <rFont val="宋体"/>
        <family val="3"/>
        <charset val="134"/>
      </rPr>
      <t>合计</t>
    </r>
    <phoneticPr fontId="3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</si>
  <si>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30" type="noConversion"/>
  </si>
  <si>
    <r>
      <rPr>
        <sz val="10"/>
        <color indexed="8"/>
        <rFont val="宋体"/>
        <family val="3"/>
        <charset val="134"/>
      </rPr>
      <t>建筑面积</t>
    </r>
    <phoneticPr fontId="30" type="noConversion"/>
  </si>
  <si>
    <r>
      <rPr>
        <sz val="10"/>
        <color indexed="8"/>
        <rFont val="宋体"/>
        <family val="3"/>
        <charset val="134"/>
      </rPr>
      <t>修正系数</t>
    </r>
    <phoneticPr fontId="30" type="noConversion"/>
  </si>
  <si>
    <r>
      <rPr>
        <sz val="10"/>
        <color indexed="8"/>
        <rFont val="宋体"/>
        <family val="3"/>
        <charset val="134"/>
      </rPr>
      <t>修正单价</t>
    </r>
    <phoneticPr fontId="30" type="noConversion"/>
  </si>
  <si>
    <r>
      <rPr>
        <sz val="10"/>
        <color indexed="8"/>
        <rFont val="宋体"/>
        <family val="3"/>
        <charset val="134"/>
      </rPr>
      <t>总价</t>
    </r>
    <phoneticPr fontId="30" type="noConversion"/>
  </si>
  <si>
    <r>
      <rPr>
        <b/>
        <sz val="10"/>
        <color indexed="10"/>
        <rFont val="宋体"/>
        <family val="3"/>
        <charset val="134"/>
      </rPr>
      <t>基准户型</t>
    </r>
    <phoneticPr fontId="30"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</si>
  <si>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8" type="noConversion"/>
  </si>
  <si>
    <t>租金×天数×建筑面积×（1-空置率）</t>
    <phoneticPr fontId="8"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</si>
  <si>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8"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</si>
  <si>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8"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</si>
  <si>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8" type="noConversion"/>
  </si>
  <si>
    <t>2017-4</t>
    <phoneticPr fontId="8" type="noConversion"/>
  </si>
  <si>
    <t>2017-3</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</si>
  <si>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3" type="noConversion"/>
  </si>
  <si>
    <t>2018-1</t>
    <phoneticPr fontId="8" type="noConversion"/>
  </si>
  <si>
    <t>本行不参与计算</t>
    <phoneticPr fontId="14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</si>
  <si>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</si>
  <si>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</si>
  <si>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8" type="noConversion"/>
  </si>
  <si>
    <t>押金×一年期存款利率</t>
    <phoneticPr fontId="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</si>
  <si>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8" type="noConversion"/>
  </si>
  <si>
    <t>2018-2</t>
    <phoneticPr fontId="8" type="noConversion"/>
  </si>
  <si>
    <t>2018-3</t>
    <phoneticPr fontId="8" type="noConversion"/>
  </si>
  <si>
    <t>苏海</t>
    <phoneticPr fontId="8" type="noConversion"/>
  </si>
  <si>
    <t>杨红英</t>
    <phoneticPr fontId="8" type="noConversion"/>
  </si>
  <si>
    <t>刘梅</t>
    <phoneticPr fontId="8" type="noConversion"/>
  </si>
  <si>
    <t>张津夷</t>
    <phoneticPr fontId="8" type="noConversion"/>
  </si>
  <si>
    <t>地下车库及仓储年期修正</t>
    <phoneticPr fontId="8" type="noConversion"/>
  </si>
  <si>
    <t>2019-1</t>
    <phoneticPr fontId="8" type="noConversion"/>
  </si>
  <si>
    <t>级别开发程度</t>
    <phoneticPr fontId="8" type="noConversion"/>
  </si>
  <si>
    <t>2018A-027</t>
    <phoneticPr fontId="141" type="noConversion"/>
  </si>
  <si>
    <t>2019-2</t>
    <phoneticPr fontId="8" type="noConversion"/>
  </si>
  <si>
    <t>2019-3</t>
    <phoneticPr fontId="148" type="noConversion"/>
  </si>
  <si>
    <t>2018-4</t>
    <phoneticPr fontId="8" type="noConversion"/>
  </si>
  <si>
    <t>郑燚</t>
  </si>
  <si>
    <t>王鹏</t>
  </si>
  <si>
    <t>中信信托有限责任公司</t>
    <phoneticPr fontId="11" type="noConversion"/>
  </si>
  <si>
    <t>不动产权证书编号</t>
  </si>
  <si>
    <t>权利人</t>
  </si>
  <si>
    <t>坐落</t>
  </si>
  <si>
    <t>不动产单元号</t>
  </si>
  <si>
    <t>建筑面积</t>
  </si>
  <si>
    <t>终止日期</t>
  </si>
  <si>
    <t>房屋结构</t>
  </si>
  <si>
    <t>房屋总层数</t>
  </si>
  <si>
    <t>所在层数</t>
  </si>
  <si>
    <t>房号</t>
  </si>
  <si>
    <t>户号</t>
  </si>
  <si>
    <t>黔（2019）仁怀市不动产权第0002339号</t>
  </si>
  <si>
    <t>仁怀市城市开发建设投资经营有限责任公司</t>
  </si>
  <si>
    <t>仁怀市盐津街道办事处城南社区酒都广场</t>
  </si>
  <si>
    <t>520382001001GB00514F00050001</t>
  </si>
  <si>
    <t>商业服务</t>
  </si>
  <si>
    <t>钢筋混凝土结构</t>
  </si>
  <si>
    <t>1-2</t>
  </si>
  <si>
    <t>天街01</t>
  </si>
  <si>
    <t>0001</t>
  </si>
  <si>
    <t>黔（2019）仁怀市不动产权第0002345号</t>
  </si>
  <si>
    <t>520382001001GB00514F00050002</t>
  </si>
  <si>
    <t>天街02</t>
  </si>
  <si>
    <t>0002</t>
  </si>
  <si>
    <t>黔（2019）仁怀市不动产权第0002365号</t>
  </si>
  <si>
    <t>520382001001GB00514F00050003</t>
  </si>
  <si>
    <t>天街03</t>
  </si>
  <si>
    <t>0003</t>
  </si>
  <si>
    <t>黔（2019）仁怀市不动产权第0002353号</t>
  </si>
  <si>
    <t>520382001001GB00514F00050004</t>
  </si>
  <si>
    <t>天街04</t>
  </si>
  <si>
    <t>0004</t>
  </si>
  <si>
    <t>黔（2019）仁怀市不动产权第0002357号</t>
  </si>
  <si>
    <t>520382001001GB00514F00050005</t>
  </si>
  <si>
    <t>天街05</t>
  </si>
  <si>
    <t>0005</t>
  </si>
  <si>
    <t>黔（2019）仁怀市不动产权第0002093号</t>
  </si>
  <si>
    <t>520382001001GB00514F00080001</t>
  </si>
  <si>
    <t>1-12</t>
  </si>
  <si>
    <t>商务楼2</t>
  </si>
  <si>
    <t>是</t>
  </si>
  <si>
    <t>地上</t>
  </si>
  <si>
    <t>其他：</t>
  </si>
  <si>
    <t>企业</t>
  </si>
  <si>
    <t>贵州省遵义市</t>
    <phoneticPr fontId="11" type="noConversion"/>
  </si>
  <si>
    <t>仁怀市盐津街道办事处城南社区酒都广场局部房地产</t>
    <phoneticPr fontId="11" type="noConversion"/>
  </si>
  <si>
    <t>抵押</t>
  </si>
  <si>
    <t>房地产抵押价值</t>
  </si>
  <si>
    <t>出让</t>
  </si>
  <si>
    <r>
      <rPr>
        <sz val="12"/>
        <color theme="9" tint="-0.249977111117893"/>
        <rFont val="宋体"/>
        <family val="3"/>
        <charset val="134"/>
      </rPr>
      <t>商业</t>
    </r>
    <r>
      <rPr>
        <sz val="12"/>
        <color theme="9" tint="-0.249977111117893"/>
        <rFont val="Arial"/>
        <family val="2"/>
      </rPr>
      <t>37.46</t>
    </r>
    <r>
      <rPr>
        <sz val="12"/>
        <color theme="9" tint="-0.249977111117893"/>
        <rFont val="宋体"/>
        <family val="3"/>
        <charset val="134"/>
      </rPr>
      <t>年</t>
    </r>
    <phoneticPr fontId="11" type="noConversion"/>
  </si>
  <si>
    <t>办公、商业</t>
    <phoneticPr fontId="11" type="noConversion"/>
  </si>
  <si>
    <t>否</t>
  </si>
  <si>
    <t>《不动产权证书》</t>
  </si>
  <si>
    <t>复印件</t>
  </si>
  <si>
    <t>综合项目（商业、办公）</t>
  </si>
  <si>
    <t>现房</t>
  </si>
  <si>
    <t>通路</t>
  </si>
  <si>
    <t>通电</t>
  </si>
  <si>
    <t>通讯</t>
  </si>
  <si>
    <t>通上水</t>
  </si>
  <si>
    <t>通下水</t>
  </si>
  <si>
    <t>四羊方尊</t>
  </si>
  <si>
    <t>天街</t>
  </si>
  <si>
    <t>成新度</t>
  </si>
  <si>
    <t>请录依据文件名称：http://www.rh.gov.cn/pd/bm/szjj/xxgk/zdgk/67253.shtml 市住建局收取城市基础设施配套费标准公示</t>
    <phoneticPr fontId="8" type="noConversion"/>
  </si>
  <si>
    <t>收益法（四羊方尊）</t>
  </si>
  <si>
    <t>收益法（天街）</t>
  </si>
  <si>
    <t>按租金收入计税</t>
  </si>
  <si>
    <t>钢混</t>
  </si>
  <si>
    <t>非生产用房</t>
  </si>
  <si>
    <t>未包含在土地购买价格中</t>
  </si>
  <si>
    <t>已包含在土地取得成本中</t>
  </si>
  <si>
    <t>成本比率</t>
  </si>
  <si>
    <t>项目局部</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</si>
  <si>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</si>
  <si>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</si>
  <si>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</si>
  <si>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</si>
  <si>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</si>
  <si>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</si>
  <si>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</si>
  <si>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</si>
  <si>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</si>
  <si>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</si>
  <si>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</si>
  <si>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</si>
  <si>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</si>
  <si>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</si>
  <si>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</si>
  <si>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</si>
  <si>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</si>
  <si>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</si>
  <si>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</si>
  <si>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</si>
  <si>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鲁班街道冠英社区</t>
  </si>
  <si>
    <t>遵义市</t>
  </si>
  <si>
    <t>商业/办公用地</t>
  </si>
  <si>
    <t>挂牌</t>
  </si>
  <si>
    <t>南部新城坛茅快线西南侧地块C地块</t>
  </si>
  <si>
    <t>其他商服用地</t>
  </si>
  <si>
    <t>小于或等于1.6</t>
  </si>
  <si>
    <t>2019-02-28</t>
  </si>
  <si>
    <t>仁国土挂告字[2019]02号</t>
  </si>
  <si>
    <t>仁怀新亿商置业有限公司</t>
  </si>
  <si>
    <t>40年</t>
  </si>
  <si>
    <t>1星</t>
  </si>
  <si>
    <t>南部新城坛茅快线西南侧地块A地块</t>
  </si>
  <si>
    <t>小于或等于2.2</t>
  </si>
  <si>
    <t>仁怀市城南客运站项目B地块</t>
  </si>
  <si>
    <t>小于或等于2.5</t>
  </si>
  <si>
    <t>2018-12-21</t>
  </si>
  <si>
    <t>仁国土挂告字[2018]第28号号</t>
  </si>
  <si>
    <t>仁怀市南部新城建设投资开发有限责任公司</t>
  </si>
  <si>
    <t>苍龙街道龙井社区</t>
  </si>
  <si>
    <t>苍龙街道建材综合市场地块</t>
  </si>
  <si>
    <t>批发零售用地</t>
  </si>
  <si>
    <t>小于或等于1.5</t>
  </si>
  <si>
    <t>2018-12-19</t>
  </si>
  <si>
    <t>仁国土挂告字[2018]第27号</t>
  </si>
  <si>
    <t>贵州国威物流集散中心有限责任公司</t>
  </si>
  <si>
    <t>3星</t>
  </si>
  <si>
    <t>盐津街道杨堡社区</t>
  </si>
  <si>
    <t>盐津街道飞天路1号地块</t>
  </si>
  <si>
    <t>小于或等于2.19</t>
  </si>
  <si>
    <t>2018-11-28</t>
  </si>
  <si>
    <t>仁国土挂告字[2018]第23号</t>
  </si>
  <si>
    <t>贵州省仁怀市酱香型白酒产业发展投资有限责任公司</t>
  </si>
  <si>
    <t>2星</t>
  </si>
  <si>
    <t>盐津街道杨堡坝社区</t>
  </si>
  <si>
    <t>盐津街道对影路1号地块</t>
  </si>
  <si>
    <t>小于或等于1.51</t>
  </si>
  <si>
    <t>仁国土挂告字[2018]第24号</t>
  </si>
  <si>
    <t>仁怀市茅台文化旅游开发建设投资有限公司</t>
  </si>
  <si>
    <t>中枢街道鹿鸣社区</t>
  </si>
  <si>
    <t>中枢街道国酒中路西侧1号地块</t>
  </si>
  <si>
    <t>小于或等于1.52</t>
  </si>
  <si>
    <t>盐津街道城南社区</t>
  </si>
  <si>
    <t>小于或等于1.79</t>
  </si>
  <si>
    <t>中枢街道青杠元社区</t>
  </si>
  <si>
    <t>中枢街道国酒南路18号地块</t>
  </si>
  <si>
    <t>小于或等于5.04</t>
  </si>
  <si>
    <t>盐津街道法院路1号地块</t>
  </si>
  <si>
    <t>小于或等于1.01</t>
  </si>
  <si>
    <t>盐津街道法院路11号地块</t>
  </si>
  <si>
    <t>小于或等于1.31</t>
  </si>
  <si>
    <t>市司法局南侧地块</t>
  </si>
  <si>
    <t>住宿餐饮用地</t>
  </si>
  <si>
    <t>小于或等于6</t>
  </si>
  <si>
    <t>2018-11-23</t>
  </si>
  <si>
    <t>仁国土挂告字[2018]第22号</t>
  </si>
  <si>
    <t>仁怀市同久富酒店管理有限责任公司</t>
  </si>
  <si>
    <t>融亿一期东南侧地块</t>
  </si>
  <si>
    <t>小于或等于1.2</t>
  </si>
  <si>
    <t>2018-07-27</t>
  </si>
  <si>
    <t>仁国土挂告字[2018]第13号</t>
  </si>
  <si>
    <t>贵州省仁怀市三道口房地产开发有限公司</t>
  </si>
  <si>
    <t>南部新城坛茅快线西南侧地块(B地块)</t>
  </si>
  <si>
    <t>小于或等于1</t>
  </si>
  <si>
    <t>2018-06-13</t>
  </si>
  <si>
    <t>仁国土挂告字[2018]08号</t>
  </si>
  <si>
    <t>中枢街道茅台路社区</t>
  </si>
  <si>
    <t>磨槽湾A地块</t>
  </si>
  <si>
    <t>等于1.3</t>
  </si>
  <si>
    <t>2018-05-16</t>
  </si>
  <si>
    <t>仁国土挂告字[2018]07号</t>
  </si>
  <si>
    <t>仁怀仁孚汽车销售服务有限公司</t>
  </si>
  <si>
    <t>青少年活动中心北侧地块</t>
  </si>
  <si>
    <t>小于或等于2.6</t>
  </si>
  <si>
    <t>2018-01-31</t>
  </si>
  <si>
    <t>仁国土挂告字[2017]15号</t>
  </si>
  <si>
    <t>贵州省仁怀市糖业烟酒公司</t>
  </si>
  <si>
    <t>茅台镇杨柳湾社区、河滨社区</t>
  </si>
  <si>
    <t>茅台野猫沟组团改造地块</t>
  </si>
  <si>
    <t>小于或等于1.4</t>
  </si>
  <si>
    <t>2017-04-06</t>
  </si>
  <si>
    <t>仁国土挂告字[2017]第05号</t>
  </si>
  <si>
    <t>贵州茅台古镇文化创意园有限公司</t>
  </si>
  <si>
    <t>坛厂街道樟柏社区</t>
  </si>
  <si>
    <t>坛厂镇A01-7号地块</t>
  </si>
  <si>
    <t>2016-11-16</t>
  </si>
  <si>
    <t>仁国土挂告字[2016]第21号</t>
  </si>
  <si>
    <t>仁怀市中闽加油站</t>
  </si>
  <si>
    <t>国酒新城仁赤高速公路西侧地块</t>
  </si>
  <si>
    <t>2016-11-15</t>
  </si>
  <si>
    <t>仁国土挂告字[2016]第16号</t>
  </si>
  <si>
    <t>仁怀申众汽车销售服务有限公司</t>
  </si>
  <si>
    <t>遵义市监测指标情况一览表</t>
  </si>
  <si>
    <t>时间</t>
  </si>
  <si>
    <t>水平值</t>
  </si>
  <si>
    <t>环比增长率</t>
  </si>
  <si>
    <t>综合</t>
    <phoneticPr fontId="148" type="noConversion"/>
  </si>
  <si>
    <t>商服</t>
    <phoneticPr fontId="148" type="noConversion"/>
  </si>
  <si>
    <t>商业服务</t>
    <phoneticPr fontId="36" type="noConversion"/>
  </si>
  <si>
    <t>正常</t>
  </si>
  <si>
    <t>成本法（四羊方尊）</t>
  </si>
  <si>
    <t>成本法（天街）</t>
  </si>
  <si>
    <r>
      <rPr>
        <b/>
        <sz val="10"/>
        <rFont val="宋体"/>
        <family val="3"/>
        <charset val="134"/>
      </rPr>
      <t>盐津街道酒都大道南侧</t>
    </r>
    <r>
      <rPr>
        <b/>
        <sz val="10"/>
        <rFont val="Arial"/>
        <family val="2"/>
      </rPr>
      <t>2</t>
    </r>
    <r>
      <rPr>
        <b/>
        <sz val="10"/>
        <rFont val="宋体"/>
        <family val="3"/>
        <charset val="134"/>
      </rPr>
      <t>号地块</t>
    </r>
    <phoneticPr fontId="148" type="noConversion"/>
  </si>
  <si>
    <t>贵州省仁怀市酱香型白酒产业发展投资有限责任公司</t>
    <phoneticPr fontId="148" type="noConversion"/>
  </si>
  <si>
    <t>较规则</t>
  </si>
  <si>
    <t>较规则</t>
    <phoneticPr fontId="36" type="noConversion"/>
  </si>
  <si>
    <t>五通一平</t>
  </si>
  <si>
    <t>五通一平</t>
    <phoneticPr fontId="36" type="noConversion"/>
  </si>
  <si>
    <t>较好</t>
  </si>
  <si>
    <t>较好</t>
    <phoneticPr fontId="36" type="noConversion"/>
  </si>
  <si>
    <t>抵押商业清单</t>
  </si>
  <si>
    <t>序号</t>
  </si>
  <si>
    <t>资产名称</t>
  </si>
  <si>
    <t>资产性质</t>
  </si>
  <si>
    <t>面积（㎡）</t>
  </si>
  <si>
    <t>产权证号</t>
  </si>
  <si>
    <t>商务2号楼（四羊方尊）</t>
  </si>
  <si>
    <t>街铺</t>
  </si>
  <si>
    <t>10-12号楼</t>
  </si>
  <si>
    <t>办理中</t>
  </si>
  <si>
    <t>国酒新城南区A区</t>
  </si>
  <si>
    <t>国酒新城南区B区</t>
  </si>
  <si>
    <t>序号</t>
    <phoneticPr fontId="262" type="noConversion"/>
  </si>
  <si>
    <t>编号</t>
    <phoneticPr fontId="262" type="noConversion"/>
  </si>
  <si>
    <t>承租方</t>
    <phoneticPr fontId="262" type="noConversion"/>
  </si>
  <si>
    <t>业态用途</t>
    <phoneticPr fontId="262" type="noConversion"/>
  </si>
  <si>
    <t>经营范围/品牌</t>
    <phoneticPr fontId="262" type="noConversion"/>
  </si>
  <si>
    <t>门牌号</t>
    <phoneticPr fontId="262" type="noConversion"/>
  </si>
  <si>
    <t>所在楼层</t>
    <phoneticPr fontId="262" type="noConversion"/>
  </si>
  <si>
    <t>租赁面积/平方米</t>
    <phoneticPr fontId="262" type="noConversion"/>
  </si>
  <si>
    <t>租赁期</t>
    <phoneticPr fontId="262" type="noConversion"/>
  </si>
  <si>
    <t>当期租金（元/平方米·月）</t>
    <phoneticPr fontId="262" type="noConversion"/>
  </si>
  <si>
    <t>物业费（元/平方米·月）</t>
    <phoneticPr fontId="262" type="noConversion"/>
  </si>
  <si>
    <t>商业管理费（元/平方米·月）</t>
    <phoneticPr fontId="262" type="noConversion"/>
  </si>
  <si>
    <t>年</t>
    <phoneticPr fontId="262" type="noConversion"/>
  </si>
  <si>
    <t>起</t>
    <phoneticPr fontId="262" type="noConversion"/>
  </si>
  <si>
    <t>止</t>
    <phoneticPr fontId="262" type="noConversion"/>
  </si>
  <si>
    <t>JD-1-2018-001</t>
  </si>
  <si>
    <t>陈国锦</t>
    <phoneticPr fontId="262" type="noConversion"/>
  </si>
  <si>
    <t>餐饮</t>
    <phoneticPr fontId="262" type="noConversion"/>
  </si>
  <si>
    <t>居酒屋</t>
    <phoneticPr fontId="262" type="noConversion"/>
  </si>
  <si>
    <t>D4-017、D5-014</t>
    <phoneticPr fontId="262" type="noConversion"/>
  </si>
  <si>
    <t>JD-1-2018-002</t>
    <phoneticPr fontId="262" type="noConversion"/>
  </si>
  <si>
    <t>郑昌杰</t>
    <phoneticPr fontId="262" type="noConversion"/>
  </si>
  <si>
    <t>休闲娱乐</t>
    <phoneticPr fontId="262" type="noConversion"/>
  </si>
  <si>
    <t>西西里音乐酒吧</t>
    <phoneticPr fontId="262" type="noConversion"/>
  </si>
  <si>
    <t>D4-014</t>
    <phoneticPr fontId="262" type="noConversion"/>
  </si>
  <si>
    <t>JD-1-2018-004</t>
    <phoneticPr fontId="262" type="noConversion"/>
  </si>
  <si>
    <t>陈建林</t>
    <phoneticPr fontId="262" type="noConversion"/>
  </si>
  <si>
    <t>休闲娱乐</t>
    <phoneticPr fontId="262" type="noConversion"/>
  </si>
  <si>
    <t>verse酒吧</t>
    <phoneticPr fontId="262" type="noConversion"/>
  </si>
  <si>
    <t>D5-011</t>
    <phoneticPr fontId="262" type="noConversion"/>
  </si>
  <si>
    <t>JD-1-2018-007</t>
  </si>
  <si>
    <t>严志鹏</t>
    <phoneticPr fontId="262" type="noConversion"/>
  </si>
  <si>
    <t>餐饮</t>
    <phoneticPr fontId="262" type="noConversion"/>
  </si>
  <si>
    <t>梵高咖啡</t>
    <phoneticPr fontId="262" type="noConversion"/>
  </si>
  <si>
    <t>D4-016、D5-013</t>
    <phoneticPr fontId="262" type="noConversion"/>
  </si>
  <si>
    <t>JD-1-2018-008</t>
    <phoneticPr fontId="262" type="noConversion"/>
  </si>
  <si>
    <t>唐恩珍</t>
    <phoneticPr fontId="262" type="noConversion"/>
  </si>
  <si>
    <t>卡门</t>
    <phoneticPr fontId="262" type="noConversion"/>
  </si>
  <si>
    <t>D5-015</t>
    <phoneticPr fontId="262" type="noConversion"/>
  </si>
  <si>
    <t>JD-1-2018-012</t>
  </si>
  <si>
    <t>郭诚</t>
    <phoneticPr fontId="262" type="noConversion"/>
  </si>
  <si>
    <t>餐饮</t>
    <phoneticPr fontId="262" type="noConversion"/>
  </si>
  <si>
    <t>茶馆</t>
    <phoneticPr fontId="262" type="noConversion"/>
  </si>
  <si>
    <t>D4-013、D5-010</t>
    <phoneticPr fontId="262" type="noConversion"/>
  </si>
  <si>
    <t>JD-1-2018-013</t>
    <phoneticPr fontId="262" type="noConversion"/>
  </si>
  <si>
    <t>彭章源</t>
    <phoneticPr fontId="262" type="noConversion"/>
  </si>
  <si>
    <t>天御皇茶</t>
    <phoneticPr fontId="262" type="noConversion"/>
  </si>
  <si>
    <t>D4-012</t>
    <phoneticPr fontId="262" type="noConversion"/>
  </si>
  <si>
    <t>JD-1-2018-027</t>
  </si>
  <si>
    <t>刘龙龙</t>
    <phoneticPr fontId="262" type="noConversion"/>
  </si>
  <si>
    <t>贝斯门音乐餐厅</t>
    <phoneticPr fontId="262" type="noConversion"/>
  </si>
  <si>
    <t>D4-021、D5-018</t>
    <phoneticPr fontId="262" type="noConversion"/>
  </si>
  <si>
    <t>JD-1-2018-028</t>
    <phoneticPr fontId="262" type="noConversion"/>
  </si>
  <si>
    <t>严志鹏</t>
    <phoneticPr fontId="262" type="noConversion"/>
  </si>
  <si>
    <t>休闲娱乐</t>
    <phoneticPr fontId="262" type="noConversion"/>
  </si>
  <si>
    <t>梵高商务会所</t>
    <phoneticPr fontId="262" type="noConversion"/>
  </si>
  <si>
    <t>D5-012</t>
    <phoneticPr fontId="262" type="noConversion"/>
  </si>
  <si>
    <t>JD-1-2018-030</t>
  </si>
  <si>
    <t>吕磊</t>
    <phoneticPr fontId="262" type="noConversion"/>
  </si>
  <si>
    <t>零点酒吧</t>
    <phoneticPr fontId="262" type="noConversion"/>
  </si>
  <si>
    <t>D4-015</t>
    <phoneticPr fontId="262" type="noConversion"/>
  </si>
  <si>
    <t>JD-1-2018-031</t>
    <phoneticPr fontId="262" type="noConversion"/>
  </si>
  <si>
    <t>童学涛</t>
    <phoneticPr fontId="262" type="noConversion"/>
  </si>
  <si>
    <t>十二悦网咖</t>
    <phoneticPr fontId="262" type="noConversion"/>
  </si>
  <si>
    <t>D5-016、D5-017</t>
    <phoneticPr fontId="262" type="noConversion"/>
  </si>
  <si>
    <t>JD-1-2018-033</t>
    <phoneticPr fontId="262" type="noConversion"/>
  </si>
  <si>
    <t>安旭</t>
    <phoneticPr fontId="262" type="noConversion"/>
  </si>
  <si>
    <t>晴耕雨读茶室</t>
    <phoneticPr fontId="262" type="noConversion"/>
  </si>
  <si>
    <t>D4-019</t>
    <phoneticPr fontId="262" type="noConversion"/>
  </si>
  <si>
    <t>JD-1-2018-083</t>
    <phoneticPr fontId="262" type="noConversion"/>
  </si>
  <si>
    <t>何松波</t>
    <phoneticPr fontId="262" type="noConversion"/>
  </si>
  <si>
    <t>苗小串</t>
    <phoneticPr fontId="262" type="noConversion"/>
  </si>
  <si>
    <t>D4-020</t>
  </si>
  <si>
    <t>JD-1-2018-085</t>
    <phoneticPr fontId="262" type="noConversion"/>
  </si>
  <si>
    <t>张杰</t>
    <phoneticPr fontId="262" type="noConversion"/>
  </si>
  <si>
    <t>生活配套</t>
    <phoneticPr fontId="262" type="noConversion"/>
  </si>
  <si>
    <t>懒猫社长便利店</t>
    <phoneticPr fontId="262" type="noConversion"/>
  </si>
  <si>
    <t>D4-022</t>
    <phoneticPr fontId="262" type="noConversion"/>
  </si>
  <si>
    <t>JD-1-2018-103</t>
    <phoneticPr fontId="262" type="noConversion"/>
  </si>
  <si>
    <t>肖童</t>
    <phoneticPr fontId="262" type="noConversion"/>
  </si>
  <si>
    <t>艾尚造型</t>
    <phoneticPr fontId="262" type="noConversion"/>
  </si>
  <si>
    <t>D4-018</t>
    <phoneticPr fontId="262" type="noConversion"/>
  </si>
  <si>
    <t>成本法（四羊方尊）</t>
    <phoneticPr fontId="21" type="noConversion"/>
  </si>
  <si>
    <t>收益法（10-12号楼）</t>
    <phoneticPr fontId="21" type="noConversion"/>
  </si>
  <si>
    <t>成本法（10-12号楼）</t>
    <phoneticPr fontId="21" type="noConversion"/>
  </si>
  <si>
    <t>收益法（国酒新城南区）</t>
    <phoneticPr fontId="21" type="noConversion"/>
  </si>
  <si>
    <t>成本法（国酒新城南区）</t>
    <phoneticPr fontId="21" type="noConversion"/>
  </si>
  <si>
    <t>四羊方尊</t>
    <phoneticPr fontId="12" type="noConversion"/>
  </si>
  <si>
    <t>位置</t>
    <phoneticPr fontId="148" type="noConversion"/>
  </si>
  <si>
    <t>面积</t>
    <phoneticPr fontId="148" type="noConversion"/>
  </si>
  <si>
    <t>租金</t>
    <phoneticPr fontId="148" type="noConversion"/>
  </si>
  <si>
    <t>仁怀市盐津街道办事处城南社区酒都广场商务2号楼（四羊方尊）</t>
    <phoneticPr fontId="148" type="noConversion"/>
  </si>
  <si>
    <t>天街</t>
    <phoneticPr fontId="12" type="noConversion"/>
  </si>
  <si>
    <t>分摊土地面积</t>
  </si>
  <si>
    <t>建筑物价值</t>
  </si>
  <si>
    <t>钟楼</t>
    <phoneticPr fontId="148" type="noConversion"/>
  </si>
  <si>
    <t>消防水池及泵房</t>
    <phoneticPr fontId="148" type="noConversion"/>
  </si>
  <si>
    <t>商务楼2</t>
    <phoneticPr fontId="148" type="noConversion"/>
  </si>
  <si>
    <t>商务楼1</t>
    <phoneticPr fontId="148" type="noConversion"/>
  </si>
  <si>
    <t>大剧院</t>
    <phoneticPr fontId="148" type="noConversion"/>
  </si>
  <si>
    <t>购物广场美食街D区</t>
    <phoneticPr fontId="148" type="noConversion"/>
  </si>
  <si>
    <t>购物广场C区</t>
    <phoneticPr fontId="148" type="noConversion"/>
  </si>
  <si>
    <t>购物广场B区</t>
    <phoneticPr fontId="148" type="noConversion"/>
  </si>
  <si>
    <t>购物广场A区</t>
    <phoneticPr fontId="148" type="noConversion"/>
  </si>
  <si>
    <t>车库</t>
    <phoneticPr fontId="148" type="noConversion"/>
  </si>
  <si>
    <t>天街</t>
    <phoneticPr fontId="148" type="noConversion"/>
  </si>
  <si>
    <t>合计</t>
    <phoneticPr fontId="148" type="noConversion"/>
  </si>
  <si>
    <t>仁怀酒都广场（建筑面积）</t>
    <phoneticPr fontId="148" type="noConversion"/>
  </si>
  <si>
    <t>土地面积</t>
    <phoneticPr fontId="148" type="noConversion"/>
  </si>
  <si>
    <t>容积率</t>
    <phoneticPr fontId="148" type="noConversion"/>
  </si>
  <si>
    <t>较适宜</t>
  </si>
  <si>
    <t>较适宜</t>
    <phoneticPr fontId="36" type="noConversion"/>
  </si>
  <si>
    <t>贵州省仁怀市酱香型白酒产业发展投资有限责任公司</t>
    <phoneticPr fontId="148" type="noConversion"/>
  </si>
  <si>
    <t>盐津街道杨堡社区</t>
    <phoneticPr fontId="148" type="noConversion"/>
  </si>
  <si>
    <r>
      <rPr>
        <sz val="10"/>
        <rFont val="宋体"/>
        <family val="3"/>
        <charset val="134"/>
      </rPr>
      <t>地块地上建筑物的重置评估价值</t>
    </r>
    <phoneticPr fontId="148" type="noConversion"/>
  </si>
  <si>
    <t>一般</t>
  </si>
  <si>
    <t>六通</t>
  </si>
  <si>
    <t>仁怀市城市开发建设投资经营有限责任公司</t>
    <phoneticPr fontId="148" type="noConversion"/>
  </si>
  <si>
    <t>位置</t>
    <phoneticPr fontId="148" type="noConversion"/>
  </si>
  <si>
    <t>楼层</t>
    <phoneticPr fontId="148" type="noConversion"/>
  </si>
  <si>
    <t>面积</t>
    <phoneticPr fontId="148" type="noConversion"/>
  </si>
  <si>
    <t>租金</t>
    <phoneticPr fontId="148" type="noConversion"/>
  </si>
  <si>
    <t>陈香南路</t>
    <phoneticPr fontId="148" type="noConversion"/>
  </si>
  <si>
    <t>醉美大道</t>
    <phoneticPr fontId="148" type="noConversion"/>
  </si>
  <si>
    <t>国酒城家居建材广场</t>
    <phoneticPr fontId="148" type="noConversion"/>
  </si>
  <si>
    <t>2</t>
    <phoneticPr fontId="148" type="noConversion"/>
  </si>
  <si>
    <t>陈香北路</t>
    <phoneticPr fontId="148" type="noConversion"/>
  </si>
  <si>
    <t>1</t>
    <phoneticPr fontId="148" type="noConversion"/>
  </si>
  <si>
    <t>国酒中路</t>
    <phoneticPr fontId="148" type="noConversion"/>
  </si>
  <si>
    <t>3</t>
    <phoneticPr fontId="148" type="noConversion"/>
  </si>
  <si>
    <t>国酒南路190号</t>
    <phoneticPr fontId="148" type="noConversion"/>
  </si>
  <si>
    <t>鹿鸣西路136号</t>
    <phoneticPr fontId="148" type="noConversion"/>
  </si>
  <si>
    <t>1</t>
    <phoneticPr fontId="148" type="noConversion"/>
  </si>
  <si>
    <t>二转盘</t>
    <phoneticPr fontId="148" type="noConversion"/>
  </si>
  <si>
    <t>杜康路</t>
    <phoneticPr fontId="148" type="noConversion"/>
  </si>
  <si>
    <t>1-2</t>
    <phoneticPr fontId="148" type="noConversion"/>
  </si>
  <si>
    <t>甘醇路</t>
    <phoneticPr fontId="148" type="noConversion"/>
  </si>
  <si>
    <t>端午路</t>
    <phoneticPr fontId="148" type="noConversion"/>
  </si>
  <si>
    <t>姜家寨小区</t>
    <phoneticPr fontId="148" type="noConversion"/>
  </si>
  <si>
    <t>胜利南路228号</t>
    <phoneticPr fontId="148" type="noConversion"/>
  </si>
  <si>
    <t>超一大世界</t>
    <phoneticPr fontId="148" type="noConversion"/>
  </si>
  <si>
    <r>
      <t>1</t>
    </r>
    <r>
      <rPr>
        <sz val="11"/>
        <color theme="1"/>
        <rFont val="宋体"/>
        <family val="2"/>
        <charset val="134"/>
        <scheme val="minor"/>
      </rPr>
      <t>-1</t>
    </r>
    <phoneticPr fontId="148" type="noConversion"/>
  </si>
  <si>
    <t>2-1</t>
    <phoneticPr fontId="148" type="noConversion"/>
  </si>
  <si>
    <t>3-1</t>
    <phoneticPr fontId="148" type="noConversion"/>
  </si>
  <si>
    <t>4-1</t>
    <phoneticPr fontId="148" type="noConversion"/>
  </si>
  <si>
    <t>5-1</t>
    <phoneticPr fontId="148" type="noConversion"/>
  </si>
  <si>
    <t>6-1</t>
    <phoneticPr fontId="148" type="noConversion"/>
  </si>
  <si>
    <t>7-1</t>
    <phoneticPr fontId="148" type="noConversion"/>
  </si>
  <si>
    <t>8-1</t>
    <phoneticPr fontId="148" type="noConversion"/>
  </si>
  <si>
    <t>9-1</t>
    <phoneticPr fontId="148" type="noConversion"/>
  </si>
  <si>
    <t>10-1</t>
    <phoneticPr fontId="148" type="noConversion"/>
  </si>
  <si>
    <t>11-1</t>
    <phoneticPr fontId="148" type="noConversion"/>
  </si>
  <si>
    <t>12-1</t>
    <phoneticPr fontId="148" type="noConversion"/>
  </si>
  <si>
    <t>租约内年平均租金（万）</t>
    <phoneticPr fontId="148" type="noConversion"/>
  </si>
  <si>
    <t>租约内年总租金（元）</t>
    <phoneticPr fontId="148" type="noConversion"/>
  </si>
  <si>
    <t>租约结束租金单价</t>
    <phoneticPr fontId="148" type="noConversion"/>
  </si>
  <si>
    <t>楼层</t>
    <phoneticPr fontId="8" type="noConversion"/>
  </si>
  <si>
    <t>系数</t>
    <phoneticPr fontId="8" type="noConversion"/>
  </si>
  <si>
    <t>租金</t>
    <phoneticPr fontId="8" type="noConversion"/>
  </si>
  <si>
    <r>
      <t>1-3</t>
    </r>
    <r>
      <rPr>
        <sz val="10"/>
        <color indexed="8"/>
        <rFont val="宋体"/>
        <family val="3"/>
        <charset val="134"/>
      </rPr>
      <t>层</t>
    </r>
    <phoneticPr fontId="8" type="noConversion"/>
  </si>
  <si>
    <r>
      <t>4-5</t>
    </r>
    <r>
      <rPr>
        <sz val="10"/>
        <color indexed="8"/>
        <rFont val="宋体"/>
        <family val="3"/>
        <charset val="134"/>
      </rPr>
      <t>层</t>
    </r>
    <phoneticPr fontId="8" type="noConversion"/>
  </si>
  <si>
    <r>
      <t>1-2</t>
    </r>
    <r>
      <rPr>
        <sz val="10"/>
        <color indexed="8"/>
        <rFont val="宋体"/>
        <family val="3"/>
        <charset val="134"/>
      </rPr>
      <t>层</t>
    </r>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</si>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</sst>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22"/>
      <name val="方正小标宋简体"/>
      <charset val="134"/>
    </font>
    <font>
      <sz val="14"/>
      <name val="宋体"/>
      <family val="3"/>
      <charset val="134"/>
    </font>
    <font>
      <sz val="9"/>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4"/>
        <bgColor indexed="64"/>
      </patternFill>
    </fill>
    <fill>
      <patternFill patternType="solid">
        <fgColor theme="5"/>
        <bgColor indexed="64"/>
      </patternFill>
    </fill>
    <fill>
      <patternFill patternType="solid">
        <fgColor theme="0" tint="-4.9989318521683403E-2"/>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4" fillId="0" borderId="0">
      <alignment vertical="center"/>
    </xf>
    <xf numFmtId="0" fontId="104" fillId="0" borderId="0"/>
    <xf numFmtId="0" fontId="104" fillId="0" borderId="0">
      <alignment vertical="center"/>
    </xf>
    <xf numFmtId="0" fontId="42" fillId="0" borderId="0"/>
    <xf numFmtId="0" fontId="104" fillId="0" borderId="0">
      <alignment vertical="center"/>
    </xf>
    <xf numFmtId="0" fontId="104" fillId="0" borderId="0"/>
    <xf numFmtId="0" fontId="104" fillId="0" borderId="0">
      <alignment vertical="center"/>
    </xf>
    <xf numFmtId="0" fontId="104" fillId="0" borderId="0">
      <alignment vertical="center"/>
    </xf>
    <xf numFmtId="0" fontId="7" fillId="0" borderId="0">
      <alignment vertical="center"/>
    </xf>
    <xf numFmtId="0" fontId="104" fillId="0" borderId="0">
      <alignment vertical="center"/>
    </xf>
    <xf numFmtId="0" fontId="6" fillId="0" borderId="0">
      <alignment vertical="center"/>
    </xf>
    <xf numFmtId="0" fontId="175" fillId="0" borderId="0"/>
    <xf numFmtId="0" fontId="6" fillId="0" borderId="0">
      <alignment vertical="center"/>
    </xf>
    <xf numFmtId="9" fontId="42" fillId="0" borderId="0" applyFont="0" applyFill="0" applyBorder="0" applyAlignment="0" applyProtection="0">
      <alignment vertical="center"/>
    </xf>
    <xf numFmtId="0" fontId="104" fillId="0" borderId="0">
      <alignment vertical="center"/>
    </xf>
    <xf numFmtId="0" fontId="6" fillId="0" borderId="0">
      <alignment vertical="center"/>
    </xf>
    <xf numFmtId="0" fontId="5" fillId="0" borderId="0">
      <alignment vertical="center"/>
    </xf>
    <xf numFmtId="0" fontId="61" fillId="0" borderId="0"/>
    <xf numFmtId="0" fontId="4" fillId="0" borderId="0">
      <alignment vertical="center"/>
    </xf>
  </cellStyleXfs>
  <cellXfs count="3394">
    <xf numFmtId="0" fontId="0" fillId="0" borderId="0" xfId="0">
      <alignment vertical="center"/>
    </xf>
    <xf numFmtId="0" fontId="17" fillId="5" borderId="24" xfId="1" applyFont="1" applyFill="1" applyBorder="1" applyAlignment="1" applyProtection="1">
      <alignment horizontal="left" vertical="center"/>
      <protection locked="0"/>
    </xf>
    <xf numFmtId="0" fontId="26" fillId="6" borderId="0" xfId="1" applyFont="1" applyFill="1" applyBorder="1" applyAlignment="1" applyProtection="1">
      <alignment vertical="center"/>
    </xf>
    <xf numFmtId="0" fontId="0" fillId="0" borderId="0" xfId="0" applyAlignment="1">
      <alignment vertical="center" wrapText="1"/>
    </xf>
    <xf numFmtId="0" fontId="108" fillId="0" borderId="1" xfId="0" applyFont="1" applyBorder="1" applyAlignment="1">
      <alignment vertical="center" wrapText="1"/>
    </xf>
    <xf numFmtId="0" fontId="108" fillId="0" borderId="1" xfId="0" applyFont="1" applyBorder="1" applyAlignment="1">
      <alignment horizontal="center" vertical="center" wrapText="1"/>
    </xf>
    <xf numFmtId="0" fontId="109" fillId="6" borderId="0" xfId="0" applyFont="1" applyFill="1" applyAlignment="1" applyProtection="1">
      <alignment horizontal="center" vertical="center"/>
    </xf>
    <xf numFmtId="0" fontId="109" fillId="6" borderId="0" xfId="0" applyFont="1" applyFill="1" applyProtection="1">
      <alignment vertical="center"/>
    </xf>
    <xf numFmtId="0" fontId="54" fillId="6" borderId="5" xfId="0" applyFont="1" applyFill="1" applyBorder="1" applyAlignment="1" applyProtection="1">
      <alignment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vertical="center" wrapText="1"/>
      <protection locked="0"/>
    </xf>
    <xf numFmtId="0" fontId="55" fillId="6" borderId="1" xfId="0"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179" fontId="55" fillId="0" borderId="1" xfId="0" applyNumberFormat="1" applyFont="1" applyBorder="1" applyAlignment="1" applyProtection="1">
      <alignment horizontal="center" vertical="center" wrapText="1"/>
      <protection locked="0"/>
    </xf>
    <xf numFmtId="179" fontId="110" fillId="6" borderId="1" xfId="0" applyNumberFormat="1" applyFont="1" applyFill="1" applyBorder="1" applyAlignment="1" applyProtection="1">
      <alignment horizontal="center" vertical="center" wrapText="1"/>
    </xf>
    <xf numFmtId="0" fontId="55" fillId="6" borderId="5" xfId="0" applyFont="1" applyFill="1" applyBorder="1" applyAlignment="1" applyProtection="1">
      <alignment horizontal="left" vertical="center"/>
    </xf>
    <xf numFmtId="176" fontId="55" fillId="6" borderId="1" xfId="0"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176" fontId="55" fillId="6" borderId="9" xfId="0" applyNumberFormat="1" applyFont="1" applyFill="1" applyBorder="1" applyAlignment="1" applyProtection="1">
      <alignment horizontal="center" vertical="center" wrapText="1"/>
    </xf>
    <xf numFmtId="176" fontId="55" fillId="6" borderId="10" xfId="0" applyNumberFormat="1" applyFont="1" applyFill="1" applyBorder="1" applyAlignment="1" applyProtection="1">
      <alignment horizontal="center" vertical="center" wrapText="1"/>
    </xf>
    <xf numFmtId="176" fontId="55" fillId="6" borderId="13" xfId="0" applyNumberFormat="1" applyFont="1" applyFill="1" applyBorder="1" applyAlignment="1" applyProtection="1">
      <alignment horizontal="center" vertical="center" wrapText="1"/>
    </xf>
    <xf numFmtId="176" fontId="55" fillId="6" borderId="23" xfId="0" applyNumberFormat="1" applyFont="1" applyFill="1" applyBorder="1" applyAlignment="1" applyProtection="1">
      <alignment horizontal="center" vertical="center" wrapText="1"/>
    </xf>
    <xf numFmtId="176"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8" xfId="0" applyFont="1" applyFill="1" applyBorder="1" applyAlignment="1" applyProtection="1">
      <alignment horizontal="center" vertical="center"/>
    </xf>
    <xf numFmtId="0" fontId="55" fillId="0" borderId="0" xfId="0" applyFont="1" applyAlignment="1" applyProtection="1">
      <alignment horizontal="center" vertical="center"/>
      <protection locked="0"/>
    </xf>
    <xf numFmtId="0" fontId="55" fillId="6" borderId="3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2"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176" fontId="55" fillId="0" borderId="2" xfId="0" applyNumberFormat="1" applyFont="1" applyFill="1" applyBorder="1" applyAlignment="1" applyProtection="1">
      <alignment horizontal="center" vertical="center" wrapText="1"/>
      <protection locked="0"/>
    </xf>
    <xf numFmtId="176" fontId="55" fillId="6" borderId="2" xfId="0" applyNumberFormat="1" applyFont="1" applyFill="1" applyBorder="1" applyAlignment="1" applyProtection="1">
      <alignment horizontal="center" vertical="center" wrapText="1"/>
    </xf>
    <xf numFmtId="0" fontId="52" fillId="0" borderId="2" xfId="0" applyFont="1" applyBorder="1" applyAlignment="1" applyProtection="1">
      <alignment horizontal="center" vertical="center" wrapText="1"/>
      <protection locked="0"/>
    </xf>
    <xf numFmtId="176" fontId="52" fillId="6" borderId="1" xfId="0" applyNumberFormat="1"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6" borderId="3" xfId="0"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176" fontId="52" fillId="0" borderId="1"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4" fillId="6" borderId="13" xfId="0" applyFont="1" applyFill="1" applyBorder="1" applyAlignment="1" applyProtection="1">
      <alignment vertical="center"/>
    </xf>
    <xf numFmtId="0" fontId="52" fillId="6" borderId="11" xfId="0" applyFont="1" applyFill="1" applyBorder="1" applyAlignment="1" applyProtection="1">
      <alignment vertical="center"/>
    </xf>
    <xf numFmtId="0" fontId="52" fillId="6" borderId="1" xfId="0" applyFont="1" applyFill="1" applyBorder="1" applyAlignment="1" applyProtection="1">
      <alignment vertical="center"/>
    </xf>
    <xf numFmtId="176" fontId="52" fillId="6" borderId="24" xfId="0" applyNumberFormat="1" applyFont="1" applyFill="1" applyBorder="1" applyAlignment="1" applyProtection="1">
      <alignment vertical="center"/>
    </xf>
    <xf numFmtId="0" fontId="52" fillId="6" borderId="13" xfId="0" applyFont="1" applyFill="1" applyBorder="1" applyAlignment="1" applyProtection="1">
      <alignment vertical="center"/>
    </xf>
    <xf numFmtId="0" fontId="52" fillId="6" borderId="24" xfId="0" applyFont="1" applyFill="1" applyBorder="1" applyAlignment="1" applyProtection="1">
      <alignment vertical="center"/>
    </xf>
    <xf numFmtId="0" fontId="52" fillId="0" borderId="24" xfId="0" applyFont="1" applyFill="1" applyBorder="1" applyAlignment="1" applyProtection="1">
      <alignment vertical="center"/>
      <protection locked="0"/>
    </xf>
    <xf numFmtId="0" fontId="52" fillId="6" borderId="61" xfId="0" applyFont="1" applyFill="1" applyBorder="1" applyAlignment="1" applyProtection="1">
      <alignment vertical="center"/>
    </xf>
    <xf numFmtId="179"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176" fontId="52" fillId="6" borderId="1" xfId="0" applyNumberFormat="1" applyFont="1" applyFill="1" applyBorder="1" applyAlignment="1" applyProtection="1">
      <alignment vertical="center"/>
    </xf>
    <xf numFmtId="0" fontId="55" fillId="3" borderId="3" xfId="0" applyFont="1" applyFill="1" applyBorder="1" applyProtection="1">
      <alignment vertical="center"/>
      <protection locked="0"/>
    </xf>
    <xf numFmtId="0" fontId="55" fillId="3" borderId="24" xfId="0" applyFont="1" applyFill="1" applyBorder="1" applyProtection="1">
      <alignment vertical="center"/>
      <protection locked="0"/>
    </xf>
    <xf numFmtId="0" fontId="55" fillId="0" borderId="1" xfId="0" applyFont="1" applyBorder="1" applyAlignment="1" applyProtection="1">
      <alignment horizontal="center" vertical="center"/>
      <protection locked="0"/>
    </xf>
    <xf numFmtId="177" fontId="52" fillId="0" borderId="1" xfId="1" applyNumberFormat="1" applyFont="1" applyFill="1" applyBorder="1" applyAlignment="1" applyProtection="1">
      <alignment vertical="center"/>
      <protection locked="0"/>
    </xf>
    <xf numFmtId="0" fontId="52" fillId="3" borderId="22" xfId="0" applyFont="1" applyFill="1" applyBorder="1" applyProtection="1">
      <alignment vertical="center"/>
      <protection locked="0"/>
    </xf>
    <xf numFmtId="0" fontId="52" fillId="3" borderId="61" xfId="0" applyFont="1" applyFill="1" applyBorder="1" applyProtection="1">
      <alignment vertical="center"/>
      <protection locked="0"/>
    </xf>
    <xf numFmtId="177" fontId="52" fillId="0" borderId="3" xfId="1" applyNumberFormat="1" applyFont="1" applyFill="1" applyBorder="1" applyAlignment="1" applyProtection="1">
      <alignment vertical="center"/>
      <protection locked="0"/>
    </xf>
    <xf numFmtId="0" fontId="52" fillId="6" borderId="3" xfId="0" applyFont="1" applyFill="1" applyBorder="1" applyProtection="1">
      <alignment vertical="center"/>
    </xf>
    <xf numFmtId="0" fontId="52" fillId="6" borderId="48" xfId="0" applyFont="1" applyFill="1" applyBorder="1" applyProtection="1">
      <alignment vertical="center"/>
    </xf>
    <xf numFmtId="0" fontId="52" fillId="6" borderId="22" xfId="0" applyFont="1" applyFill="1" applyBorder="1" applyProtection="1">
      <alignment vertical="center"/>
    </xf>
    <xf numFmtId="0" fontId="52" fillId="6" borderId="61" xfId="0" applyFont="1" applyFill="1" applyBorder="1" applyProtection="1">
      <alignment vertical="center"/>
    </xf>
    <xf numFmtId="0" fontId="54" fillId="6" borderId="27" xfId="0" applyFont="1" applyFill="1" applyBorder="1" applyAlignment="1" applyProtection="1">
      <alignment vertical="center" wrapText="1"/>
    </xf>
    <xf numFmtId="0" fontId="52" fillId="6" borderId="29"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179" fontId="59" fillId="6" borderId="1" xfId="1" applyNumberFormat="1" applyFont="1" applyFill="1" applyBorder="1" applyAlignment="1" applyProtection="1">
      <alignment horizontal="center" vertical="center"/>
    </xf>
    <xf numFmtId="180" fontId="59" fillId="6" borderId="1" xfId="1" applyNumberFormat="1" applyFont="1" applyFill="1" applyBorder="1" applyAlignment="1" applyProtection="1">
      <alignment horizontal="center" vertical="center"/>
    </xf>
    <xf numFmtId="181" fontId="52" fillId="0" borderId="1" xfId="0" applyNumberFormat="1" applyFont="1" applyFill="1" applyBorder="1" applyAlignment="1" applyProtection="1">
      <alignment horizontal="center" vertical="center"/>
      <protection locked="0"/>
    </xf>
    <xf numFmtId="0" fontId="52" fillId="6" borderId="1" xfId="1"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xf>
    <xf numFmtId="179" fontId="52" fillId="6" borderId="23" xfId="1" applyNumberFormat="1" applyFont="1" applyFill="1" applyBorder="1" applyAlignment="1" applyProtection="1">
      <alignment horizontal="center" vertical="center"/>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3" xfId="0" applyFont="1" applyBorder="1" applyAlignment="1" applyProtection="1">
      <alignment vertical="center"/>
      <protection locked="0"/>
    </xf>
    <xf numFmtId="181" fontId="52" fillId="0" borderId="5"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52" fillId="0" borderId="24" xfId="0" applyFont="1" applyBorder="1" applyAlignment="1" applyProtection="1">
      <alignment horizontal="center" vertical="center"/>
      <protection locked="0"/>
    </xf>
    <xf numFmtId="0" fontId="52" fillId="5" borderId="3" xfId="0" applyFont="1" applyFill="1" applyBorder="1" applyAlignment="1" applyProtection="1">
      <alignment horizontal="center" vertical="center"/>
      <protection locked="0"/>
    </xf>
    <xf numFmtId="0" fontId="52" fillId="0" borderId="1" xfId="0" applyNumberFormat="1"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10" fontId="52" fillId="0" borderId="1" xfId="1" applyNumberFormat="1" applyFont="1" applyFill="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10" fontId="52" fillId="0" borderId="1" xfId="0" applyNumberFormat="1" applyFont="1" applyFill="1" applyBorder="1" applyAlignment="1" applyProtection="1">
      <alignment horizontal="center" vertical="center"/>
      <protection locked="0"/>
    </xf>
    <xf numFmtId="183" fontId="52" fillId="0" borderId="1" xfId="0"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0" fontId="54" fillId="6" borderId="32" xfId="1" applyFont="1" applyFill="1" applyBorder="1" applyAlignment="1" applyProtection="1">
      <alignment vertical="center"/>
    </xf>
    <xf numFmtId="0" fontId="54" fillId="6" borderId="32" xfId="1" applyFont="1" applyFill="1" applyBorder="1" applyAlignment="1" applyProtection="1">
      <alignment horizontal="center" vertical="center"/>
    </xf>
    <xf numFmtId="181" fontId="54" fillId="6" borderId="32" xfId="1" applyNumberFormat="1" applyFont="1" applyFill="1" applyBorder="1" applyAlignment="1" applyProtection="1">
      <alignment vertical="center"/>
    </xf>
    <xf numFmtId="0" fontId="54" fillId="6" borderId="49" xfId="1" applyFont="1" applyFill="1" applyBorder="1" applyAlignment="1" applyProtection="1">
      <alignment vertical="center"/>
    </xf>
    <xf numFmtId="176" fontId="52" fillId="6" borderId="25" xfId="0" applyNumberFormat="1" applyFont="1" applyFill="1" applyBorder="1" applyAlignment="1" applyProtection="1">
      <alignment horizontal="center" vertical="center"/>
    </xf>
    <xf numFmtId="0" fontId="52" fillId="6" borderId="32" xfId="1" applyNumberFormat="1" applyFont="1" applyFill="1" applyBorder="1" applyAlignment="1" applyProtection="1">
      <alignment horizontal="center" vertical="center"/>
    </xf>
    <xf numFmtId="10" fontId="52" fillId="6" borderId="32" xfId="1" applyNumberFormat="1" applyFont="1" applyFill="1" applyBorder="1" applyAlignment="1" applyProtection="1">
      <alignment horizontal="center" vertical="center"/>
    </xf>
    <xf numFmtId="9" fontId="52" fillId="6" borderId="33" xfId="0" applyNumberFormat="1" applyFont="1" applyFill="1" applyBorder="1" applyAlignment="1" applyProtection="1">
      <alignment horizontal="center" vertical="center"/>
    </xf>
    <xf numFmtId="179" fontId="52" fillId="6" borderId="66" xfId="1" applyNumberFormat="1" applyFont="1" applyFill="1" applyBorder="1" applyAlignment="1" applyProtection="1">
      <alignment horizontal="center" vertical="center"/>
    </xf>
    <xf numFmtId="0" fontId="52" fillId="6" borderId="68" xfId="1" applyNumberFormat="1" applyFont="1" applyFill="1" applyBorder="1" applyAlignment="1" applyProtection="1">
      <alignment horizontal="center" vertical="center"/>
    </xf>
    <xf numFmtId="0" fontId="52" fillId="6" borderId="25" xfId="0" applyFont="1" applyFill="1" applyBorder="1" applyAlignment="1" applyProtection="1">
      <alignment vertical="center"/>
    </xf>
    <xf numFmtId="0" fontId="52" fillId="6" borderId="32" xfId="0" applyFont="1" applyFill="1" applyBorder="1" applyAlignment="1" applyProtection="1">
      <alignment vertical="center"/>
    </xf>
    <xf numFmtId="0" fontId="52" fillId="6" borderId="49" xfId="0" applyFont="1" applyFill="1" applyBorder="1" applyAlignment="1" applyProtection="1">
      <alignment vertical="center"/>
    </xf>
    <xf numFmtId="0" fontId="52" fillId="6" borderId="66" xfId="0" applyFont="1" applyFill="1" applyBorder="1" applyAlignment="1" applyProtection="1">
      <alignment vertical="center"/>
    </xf>
    <xf numFmtId="0" fontId="52" fillId="6" borderId="33" xfId="0" applyFont="1" applyFill="1" applyBorder="1" applyAlignment="1" applyProtection="1">
      <alignment vertical="center"/>
    </xf>
    <xf numFmtId="176" fontId="59" fillId="0" borderId="10" xfId="1" applyNumberFormat="1" applyFont="1" applyFill="1" applyBorder="1" applyAlignment="1" applyProtection="1">
      <alignment horizontal="center" vertical="center"/>
      <protection locked="0"/>
    </xf>
    <xf numFmtId="176" fontId="52" fillId="0" borderId="24" xfId="1" applyNumberFormat="1" applyFont="1" applyFill="1" applyBorder="1" applyAlignment="1" applyProtection="1">
      <alignment horizontal="center" vertical="center"/>
      <protection locked="0"/>
    </xf>
    <xf numFmtId="176" fontId="59" fillId="6" borderId="24" xfId="1" applyNumberFormat="1" applyFont="1" applyFill="1" applyBorder="1" applyAlignment="1" applyProtection="1">
      <alignment horizontal="center" vertical="center"/>
    </xf>
    <xf numFmtId="176" fontId="59" fillId="6" borderId="49" xfId="1" applyNumberFormat="1" applyFont="1" applyFill="1" applyBorder="1" applyAlignment="1" applyProtection="1">
      <alignment horizontal="center" vertical="center"/>
    </xf>
    <xf numFmtId="0" fontId="61" fillId="0" borderId="10" xfId="1" applyNumberFormat="1"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61" fillId="0" borderId="24" xfId="1" applyNumberFormat="1" applyFont="1" applyFill="1" applyBorder="1" applyAlignment="1" applyProtection="1">
      <alignment horizontal="center" vertical="center"/>
      <protection locked="0"/>
    </xf>
    <xf numFmtId="0" fontId="59" fillId="6" borderId="24" xfId="1" applyNumberFormat="1" applyFont="1" applyFill="1" applyBorder="1" applyAlignment="1" applyProtection="1">
      <alignment horizontal="center" vertical="center"/>
    </xf>
    <xf numFmtId="0" fontId="61" fillId="0" borderId="49" xfId="1" applyNumberFormat="1" applyFont="1" applyFill="1" applyBorder="1" applyAlignment="1" applyProtection="1">
      <alignment horizontal="center" vertical="center"/>
      <protection locked="0"/>
    </xf>
    <xf numFmtId="181" fontId="55" fillId="0" borderId="24" xfId="0" applyNumberFormat="1" applyFont="1" applyFill="1" applyBorder="1" applyAlignment="1" applyProtection="1">
      <alignment horizontal="center" vertical="center"/>
      <protection locked="0"/>
    </xf>
    <xf numFmtId="181" fontId="55" fillId="0" borderId="49" xfId="0" applyNumberFormat="1" applyFont="1" applyFill="1" applyBorder="1" applyAlignment="1" applyProtection="1">
      <alignment horizontal="center" vertical="center"/>
      <protection locked="0"/>
    </xf>
    <xf numFmtId="181" fontId="55" fillId="0" borderId="8" xfId="0" applyNumberFormat="1" applyFont="1" applyFill="1" applyBorder="1" applyAlignment="1" applyProtection="1">
      <alignment horizontal="center" vertical="center"/>
      <protection locked="0"/>
    </xf>
    <xf numFmtId="10" fontId="52" fillId="6" borderId="10" xfId="0" applyNumberFormat="1" applyFont="1" applyFill="1" applyBorder="1" applyAlignment="1" applyProtection="1">
      <alignment horizontal="center" vertical="center"/>
    </xf>
    <xf numFmtId="10" fontId="52" fillId="0" borderId="61" xfId="0" applyNumberFormat="1" applyFont="1" applyFill="1" applyBorder="1" applyAlignment="1" applyProtection="1">
      <alignment horizontal="center" vertical="center"/>
      <protection locked="0"/>
    </xf>
    <xf numFmtId="183" fontId="52" fillId="6" borderId="61" xfId="0" applyNumberFormat="1" applyFont="1" applyFill="1" applyBorder="1" applyAlignment="1" applyProtection="1">
      <alignment horizontal="center" vertical="center"/>
    </xf>
    <xf numFmtId="10" fontId="52" fillId="2" borderId="61" xfId="0" applyNumberFormat="1" applyFont="1" applyFill="1" applyBorder="1" applyAlignment="1" applyProtection="1">
      <alignment horizontal="center" vertical="center"/>
      <protection locked="0"/>
    </xf>
    <xf numFmtId="10" fontId="52" fillId="0" borderId="49" xfId="0" applyNumberFormat="1" applyFont="1" applyFill="1" applyBorder="1" applyAlignment="1" applyProtection="1">
      <alignment horizontal="center" vertical="center"/>
      <protection locked="0"/>
    </xf>
    <xf numFmtId="10" fontId="52" fillId="0" borderId="53" xfId="0" applyNumberFormat="1" applyFont="1" applyFill="1" applyBorder="1" applyAlignment="1" applyProtection="1">
      <alignment horizontal="center" vertical="center"/>
      <protection locked="0"/>
    </xf>
    <xf numFmtId="10" fontId="52" fillId="6" borderId="62" xfId="0" applyNumberFormat="1" applyFont="1" applyFill="1" applyBorder="1" applyAlignment="1" applyProtection="1">
      <alignment horizontal="center" vertical="center"/>
    </xf>
    <xf numFmtId="10" fontId="52" fillId="6" borderId="49" xfId="0" applyNumberFormat="1" applyFont="1" applyFill="1" applyBorder="1" applyAlignment="1" applyProtection="1">
      <alignment horizontal="center" vertical="center"/>
    </xf>
    <xf numFmtId="178" fontId="52" fillId="6" borderId="62" xfId="0" applyNumberFormat="1" applyFont="1" applyFill="1" applyBorder="1" applyAlignment="1" applyProtection="1">
      <alignment horizontal="center" vertical="center"/>
    </xf>
    <xf numFmtId="0" fontId="52" fillId="0" borderId="49" xfId="0" applyFont="1" applyBorder="1" applyAlignment="1" applyProtection="1">
      <alignment vertical="center"/>
      <protection locked="0"/>
    </xf>
    <xf numFmtId="0" fontId="52" fillId="6" borderId="10"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wrapText="1"/>
    </xf>
    <xf numFmtId="0" fontId="52" fillId="6" borderId="49" xfId="0" applyNumberFormat="1" applyFont="1" applyFill="1" applyBorder="1" applyAlignment="1" applyProtection="1">
      <alignment horizontal="center" vertical="center" wrapText="1"/>
    </xf>
    <xf numFmtId="0" fontId="55" fillId="6" borderId="0" xfId="0" applyFont="1" applyFill="1" applyProtection="1">
      <alignment vertical="center"/>
      <protection locked="0"/>
    </xf>
    <xf numFmtId="0" fontId="55" fillId="0" borderId="0" xfId="0" applyFont="1" applyProtection="1">
      <alignment vertical="center"/>
      <protection locked="0"/>
    </xf>
    <xf numFmtId="0" fontId="55" fillId="6" borderId="5" xfId="0" applyFont="1" applyFill="1" applyBorder="1" applyAlignment="1" applyProtection="1">
      <alignment vertical="center"/>
    </xf>
    <xf numFmtId="0" fontId="52" fillId="6" borderId="2" xfId="0" applyFont="1" applyFill="1" applyBorder="1" applyAlignment="1" applyProtection="1">
      <alignment horizontal="center" vertical="center"/>
    </xf>
    <xf numFmtId="179" fontId="52" fillId="6" borderId="13" xfId="0" applyNumberFormat="1" applyFont="1" applyFill="1" applyBorder="1" applyAlignment="1" applyProtection="1">
      <alignment horizontal="center" vertical="center"/>
    </xf>
    <xf numFmtId="0" fontId="109" fillId="6" borderId="9" xfId="0" applyFont="1" applyFill="1" applyBorder="1" applyAlignment="1" applyProtection="1">
      <alignment horizontal="center" vertical="center"/>
    </xf>
    <xf numFmtId="0" fontId="109" fillId="6" borderId="10"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109" fillId="6" borderId="1" xfId="0" applyFont="1" applyFill="1" applyBorder="1" applyAlignment="1" applyProtection="1">
      <alignment horizontal="center" vertical="center"/>
    </xf>
    <xf numFmtId="0" fontId="109" fillId="6" borderId="24"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4" xfId="0" applyFont="1" applyFill="1" applyBorder="1" applyAlignment="1" applyProtection="1">
      <alignment horizontal="right" vertical="center"/>
    </xf>
    <xf numFmtId="0" fontId="111" fillId="0" borderId="1" xfId="0" applyFont="1" applyFill="1" applyBorder="1" applyAlignment="1" applyProtection="1">
      <alignment horizontal="center" vertical="center"/>
      <protection locked="0"/>
    </xf>
    <xf numFmtId="0" fontId="111" fillId="0" borderId="24" xfId="0" applyFont="1" applyFill="1" applyBorder="1" applyAlignment="1" applyProtection="1">
      <alignment horizontal="center" vertical="center"/>
      <protection locked="0"/>
    </xf>
    <xf numFmtId="0" fontId="52" fillId="6" borderId="29" xfId="0" applyFont="1" applyFill="1" applyBorder="1" applyAlignment="1" applyProtection="1">
      <alignment horizontal="center" vertical="center"/>
    </xf>
    <xf numFmtId="0" fontId="54" fillId="0" borderId="10" xfId="0" applyFont="1" applyFill="1" applyBorder="1" applyAlignment="1" applyProtection="1">
      <alignment horizontal="center" vertical="center"/>
      <protection locked="0"/>
    </xf>
    <xf numFmtId="0" fontId="55" fillId="6" borderId="1" xfId="0" applyFont="1" applyFill="1" applyBorder="1" applyProtection="1">
      <alignment vertical="center"/>
    </xf>
    <xf numFmtId="0" fontId="54" fillId="0" borderId="24" xfId="0" applyFont="1" applyFill="1" applyBorder="1" applyAlignment="1" applyProtection="1">
      <alignment horizontal="center" vertical="center"/>
      <protection locked="0"/>
    </xf>
    <xf numFmtId="0" fontId="54" fillId="6" borderId="4" xfId="0" applyFont="1" applyFill="1" applyBorder="1" applyAlignment="1" applyProtection="1">
      <alignment horizontal="center" vertical="center"/>
    </xf>
    <xf numFmtId="0" fontId="55" fillId="0" borderId="23" xfId="0" applyFont="1" applyBorder="1" applyProtection="1">
      <alignment vertical="center"/>
      <protection locked="0"/>
    </xf>
    <xf numFmtId="0" fontId="55" fillId="0" borderId="1" xfId="0" applyFont="1" applyBorder="1" applyProtection="1">
      <alignment vertical="center"/>
      <protection locked="0"/>
    </xf>
    <xf numFmtId="0" fontId="55" fillId="0" borderId="24" xfId="0" applyFont="1" applyFill="1" applyBorder="1" applyAlignment="1" applyProtection="1">
      <alignment horizontal="center" vertical="center"/>
      <protection locked="0"/>
    </xf>
    <xf numFmtId="0" fontId="55" fillId="0" borderId="25" xfId="0" applyFont="1" applyBorder="1" applyProtection="1">
      <alignment vertical="center"/>
      <protection locked="0"/>
    </xf>
    <xf numFmtId="0" fontId="55" fillId="0" borderId="32" xfId="0" applyFont="1" applyBorder="1" applyProtection="1">
      <alignment vertical="center"/>
      <protection locked="0"/>
    </xf>
    <xf numFmtId="0" fontId="55" fillId="0" borderId="49" xfId="0" applyFont="1" applyBorder="1" applyProtection="1">
      <alignment vertical="center"/>
      <protection locked="0"/>
    </xf>
    <xf numFmtId="0" fontId="55" fillId="6" borderId="13" xfId="0" applyFont="1" applyFill="1" applyBorder="1" applyAlignment="1" applyProtection="1">
      <alignment vertical="center"/>
    </xf>
    <xf numFmtId="0" fontId="55" fillId="6" borderId="36" xfId="0" applyFont="1" applyFill="1" applyBorder="1" applyAlignment="1" applyProtection="1">
      <alignment horizontal="right" vertical="center"/>
    </xf>
    <xf numFmtId="9" fontId="55" fillId="5" borderId="36" xfId="0" applyNumberFormat="1" applyFont="1" applyFill="1" applyBorder="1" applyAlignment="1" applyProtection="1">
      <alignment horizontal="center" vertical="center"/>
      <protection locked="0"/>
    </xf>
    <xf numFmtId="0" fontId="55" fillId="6" borderId="22" xfId="0" applyFont="1" applyFill="1" applyBorder="1" applyProtection="1">
      <alignment vertical="center"/>
    </xf>
    <xf numFmtId="0" fontId="55" fillId="6" borderId="0" xfId="0" applyFont="1" applyFill="1" applyAlignment="1" applyProtection="1">
      <alignment horizontal="center" vertical="center"/>
      <protection locked="0"/>
    </xf>
    <xf numFmtId="0" fontId="60" fillId="6" borderId="18" xfId="0" applyFont="1" applyFill="1" applyBorder="1" applyAlignment="1" applyProtection="1">
      <alignment horizontal="left" vertical="center" wrapText="1"/>
    </xf>
    <xf numFmtId="0" fontId="60" fillId="6" borderId="60" xfId="0" applyFont="1" applyFill="1" applyBorder="1" applyAlignment="1" applyProtection="1">
      <alignment horizontal="left" vertical="center" wrapText="1"/>
    </xf>
    <xf numFmtId="0" fontId="60" fillId="6" borderId="7" xfId="0" applyFont="1" applyFill="1" applyBorder="1" applyAlignment="1" applyProtection="1">
      <alignment horizontal="left" vertical="center" wrapText="1"/>
    </xf>
    <xf numFmtId="0" fontId="55" fillId="6" borderId="4" xfId="0" applyFont="1" applyFill="1" applyBorder="1" applyAlignment="1" applyProtection="1">
      <alignment horizontal="center" vertical="center"/>
    </xf>
    <xf numFmtId="0" fontId="60" fillId="6" borderId="1" xfId="0" applyFont="1" applyFill="1" applyBorder="1" applyAlignment="1" applyProtection="1">
      <alignment horizontal="left" vertical="center" wrapText="1"/>
    </xf>
    <xf numFmtId="9" fontId="55" fillId="6" borderId="24" xfId="0" applyNumberFormat="1" applyFont="1" applyFill="1" applyBorder="1" applyAlignment="1" applyProtection="1">
      <alignment horizontal="center" vertical="center"/>
    </xf>
    <xf numFmtId="10" fontId="55" fillId="6" borderId="2" xfId="0" applyNumberFormat="1" applyFont="1" applyFill="1" applyBorder="1" applyAlignment="1" applyProtection="1">
      <alignment horizontal="center" vertical="center"/>
    </xf>
    <xf numFmtId="0" fontId="55" fillId="6" borderId="11" xfId="0" applyFont="1" applyFill="1" applyBorder="1" applyAlignment="1" applyProtection="1">
      <alignment horizontal="right" vertical="center" wrapText="1"/>
    </xf>
    <xf numFmtId="0" fontId="55" fillId="6" borderId="46" xfId="0" applyFont="1" applyFill="1" applyBorder="1" applyAlignment="1" applyProtection="1">
      <alignment vertical="center"/>
    </xf>
    <xf numFmtId="0" fontId="55" fillId="6" borderId="14" xfId="0" applyFont="1" applyFill="1" applyBorder="1" applyAlignment="1" applyProtection="1">
      <alignment horizontal="right" vertical="center" wrapText="1"/>
    </xf>
    <xf numFmtId="0" fontId="55" fillId="6" borderId="58" xfId="0" applyFont="1" applyFill="1" applyBorder="1" applyAlignment="1" applyProtection="1">
      <alignment vertical="center"/>
    </xf>
    <xf numFmtId="0" fontId="55" fillId="6" borderId="35" xfId="0" applyFont="1" applyFill="1" applyBorder="1" applyProtection="1">
      <alignment vertical="center"/>
    </xf>
    <xf numFmtId="0" fontId="55" fillId="6" borderId="41" xfId="0" applyFont="1" applyFill="1" applyBorder="1" applyAlignment="1" applyProtection="1">
      <alignment horizontal="right" vertical="center" wrapText="1"/>
    </xf>
    <xf numFmtId="0" fontId="55" fillId="6" borderId="4" xfId="0" applyFont="1" applyFill="1" applyBorder="1" applyAlignment="1" applyProtection="1">
      <alignment vertical="center"/>
    </xf>
    <xf numFmtId="0" fontId="55" fillId="6" borderId="23" xfId="0" applyFont="1" applyFill="1" applyBorder="1" applyAlignment="1" applyProtection="1">
      <alignment horizontal="right" vertical="center" wrapText="1"/>
    </xf>
    <xf numFmtId="1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right" vertical="center"/>
    </xf>
    <xf numFmtId="10" fontId="55" fillId="6" borderId="5" xfId="0" applyNumberFormat="1" applyFont="1" applyFill="1" applyBorder="1" applyAlignment="1" applyProtection="1">
      <alignment horizontal="center" vertical="center"/>
    </xf>
    <xf numFmtId="0" fontId="55" fillId="6" borderId="46" xfId="0" applyFont="1" applyFill="1" applyBorder="1" applyAlignment="1" applyProtection="1">
      <alignment horizontal="right" vertical="center"/>
    </xf>
    <xf numFmtId="0" fontId="55" fillId="6" borderId="33" xfId="0" applyFont="1" applyFill="1" applyBorder="1" applyAlignment="1" applyProtection="1">
      <alignment horizontal="right" vertical="center"/>
    </xf>
    <xf numFmtId="0" fontId="55" fillId="6" borderId="32"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xf>
    <xf numFmtId="9" fontId="55" fillId="6" borderId="5" xfId="0" applyNumberFormat="1" applyFont="1" applyFill="1" applyBorder="1" applyAlignment="1" applyProtection="1">
      <alignment horizontal="center" vertical="center" wrapText="1"/>
    </xf>
    <xf numFmtId="0" fontId="55" fillId="6" borderId="10" xfId="0" applyFont="1" applyFill="1" applyBorder="1" applyAlignment="1" applyProtection="1">
      <alignment horizontal="left" vertical="center" wrapText="1"/>
    </xf>
    <xf numFmtId="0" fontId="62" fillId="6" borderId="2" xfId="0" applyFont="1" applyFill="1" applyBorder="1" applyAlignment="1" applyProtection="1">
      <alignment horizontal="left" vertical="center" wrapText="1"/>
    </xf>
    <xf numFmtId="177" fontId="62" fillId="6" borderId="2" xfId="0" applyNumberFormat="1" applyFont="1" applyFill="1" applyBorder="1" applyAlignment="1" applyProtection="1">
      <alignment horizontal="center" vertical="center" wrapText="1"/>
    </xf>
    <xf numFmtId="0" fontId="62" fillId="6" borderId="2" xfId="0" applyFont="1" applyFill="1" applyBorder="1" applyAlignment="1" applyProtection="1">
      <alignment horizontal="center" vertical="center" wrapText="1"/>
    </xf>
    <xf numFmtId="0" fontId="55" fillId="6" borderId="8"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wrapText="1"/>
    </xf>
    <xf numFmtId="177" fontId="61" fillId="6" borderId="1" xfId="0" applyNumberFormat="1" applyFont="1" applyFill="1" applyBorder="1" applyAlignment="1" applyProtection="1">
      <alignment horizontal="center" vertical="center" wrapText="1"/>
    </xf>
    <xf numFmtId="0" fontId="6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left" vertical="center" wrapText="1"/>
    </xf>
    <xf numFmtId="177" fontId="61" fillId="0" borderId="1" xfId="0" applyNumberFormat="1" applyFont="1" applyFill="1" applyBorder="1" applyAlignment="1" applyProtection="1">
      <alignment horizontal="center" vertical="center" wrapText="1"/>
      <protection locked="0"/>
    </xf>
    <xf numFmtId="49" fontId="60" fillId="6" borderId="23" xfId="0" applyNumberFormat="1" applyFont="1" applyFill="1" applyBorder="1" applyAlignment="1" applyProtection="1">
      <alignment horizontal="left" vertical="center" wrapText="1"/>
    </xf>
    <xf numFmtId="0" fontId="62" fillId="6" borderId="1" xfId="0" applyFont="1" applyFill="1" applyBorder="1" applyAlignment="1" applyProtection="1">
      <alignment horizontal="left" vertical="center" wrapText="1"/>
    </xf>
    <xf numFmtId="0" fontId="62" fillId="0" borderId="1" xfId="0" applyFont="1" applyFill="1" applyBorder="1" applyAlignment="1" applyProtection="1">
      <alignment horizontal="center" vertical="center" wrapText="1"/>
      <protection locked="0"/>
    </xf>
    <xf numFmtId="0" fontId="62" fillId="6" borderId="1" xfId="0" applyFont="1" applyFill="1" applyBorder="1" applyAlignment="1" applyProtection="1">
      <alignment horizontal="center" vertical="center" wrapText="1"/>
    </xf>
    <xf numFmtId="177" fontId="62" fillId="6" borderId="1" xfId="0" applyNumberFormat="1" applyFont="1" applyFill="1" applyBorder="1" applyAlignment="1" applyProtection="1">
      <alignment horizontal="center" vertical="center" wrapText="1"/>
    </xf>
    <xf numFmtId="49" fontId="60" fillId="6" borderId="25" xfId="0" applyNumberFormat="1" applyFont="1" applyFill="1" applyBorder="1" applyAlignment="1" applyProtection="1">
      <alignment horizontal="left" vertical="center" wrapText="1"/>
    </xf>
    <xf numFmtId="0" fontId="62" fillId="6" borderId="32" xfId="0" applyFont="1" applyFill="1" applyBorder="1" applyAlignment="1" applyProtection="1">
      <alignment horizontal="left" vertical="center" wrapText="1"/>
    </xf>
    <xf numFmtId="177" fontId="62" fillId="6" borderId="32" xfId="0" applyNumberFormat="1" applyFont="1" applyFill="1" applyBorder="1" applyAlignment="1" applyProtection="1">
      <alignment horizontal="center" vertical="center" wrapText="1"/>
    </xf>
    <xf numFmtId="10" fontId="61" fillId="6" borderId="32" xfId="0" applyNumberFormat="1" applyFont="1" applyFill="1" applyBorder="1" applyAlignment="1" applyProtection="1">
      <alignment horizontal="center" vertical="center" wrapText="1"/>
    </xf>
    <xf numFmtId="0" fontId="55" fillId="6" borderId="49" xfId="0" applyFont="1" applyFill="1" applyBorder="1" applyAlignment="1" applyProtection="1">
      <alignment horizontal="left" vertical="center"/>
    </xf>
    <xf numFmtId="0" fontId="55" fillId="6" borderId="28" xfId="0" applyFont="1" applyFill="1" applyBorder="1" applyAlignment="1" applyProtection="1">
      <alignment horizontal="left" vertical="center" wrapText="1"/>
    </xf>
    <xf numFmtId="0" fontId="55" fillId="6" borderId="20" xfId="0"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49" fontId="55" fillId="6" borderId="23" xfId="0" applyNumberFormat="1" applyFont="1" applyFill="1" applyBorder="1" applyAlignment="1" applyProtection="1">
      <alignment vertical="center" wrapText="1"/>
    </xf>
    <xf numFmtId="0" fontId="61" fillId="0" borderId="1" xfId="0" applyFont="1" applyFill="1" applyBorder="1" applyAlignment="1" applyProtection="1">
      <alignment horizontal="center" vertical="center" wrapText="1"/>
      <protection locked="0"/>
    </xf>
    <xf numFmtId="0" fontId="52" fillId="6" borderId="1" xfId="2" applyFont="1" applyFill="1" applyBorder="1" applyAlignment="1" applyProtection="1">
      <alignment horizontal="left" vertical="center" wrapText="1"/>
    </xf>
    <xf numFmtId="177" fontId="61" fillId="0" borderId="24" xfId="0" applyNumberFormat="1" applyFont="1" applyFill="1" applyBorder="1" applyAlignment="1" applyProtection="1">
      <alignment horizontal="center" vertical="center" wrapText="1"/>
      <protection locked="0"/>
    </xf>
    <xf numFmtId="0" fontId="61" fillId="6" borderId="2" xfId="0" applyFont="1" applyFill="1" applyBorder="1" applyAlignment="1" applyProtection="1">
      <alignment horizontal="left" vertical="center" wrapText="1"/>
    </xf>
    <xf numFmtId="9" fontId="52" fillId="6" borderId="0" xfId="0" applyNumberFormat="1" applyFont="1" applyFill="1" applyBorder="1" applyAlignment="1" applyProtection="1">
      <alignment horizontal="center" vertical="center"/>
    </xf>
    <xf numFmtId="10" fontId="61" fillId="6" borderId="1" xfId="0" applyNumberFormat="1" applyFont="1" applyFill="1" applyBorder="1" applyAlignment="1" applyProtection="1">
      <alignment horizontal="center" vertical="center" wrapText="1"/>
    </xf>
    <xf numFmtId="0" fontId="52" fillId="6" borderId="54" xfId="0" applyFont="1" applyFill="1" applyBorder="1" applyAlignment="1" applyProtection="1">
      <alignment horizontal="left" vertical="center"/>
    </xf>
    <xf numFmtId="191" fontId="61" fillId="6" borderId="1" xfId="0" applyNumberFormat="1" applyFont="1" applyFill="1" applyBorder="1" applyAlignment="1" applyProtection="1">
      <alignment horizontal="center" vertical="center" wrapText="1"/>
    </xf>
    <xf numFmtId="10" fontId="60" fillId="6" borderId="5" xfId="0" applyNumberFormat="1" applyFont="1" applyFill="1" applyBorder="1" applyAlignment="1" applyProtection="1">
      <alignment horizontal="center" vertical="center" wrapText="1"/>
    </xf>
    <xf numFmtId="181" fontId="62" fillId="6" borderId="1" xfId="0" applyNumberFormat="1"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0" fontId="55" fillId="6" borderId="33" xfId="0" applyFont="1" applyFill="1" applyBorder="1" applyAlignment="1" applyProtection="1">
      <alignment horizontal="left" vertical="center"/>
    </xf>
    <xf numFmtId="0" fontId="55" fillId="6" borderId="52" xfId="0" applyFont="1" applyFill="1" applyBorder="1" applyAlignment="1" applyProtection="1">
      <alignment horizontal="left" vertical="center" wrapText="1"/>
    </xf>
    <xf numFmtId="0" fontId="52" fillId="6" borderId="68" xfId="2" applyFont="1" applyFill="1" applyBorder="1" applyAlignment="1" applyProtection="1">
      <alignment horizontal="left" vertical="center" wrapText="1"/>
    </xf>
    <xf numFmtId="0" fontId="55" fillId="6" borderId="21" xfId="2" applyFont="1" applyFill="1" applyBorder="1" applyAlignment="1" applyProtection="1">
      <alignment horizontal="left" vertical="center" wrapText="1"/>
    </xf>
    <xf numFmtId="0" fontId="55" fillId="6" borderId="48" xfId="2" applyFont="1" applyFill="1" applyBorder="1" applyAlignment="1" applyProtection="1">
      <alignment horizontal="left" vertical="center" wrapText="1"/>
    </xf>
    <xf numFmtId="0" fontId="61" fillId="6" borderId="5" xfId="0"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10" fontId="55" fillId="6" borderId="5" xfId="0" applyNumberFormat="1"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5" fillId="6" borderId="68" xfId="2" applyFont="1" applyFill="1" applyBorder="1" applyAlignment="1" applyProtection="1">
      <alignment horizontal="left" vertical="center" wrapText="1"/>
    </xf>
    <xf numFmtId="0" fontId="112" fillId="6" borderId="51" xfId="1" applyFont="1" applyFill="1" applyBorder="1" applyAlignment="1" applyProtection="1">
      <alignment vertical="center"/>
    </xf>
    <xf numFmtId="0" fontId="65" fillId="6" borderId="20" xfId="1" applyFont="1" applyFill="1" applyBorder="1" applyAlignment="1" applyProtection="1">
      <alignment vertical="center"/>
    </xf>
    <xf numFmtId="0" fontId="65" fillId="6" borderId="19" xfId="1" applyFont="1" applyFill="1" applyBorder="1" applyAlignment="1" applyProtection="1">
      <alignment vertical="center"/>
    </xf>
    <xf numFmtId="0" fontId="65" fillId="6" borderId="0" xfId="1" applyFont="1" applyFill="1" applyBorder="1" applyAlignment="1" applyProtection="1">
      <alignment vertical="center"/>
    </xf>
    <xf numFmtId="0" fontId="66" fillId="3" borderId="0" xfId="0" applyFont="1" applyFill="1" applyAlignment="1" applyProtection="1">
      <alignment vertical="center"/>
      <protection locked="0"/>
    </xf>
    <xf numFmtId="0" fontId="65" fillId="6" borderId="1" xfId="1" applyFont="1" applyFill="1" applyBorder="1" applyAlignment="1" applyProtection="1">
      <alignment vertical="center"/>
    </xf>
    <xf numFmtId="177" fontId="65" fillId="6" borderId="1" xfId="1" applyNumberFormat="1" applyFont="1" applyFill="1" applyBorder="1" applyAlignment="1" applyProtection="1">
      <alignment horizontal="right" vertical="center"/>
    </xf>
    <xf numFmtId="0" fontId="65" fillId="6" borderId="13" xfId="1" applyFont="1" applyFill="1" applyBorder="1" applyAlignment="1" applyProtection="1">
      <alignment vertical="center"/>
    </xf>
    <xf numFmtId="0" fontId="65" fillId="6" borderId="13" xfId="1" applyFont="1" applyFill="1" applyBorder="1" applyAlignment="1" applyProtection="1">
      <alignment horizontal="right" vertical="center"/>
    </xf>
    <xf numFmtId="49" fontId="65" fillId="6" borderId="51" xfId="1" applyNumberFormat="1" applyFont="1" applyFill="1" applyBorder="1" applyAlignment="1" applyProtection="1"/>
    <xf numFmtId="49" fontId="65" fillId="6" borderId="20" xfId="1" applyNumberFormat="1" applyFont="1" applyFill="1" applyBorder="1" applyAlignment="1" applyProtection="1"/>
    <xf numFmtId="49" fontId="65" fillId="6" borderId="21" xfId="1" applyNumberFormat="1" applyFont="1" applyFill="1" applyBorder="1" applyAlignment="1" applyProtection="1"/>
    <xf numFmtId="0" fontId="65" fillId="3" borderId="0" xfId="0" applyFont="1" applyFill="1" applyAlignment="1" applyProtection="1">
      <alignment vertical="center"/>
      <protection locked="0"/>
    </xf>
    <xf numFmtId="0" fontId="62" fillId="6" borderId="23" xfId="1" applyFont="1" applyFill="1" applyBorder="1" applyAlignment="1" applyProtection="1">
      <alignment horizontal="left"/>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62" fillId="6" borderId="1" xfId="1" applyFont="1" applyFill="1" applyBorder="1" applyAlignment="1" applyProtection="1">
      <alignment horizontal="center"/>
    </xf>
    <xf numFmtId="0" fontId="62" fillId="6" borderId="24" xfId="1" applyFont="1" applyFill="1" applyBorder="1" applyAlignment="1" applyProtection="1">
      <alignment horizontal="left"/>
    </xf>
    <xf numFmtId="0" fontId="62" fillId="3" borderId="0" xfId="0" applyFont="1" applyFill="1" applyAlignment="1" applyProtection="1">
      <alignment vertical="center"/>
      <protection locked="0"/>
    </xf>
    <xf numFmtId="0" fontId="61" fillId="6" borderId="5" xfId="1" applyFont="1" applyFill="1" applyBorder="1" applyAlignment="1" applyProtection="1"/>
    <xf numFmtId="177" fontId="61" fillId="0" borderId="1" xfId="1" applyNumberFormat="1" applyFont="1" applyFill="1" applyBorder="1" applyAlignment="1" applyProtection="1">
      <alignment horizontal="center"/>
      <protection locked="0"/>
    </xf>
    <xf numFmtId="179" fontId="61" fillId="6" borderId="1" xfId="1" applyNumberFormat="1" applyFont="1" applyFill="1" applyBorder="1" applyAlignment="1" applyProtection="1">
      <alignment horizontal="center"/>
    </xf>
    <xf numFmtId="0" fontId="61" fillId="6" borderId="1" xfId="1" applyFont="1" applyFill="1" applyBorder="1" applyAlignment="1" applyProtection="1">
      <alignment horizontal="center"/>
    </xf>
    <xf numFmtId="0" fontId="61" fillId="6" borderId="24" xfId="1" applyFont="1" applyFill="1" applyBorder="1" applyAlignment="1" applyProtection="1">
      <alignment horizontal="left"/>
    </xf>
    <xf numFmtId="177" fontId="61" fillId="6" borderId="1" xfId="1" applyNumberFormat="1" applyFont="1" applyFill="1" applyBorder="1" applyAlignment="1" applyProtection="1">
      <alignment horizontal="center"/>
    </xf>
    <xf numFmtId="10" fontId="61" fillId="6" borderId="1" xfId="1" applyNumberFormat="1" applyFont="1" applyFill="1" applyBorder="1" applyAlignment="1" applyProtection="1">
      <alignment horizontal="center"/>
    </xf>
    <xf numFmtId="177" fontId="61" fillId="6" borderId="1" xfId="1" applyNumberFormat="1" applyFont="1" applyFill="1" applyBorder="1" applyAlignment="1" applyProtection="1"/>
    <xf numFmtId="0" fontId="62" fillId="0" borderId="0" xfId="0" applyFont="1" applyFill="1" applyAlignment="1" applyProtection="1">
      <alignment vertical="center"/>
      <protection locked="0"/>
    </xf>
    <xf numFmtId="0" fontId="67" fillId="6" borderId="5" xfId="1" applyFont="1" applyFill="1" applyBorder="1" applyAlignment="1" applyProtection="1"/>
    <xf numFmtId="177" fontId="67" fillId="6" borderId="1" xfId="1" applyNumberFormat="1" applyFont="1" applyFill="1" applyBorder="1" applyAlignment="1" applyProtection="1">
      <alignment horizontal="center"/>
    </xf>
    <xf numFmtId="0" fontId="61" fillId="6" borderId="24" xfId="1" applyFont="1" applyFill="1" applyBorder="1" applyAlignment="1" applyProtection="1">
      <alignment vertical="center" wrapText="1"/>
    </xf>
    <xf numFmtId="0" fontId="61" fillId="6" borderId="23" xfId="1" applyFont="1" applyFill="1" applyBorder="1" applyAlignment="1" applyProtection="1">
      <alignment horizontal="left"/>
    </xf>
    <xf numFmtId="0" fontId="61" fillId="6" borderId="0" xfId="1" applyFont="1" applyFill="1" applyBorder="1" applyAlignment="1" applyProtection="1">
      <alignment horizontal="center"/>
    </xf>
    <xf numFmtId="0" fontId="61" fillId="6" borderId="1" xfId="0" applyFont="1" applyFill="1" applyBorder="1" applyProtection="1">
      <alignment vertical="center"/>
    </xf>
    <xf numFmtId="179" fontId="62" fillId="6" borderId="1" xfId="1" applyNumberFormat="1" applyFont="1" applyFill="1" applyBorder="1" applyAlignment="1" applyProtection="1">
      <alignment horizontal="center"/>
    </xf>
    <xf numFmtId="9" fontId="62" fillId="6" borderId="5" xfId="1" applyNumberFormat="1" applyFont="1" applyFill="1" applyBorder="1" applyAlignment="1" applyProtection="1">
      <alignment horizontal="center"/>
    </xf>
    <xf numFmtId="0" fontId="62" fillId="6" borderId="1" xfId="0" applyFont="1" applyFill="1" applyBorder="1" applyAlignment="1" applyProtection="1">
      <alignment horizontal="center" vertical="center"/>
    </xf>
    <xf numFmtId="10" fontId="62" fillId="6" borderId="5" xfId="1" applyNumberFormat="1" applyFont="1" applyFill="1" applyBorder="1" applyAlignment="1" applyProtection="1">
      <alignment horizontal="center"/>
    </xf>
    <xf numFmtId="0" fontId="62" fillId="6" borderId="24" xfId="0" applyFont="1" applyFill="1" applyBorder="1" applyAlignment="1" applyProtection="1">
      <alignment vertical="center"/>
    </xf>
    <xf numFmtId="0" fontId="62" fillId="6" borderId="1" xfId="0" applyFont="1" applyFill="1" applyBorder="1" applyAlignment="1" applyProtection="1">
      <alignment horizontal="right" vertical="center"/>
    </xf>
    <xf numFmtId="0" fontId="62" fillId="6" borderId="1" xfId="0" applyFont="1" applyFill="1" applyBorder="1" applyAlignment="1" applyProtection="1">
      <alignment horizontal="left" vertical="center"/>
    </xf>
    <xf numFmtId="10" fontId="62" fillId="6" borderId="5" xfId="1" applyNumberFormat="1" applyFont="1" applyFill="1" applyBorder="1" applyAlignment="1" applyProtection="1">
      <alignment horizontal="center" vertical="center"/>
    </xf>
    <xf numFmtId="0" fontId="61" fillId="6" borderId="1" xfId="0" applyFont="1" applyFill="1" applyBorder="1" applyAlignment="1" applyProtection="1">
      <alignment horizontal="center" vertical="center"/>
    </xf>
    <xf numFmtId="179" fontId="61" fillId="6" borderId="5" xfId="1" applyNumberFormat="1" applyFont="1" applyFill="1" applyBorder="1" applyAlignment="1" applyProtection="1">
      <alignment horizontal="center" vertical="center"/>
    </xf>
    <xf numFmtId="0" fontId="61" fillId="6" borderId="24" xfId="0" applyFont="1" applyFill="1" applyBorder="1" applyAlignment="1" applyProtection="1">
      <alignment vertical="center"/>
    </xf>
    <xf numFmtId="0" fontId="62" fillId="6" borderId="1" xfId="0" applyFont="1" applyFill="1" applyBorder="1" applyAlignment="1" applyProtection="1">
      <alignment vertical="center"/>
    </xf>
    <xf numFmtId="0" fontId="61" fillId="6" borderId="61" xfId="0" applyFont="1" applyFill="1" applyBorder="1" applyAlignment="1" applyProtection="1">
      <alignment vertical="center" wrapText="1"/>
    </xf>
    <xf numFmtId="0" fontId="61" fillId="6" borderId="8" xfId="0" applyFont="1" applyFill="1" applyBorder="1" applyAlignment="1" applyProtection="1">
      <alignment vertical="center"/>
    </xf>
    <xf numFmtId="0" fontId="62" fillId="6" borderId="5" xfId="1" applyFont="1" applyFill="1" applyBorder="1" applyAlignment="1" applyProtection="1">
      <alignment vertical="center"/>
    </xf>
    <xf numFmtId="177" fontId="62" fillId="6" borderId="1" xfId="1" applyNumberFormat="1" applyFont="1" applyFill="1" applyBorder="1" applyAlignment="1" applyProtection="1">
      <alignment horizontal="center" vertical="center"/>
    </xf>
    <xf numFmtId="9" fontId="62" fillId="6" borderId="5" xfId="1" applyNumberFormat="1" applyFont="1" applyFill="1" applyBorder="1" applyAlignment="1" applyProtection="1">
      <alignment horizontal="center" vertical="center"/>
    </xf>
    <xf numFmtId="0" fontId="62" fillId="6" borderId="24" xfId="0" applyFont="1" applyFill="1" applyBorder="1" applyAlignment="1" applyProtection="1">
      <alignment vertical="center" wrapText="1"/>
    </xf>
    <xf numFmtId="0" fontId="61" fillId="6" borderId="5" xfId="1" applyFont="1" applyFill="1" applyBorder="1" applyAlignment="1" applyProtection="1">
      <alignment horizontal="left"/>
    </xf>
    <xf numFmtId="177" fontId="61" fillId="6" borderId="1" xfId="1" applyNumberFormat="1" applyFont="1" applyFill="1" applyBorder="1" applyAlignment="1" applyProtection="1">
      <alignment horizontal="center" vertical="center"/>
    </xf>
    <xf numFmtId="9" fontId="62" fillId="6" borderId="1" xfId="1" applyNumberFormat="1" applyFont="1" applyFill="1" applyBorder="1" applyAlignment="1" applyProtection="1">
      <alignment horizontal="center"/>
    </xf>
    <xf numFmtId="0" fontId="61" fillId="3" borderId="0" xfId="0" applyFont="1" applyFill="1" applyAlignment="1" applyProtection="1">
      <alignment vertical="center"/>
      <protection locked="0"/>
    </xf>
    <xf numFmtId="49" fontId="65" fillId="6" borderId="37" xfId="1" applyNumberFormat="1" applyFont="1" applyFill="1" applyBorder="1" applyAlignment="1" applyProtection="1"/>
    <xf numFmtId="49" fontId="65" fillId="6" borderId="54" xfId="1" applyNumberFormat="1" applyFont="1" applyFill="1" applyBorder="1" applyAlignment="1" applyProtection="1"/>
    <xf numFmtId="49" fontId="65" fillId="6" borderId="48" xfId="1" applyNumberFormat="1" applyFont="1" applyFill="1" applyBorder="1" applyAlignment="1" applyProtection="1"/>
    <xf numFmtId="49" fontId="62" fillId="6" borderId="23" xfId="1" applyNumberFormat="1" applyFont="1" applyFill="1" applyBorder="1" applyAlignment="1" applyProtection="1">
      <alignment horizontal="left"/>
    </xf>
    <xf numFmtId="177" fontId="62" fillId="6" borderId="1" xfId="0" applyNumberFormat="1" applyFont="1" applyFill="1" applyBorder="1" applyAlignment="1" applyProtection="1">
      <alignment horizontal="center" vertical="center"/>
    </xf>
    <xf numFmtId="181" fontId="62" fillId="6" borderId="5" xfId="1" applyNumberFormat="1" applyFont="1" applyFill="1" applyBorder="1" applyAlignment="1" applyProtection="1">
      <alignment horizontal="center"/>
    </xf>
    <xf numFmtId="0" fontId="61" fillId="0" borderId="0" xfId="0" applyFont="1" applyFill="1" applyAlignment="1" applyProtection="1">
      <alignment vertical="center"/>
      <protection locked="0"/>
    </xf>
    <xf numFmtId="10" fontId="61" fillId="6" borderId="5" xfId="1" applyNumberFormat="1" applyFont="1" applyFill="1" applyBorder="1" applyAlignment="1" applyProtection="1">
      <alignment horizontal="center"/>
    </xf>
    <xf numFmtId="0" fontId="61" fillId="6" borderId="24" xfId="0" applyFont="1" applyFill="1" applyBorder="1" applyAlignment="1" applyProtection="1">
      <alignment vertical="center" wrapText="1"/>
    </xf>
    <xf numFmtId="0" fontId="61" fillId="6" borderId="24" xfId="1" applyFont="1" applyFill="1" applyBorder="1" applyAlignment="1" applyProtection="1">
      <alignment horizontal="left" vertical="center"/>
    </xf>
    <xf numFmtId="10" fontId="62" fillId="6" borderId="1" xfId="0" applyNumberFormat="1" applyFont="1" applyFill="1" applyBorder="1" applyAlignment="1" applyProtection="1">
      <alignment horizontal="right" vertical="center"/>
    </xf>
    <xf numFmtId="185" fontId="62" fillId="6" borderId="1" xfId="0" applyNumberFormat="1" applyFont="1" applyFill="1" applyBorder="1" applyAlignment="1" applyProtection="1">
      <alignment horizontal="right" vertical="center"/>
    </xf>
    <xf numFmtId="10" fontId="62" fillId="6" borderId="1" xfId="1" applyNumberFormat="1" applyFont="1" applyFill="1" applyBorder="1" applyAlignment="1" applyProtection="1">
      <alignment horizontal="center" vertical="center"/>
    </xf>
    <xf numFmtId="49" fontId="65" fillId="6" borderId="38" xfId="1" applyNumberFormat="1" applyFont="1" applyFill="1" applyBorder="1" applyAlignment="1" applyProtection="1"/>
    <xf numFmtId="49" fontId="65" fillId="6" borderId="52" xfId="1" applyNumberFormat="1" applyFont="1" applyFill="1" applyBorder="1" applyAlignment="1" applyProtection="1"/>
    <xf numFmtId="177" fontId="62" fillId="6" borderId="32" xfId="0" applyNumberFormat="1" applyFont="1" applyFill="1" applyBorder="1" applyAlignment="1" applyProtection="1">
      <alignment horizontal="center" vertical="center"/>
    </xf>
    <xf numFmtId="49" fontId="65" fillId="6" borderId="68" xfId="1" applyNumberFormat="1" applyFont="1" applyFill="1" applyBorder="1" applyAlignment="1" applyProtection="1"/>
    <xf numFmtId="0" fontId="61" fillId="3" borderId="0" xfId="0" applyFont="1" applyFill="1" applyAlignment="1" applyProtection="1">
      <alignment horizontal="left" vertical="center"/>
      <protection locked="0"/>
    </xf>
    <xf numFmtId="0" fontId="68" fillId="6" borderId="1" xfId="0" applyFont="1" applyFill="1" applyBorder="1" applyAlignment="1" applyProtection="1">
      <alignment horizontal="left"/>
    </xf>
    <xf numFmtId="0" fontId="66" fillId="6" borderId="1" xfId="0" applyFont="1" applyFill="1" applyBorder="1" applyAlignment="1" applyProtection="1">
      <alignment horizontal="center" vertical="center"/>
    </xf>
    <xf numFmtId="0" fontId="61" fillId="3" borderId="0" xfId="0" applyFont="1" applyFill="1" applyAlignment="1" applyProtection="1">
      <alignment horizontal="center" vertical="center"/>
      <protection locked="0"/>
    </xf>
    <xf numFmtId="0" fontId="55" fillId="6" borderId="1" xfId="0" applyFont="1" applyFill="1" applyBorder="1" applyAlignment="1" applyProtection="1"/>
    <xf numFmtId="181" fontId="61" fillId="6" borderId="1" xfId="0" applyNumberFormat="1" applyFont="1" applyFill="1" applyBorder="1" applyAlignment="1" applyProtection="1">
      <alignment horizontal="center"/>
    </xf>
    <xf numFmtId="181" fontId="55" fillId="6" borderId="1" xfId="0" applyNumberFormat="1" applyFont="1" applyFill="1" applyBorder="1" applyAlignment="1" applyProtection="1">
      <alignment horizontal="center"/>
    </xf>
    <xf numFmtId="0" fontId="53" fillId="6" borderId="0" xfId="1" applyFont="1" applyFill="1" applyBorder="1" applyAlignment="1" applyProtection="1">
      <alignment vertical="center"/>
    </xf>
    <xf numFmtId="176" fontId="110" fillId="6" borderId="1" xfId="0" applyNumberFormat="1" applyFont="1" applyFill="1" applyBorder="1" applyAlignment="1" applyProtection="1">
      <alignment horizontal="center" vertical="center"/>
    </xf>
    <xf numFmtId="176" fontId="110" fillId="6" borderId="24" xfId="0" applyNumberFormat="1" applyFont="1" applyFill="1" applyBorder="1" applyAlignment="1" applyProtection="1">
      <alignment horizontal="center" vertical="center"/>
    </xf>
    <xf numFmtId="177" fontId="55"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77" fontId="54" fillId="6" borderId="54" xfId="1" applyNumberFormat="1" applyFont="1" applyFill="1" applyBorder="1" applyAlignment="1" applyProtection="1">
      <alignment vertical="center"/>
    </xf>
    <xf numFmtId="10" fontId="54" fillId="6" borderId="13" xfId="0" applyNumberFormat="1" applyFont="1" applyFill="1" applyBorder="1" applyAlignment="1" applyProtection="1">
      <alignment horizontal="center" vertical="center"/>
    </xf>
    <xf numFmtId="187" fontId="55" fillId="6" borderId="1" xfId="0" applyNumberFormat="1" applyFont="1" applyFill="1" applyBorder="1" applyAlignment="1" applyProtection="1">
      <alignment horizontal="center" vertical="center"/>
    </xf>
    <xf numFmtId="177" fontId="55" fillId="6" borderId="54" xfId="1" applyNumberFormat="1" applyFont="1" applyFill="1" applyBorder="1" applyAlignment="1" applyProtection="1">
      <alignment vertical="center"/>
    </xf>
    <xf numFmtId="10" fontId="55" fillId="6" borderId="13" xfId="0" applyNumberFormat="1" applyFont="1" applyFill="1" applyBorder="1" applyAlignment="1" applyProtection="1">
      <alignment horizontal="center" vertical="center"/>
    </xf>
    <xf numFmtId="177" fontId="54" fillId="6" borderId="3"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0" fontId="57" fillId="3" borderId="0" xfId="0" applyFont="1" applyFill="1" applyAlignment="1" applyProtection="1">
      <alignment vertical="center" wrapText="1"/>
      <protection locked="0"/>
    </xf>
    <xf numFmtId="10" fontId="55" fillId="6" borderId="1" xfId="0" applyNumberFormat="1" applyFont="1" applyFill="1" applyBorder="1" applyAlignment="1" applyProtection="1">
      <alignment horizontal="center" vertical="center" wrapText="1"/>
    </xf>
    <xf numFmtId="0" fontId="56" fillId="3" borderId="0" xfId="0" applyFont="1" applyFill="1" applyAlignment="1" applyProtection="1">
      <alignment vertical="center" wrapText="1"/>
      <protection locked="0"/>
    </xf>
    <xf numFmtId="177" fontId="55" fillId="6" borderId="1" xfId="0" applyNumberFormat="1" applyFont="1" applyFill="1" applyBorder="1" applyAlignment="1" applyProtection="1">
      <alignment horizontal="center" vertical="center" wrapText="1"/>
    </xf>
    <xf numFmtId="0" fontId="71" fillId="0" borderId="0" xfId="0" applyFont="1" applyFill="1" applyAlignment="1" applyProtection="1">
      <alignment vertical="center"/>
      <protection locked="0"/>
    </xf>
    <xf numFmtId="0" fontId="53" fillId="6" borderId="1" xfId="0" applyFont="1" applyFill="1" applyBorder="1" applyAlignment="1" applyProtection="1">
      <alignment horizontal="center" vertical="center"/>
    </xf>
    <xf numFmtId="49" fontId="70" fillId="6" borderId="0" xfId="0" applyNumberFormat="1" applyFont="1" applyFill="1" applyBorder="1" applyAlignment="1" applyProtection="1">
      <alignment horizontal="center"/>
    </xf>
    <xf numFmtId="49" fontId="55" fillId="6" borderId="6"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28" xfId="0" applyFont="1" applyFill="1" applyBorder="1" applyAlignment="1" applyProtection="1">
      <alignment horizontal="right" vertical="center"/>
    </xf>
    <xf numFmtId="0" fontId="55" fillId="6" borderId="21" xfId="0" applyFont="1" applyFill="1" applyBorder="1" applyAlignment="1" applyProtection="1">
      <alignment horizontal="center" vertical="center"/>
    </xf>
    <xf numFmtId="49" fontId="60" fillId="6" borderId="11" xfId="0" applyNumberFormat="1" applyFont="1" applyFill="1" applyBorder="1" applyAlignment="1" applyProtection="1">
      <alignment vertical="center"/>
    </xf>
    <xf numFmtId="0" fontId="60" fillId="6" borderId="13" xfId="0" applyFont="1" applyFill="1" applyBorder="1" applyAlignment="1" applyProtection="1">
      <alignment vertical="center" wrapText="1"/>
    </xf>
    <xf numFmtId="0" fontId="60" fillId="6" borderId="13" xfId="0" applyFont="1" applyFill="1" applyBorder="1" applyAlignment="1" applyProtection="1">
      <alignment horizontal="center" vertical="center"/>
    </xf>
    <xf numFmtId="0" fontId="55" fillId="6" borderId="1" xfId="0" applyFont="1" applyFill="1" applyBorder="1" applyAlignment="1" applyProtection="1">
      <alignment horizontal="left" vertical="center"/>
    </xf>
    <xf numFmtId="0" fontId="60" fillId="6" borderId="24" xfId="0" applyFont="1" applyFill="1" applyBorder="1" applyAlignment="1" applyProtection="1">
      <alignment horizontal="center" vertical="center"/>
    </xf>
    <xf numFmtId="49" fontId="60" fillId="6" borderId="14" xfId="0" applyNumberFormat="1" applyFont="1" applyFill="1" applyBorder="1" applyAlignment="1" applyProtection="1">
      <alignment vertical="center"/>
    </xf>
    <xf numFmtId="0" fontId="60" fillId="6" borderId="15" xfId="0" applyFont="1" applyFill="1" applyBorder="1" applyAlignment="1" applyProtection="1">
      <alignment vertical="center" wrapText="1"/>
    </xf>
    <xf numFmtId="0" fontId="60" fillId="6" borderId="15" xfId="0" applyFont="1" applyFill="1" applyBorder="1" applyAlignment="1" applyProtection="1">
      <alignment horizontal="center" vertical="center"/>
    </xf>
    <xf numFmtId="0" fontId="55" fillId="6" borderId="15" xfId="0" applyFont="1" applyFill="1" applyBorder="1" applyAlignment="1" applyProtection="1">
      <alignment vertical="center"/>
    </xf>
    <xf numFmtId="49" fontId="60" fillId="6" borderId="41" xfId="0" applyNumberFormat="1" applyFont="1" applyFill="1" applyBorder="1" applyAlignment="1" applyProtection="1">
      <alignment vertical="center"/>
    </xf>
    <xf numFmtId="0" fontId="60" fillId="6" borderId="2" xfId="0" applyFont="1" applyFill="1" applyBorder="1" applyAlignment="1" applyProtection="1">
      <alignment vertical="center" wrapText="1"/>
    </xf>
    <xf numFmtId="0" fontId="60" fillId="6" borderId="2" xfId="0" applyFont="1" applyFill="1" applyBorder="1" applyAlignment="1" applyProtection="1">
      <alignment horizontal="center" vertical="center"/>
    </xf>
    <xf numFmtId="0" fontId="55" fillId="6" borderId="2" xfId="0" applyFont="1" applyFill="1" applyBorder="1" applyAlignment="1" applyProtection="1">
      <alignment vertical="center"/>
    </xf>
    <xf numFmtId="181" fontId="60" fillId="6" borderId="24" xfId="0" applyNumberFormat="1" applyFont="1" applyFill="1" applyBorder="1" applyAlignment="1" applyProtection="1">
      <alignment horizontal="center" vertical="center"/>
    </xf>
    <xf numFmtId="0" fontId="55" fillId="6" borderId="13" xfId="0" applyFont="1" applyFill="1" applyBorder="1" applyAlignment="1" applyProtection="1">
      <alignment horizontal="left" vertical="center"/>
    </xf>
    <xf numFmtId="181" fontId="60" fillId="6" borderId="61" xfId="0" applyNumberFormat="1" applyFont="1" applyFill="1" applyBorder="1" applyAlignment="1" applyProtection="1">
      <alignment horizontal="center" vertical="center"/>
    </xf>
    <xf numFmtId="49" fontId="60" fillId="6" borderId="23" xfId="0" applyNumberFormat="1" applyFont="1" applyFill="1" applyBorder="1" applyAlignment="1" applyProtection="1">
      <alignment horizontal="left" vertical="center"/>
    </xf>
    <xf numFmtId="0" fontId="60" fillId="6" borderId="1" xfId="0" applyFont="1" applyFill="1" applyBorder="1" applyAlignment="1" applyProtection="1">
      <alignment horizontal="center" vertical="center"/>
    </xf>
    <xf numFmtId="181" fontId="55" fillId="6" borderId="61" xfId="0" applyNumberFormat="1" applyFont="1" applyFill="1" applyBorder="1" applyAlignment="1" applyProtection="1">
      <alignment horizontal="center" vertical="center"/>
    </xf>
    <xf numFmtId="0" fontId="110" fillId="6" borderId="5" xfId="0" applyFont="1" applyFill="1" applyBorder="1" applyAlignment="1" applyProtection="1">
      <alignment horizontal="center" vertical="center"/>
    </xf>
    <xf numFmtId="179" fontId="60" fillId="6" borderId="48"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xf>
    <xf numFmtId="181" fontId="55" fillId="6" borderId="8" xfId="0" applyNumberFormat="1" applyFont="1" applyFill="1" applyBorder="1" applyAlignment="1" applyProtection="1">
      <alignment horizontal="center" vertical="center"/>
    </xf>
    <xf numFmtId="181" fontId="55" fillId="6" borderId="24" xfId="0" applyNumberFormat="1"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wrapText="1"/>
    </xf>
    <xf numFmtId="0" fontId="55" fillId="6" borderId="1"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24" xfId="0" applyFont="1" applyFill="1" applyBorder="1" applyAlignment="1" applyProtection="1">
      <alignment horizontal="center"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horizontal="left" vertical="center" wrapText="1"/>
    </xf>
    <xf numFmtId="10" fontId="60" fillId="6" borderId="24" xfId="0" applyNumberFormat="1" applyFont="1" applyFill="1" applyBorder="1" applyAlignment="1" applyProtection="1">
      <alignment horizontal="center" vertical="center"/>
    </xf>
    <xf numFmtId="0" fontId="55" fillId="6" borderId="1" xfId="0" applyFont="1" applyFill="1" applyBorder="1" applyAlignment="1" applyProtection="1">
      <alignment vertical="center"/>
    </xf>
    <xf numFmtId="183" fontId="60" fillId="6" borderId="24" xfId="0" applyNumberFormat="1" applyFont="1" applyFill="1" applyBorder="1" applyAlignment="1" applyProtection="1">
      <alignment horizontal="center" vertical="center"/>
    </xf>
    <xf numFmtId="10" fontId="55" fillId="6" borderId="24" xfId="0" applyNumberFormat="1" applyFont="1" applyFill="1" applyBorder="1" applyAlignment="1" applyProtection="1">
      <alignment horizontal="center" vertical="center"/>
    </xf>
    <xf numFmtId="0" fontId="55" fillId="6" borderId="15" xfId="0" applyFont="1" applyFill="1" applyBorder="1" applyAlignment="1" applyProtection="1">
      <alignment horizontal="left" vertical="center" wrapText="1"/>
    </xf>
    <xf numFmtId="179" fontId="60" fillId="6" borderId="24"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60" fillId="6" borderId="32" xfId="0" applyFont="1" applyFill="1" applyBorder="1" applyAlignment="1" applyProtection="1">
      <alignment horizontal="left" vertical="center"/>
    </xf>
    <xf numFmtId="0" fontId="60" fillId="6" borderId="32" xfId="0" applyFont="1" applyFill="1" applyBorder="1" applyAlignment="1" applyProtection="1">
      <alignment horizontal="center" vertical="center"/>
    </xf>
    <xf numFmtId="0" fontId="55" fillId="6" borderId="32" xfId="0" applyFont="1" applyFill="1" applyBorder="1" applyAlignment="1" applyProtection="1">
      <alignment vertical="center"/>
    </xf>
    <xf numFmtId="0" fontId="55" fillId="6" borderId="32" xfId="0" applyFont="1" applyFill="1" applyBorder="1" applyAlignment="1" applyProtection="1">
      <alignment horizontal="left" vertical="center"/>
    </xf>
    <xf numFmtId="179" fontId="60" fillId="6" borderId="49" xfId="0" applyNumberFormat="1" applyFont="1" applyFill="1" applyBorder="1" applyAlignment="1" applyProtection="1">
      <alignment horizontal="center" vertical="center"/>
    </xf>
    <xf numFmtId="0" fontId="61" fillId="6" borderId="1" xfId="0" applyFont="1" applyFill="1" applyBorder="1" applyAlignment="1" applyProtection="1">
      <alignment horizontal="left"/>
    </xf>
    <xf numFmtId="186" fontId="61" fillId="6" borderId="1" xfId="0" applyNumberFormat="1" applyFont="1" applyFill="1" applyBorder="1" applyAlignment="1" applyProtection="1">
      <alignment horizontal="center"/>
    </xf>
    <xf numFmtId="0" fontId="61" fillId="6" borderId="1" xfId="0" applyFont="1" applyFill="1" applyBorder="1" applyAlignment="1" applyProtection="1">
      <alignment vertical="center" wrapText="1"/>
    </xf>
    <xf numFmtId="181" fontId="60"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left"/>
    </xf>
    <xf numFmtId="0" fontId="113" fillId="6" borderId="1" xfId="0" applyFont="1" applyFill="1" applyBorder="1" applyAlignment="1" applyProtection="1">
      <alignment horizontal="center"/>
    </xf>
    <xf numFmtId="0" fontId="68" fillId="6" borderId="1" xfId="0" applyFont="1" applyFill="1" applyBorder="1" applyAlignment="1" applyProtection="1">
      <alignment horizontal="center"/>
    </xf>
    <xf numFmtId="0" fontId="66" fillId="0" borderId="0" xfId="0" applyFont="1" applyFill="1" applyAlignment="1" applyProtection="1">
      <alignment horizontal="center" vertical="center"/>
      <protection locked="0"/>
    </xf>
    <xf numFmtId="0" fontId="112" fillId="6" borderId="46" xfId="0" applyFont="1" applyFill="1" applyBorder="1" applyAlignment="1" applyProtection="1">
      <alignment vertical="center"/>
    </xf>
    <xf numFmtId="0" fontId="70" fillId="6" borderId="36" xfId="0" applyFont="1" applyFill="1" applyBorder="1" applyAlignment="1" applyProtection="1">
      <alignment horizontal="right" vertical="center"/>
    </xf>
    <xf numFmtId="0" fontId="70" fillId="6" borderId="0" xfId="0" applyFont="1" applyFill="1" applyAlignment="1" applyProtection="1">
      <alignment horizontal="center" vertical="center"/>
    </xf>
    <xf numFmtId="0" fontId="71" fillId="0" borderId="0"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65" fillId="6" borderId="13" xfId="0" applyFont="1" applyFill="1" applyBorder="1" applyAlignment="1" applyProtection="1">
      <alignment horizontal="right" vertical="center"/>
    </xf>
    <xf numFmtId="0" fontId="65" fillId="6" borderId="13" xfId="0" applyFont="1" applyFill="1" applyBorder="1" applyAlignment="1" applyProtection="1">
      <alignment horizontal="center" vertical="center"/>
    </xf>
    <xf numFmtId="0" fontId="58" fillId="6" borderId="16" xfId="0" applyFont="1" applyFill="1" applyBorder="1" applyAlignment="1" applyProtection="1">
      <alignment vertical="center" wrapText="1"/>
    </xf>
    <xf numFmtId="0" fontId="58" fillId="6" borderId="19" xfId="0" applyFont="1" applyFill="1" applyBorder="1" applyAlignment="1" applyProtection="1">
      <alignment vertical="center" wrapText="1"/>
    </xf>
    <xf numFmtId="0" fontId="59" fillId="0" borderId="0" xfId="0" applyFont="1" applyFill="1" applyAlignment="1" applyProtection="1">
      <alignment horizontal="center" vertical="center"/>
      <protection locked="0"/>
    </xf>
    <xf numFmtId="0" fontId="58" fillId="6" borderId="1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8" fillId="6" borderId="42"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4" fillId="6" borderId="63" xfId="0" applyFont="1" applyFill="1" applyBorder="1" applyAlignment="1" applyProtection="1">
      <alignment vertical="center" wrapText="1"/>
    </xf>
    <xf numFmtId="0" fontId="54" fillId="6" borderId="64" xfId="0" applyFont="1" applyFill="1" applyBorder="1" applyAlignment="1" applyProtection="1">
      <alignment vertical="center" wrapText="1"/>
    </xf>
    <xf numFmtId="184" fontId="52" fillId="6" borderId="26" xfId="0" applyNumberFormat="1" applyFont="1" applyFill="1" applyBorder="1" applyAlignment="1" applyProtection="1">
      <alignment horizontal="center" vertical="center" wrapText="1"/>
    </xf>
    <xf numFmtId="0" fontId="52" fillId="6" borderId="67" xfId="0" applyNumberFormat="1" applyFont="1" applyFill="1" applyBorder="1" applyAlignment="1" applyProtection="1">
      <alignment horizontal="center" vertical="center" wrapText="1"/>
    </xf>
    <xf numFmtId="184" fontId="52" fillId="0" borderId="70" xfId="0" applyNumberFormat="1" applyFont="1" applyFill="1" applyBorder="1" applyAlignment="1" applyProtection="1">
      <alignment horizontal="center" vertical="center" wrapText="1"/>
      <protection locked="0"/>
    </xf>
    <xf numFmtId="0" fontId="52" fillId="6" borderId="34" xfId="0" applyNumberFormat="1" applyFont="1" applyFill="1" applyBorder="1" applyAlignment="1" applyProtection="1">
      <alignment horizontal="center" vertical="center" wrapText="1"/>
    </xf>
    <xf numFmtId="49" fontId="52" fillId="2" borderId="26"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wrapText="1"/>
    </xf>
    <xf numFmtId="0" fontId="52" fillId="0" borderId="51" xfId="0" applyNumberFormat="1" applyFont="1" applyFill="1" applyBorder="1" applyAlignment="1" applyProtection="1">
      <alignment horizontal="center" vertical="center" wrapText="1"/>
      <protection locked="0"/>
    </xf>
    <xf numFmtId="49" fontId="52" fillId="2" borderId="30"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49" fontId="52" fillId="2" borderId="6" xfId="0" applyNumberFormat="1" applyFont="1" applyFill="1" applyBorder="1" applyAlignment="1" applyProtection="1">
      <alignment horizontal="center" vertical="center" wrapText="1"/>
      <protection locked="0"/>
    </xf>
    <xf numFmtId="0" fontId="52" fillId="0" borderId="1" xfId="0" applyFont="1" applyFill="1" applyBorder="1" applyAlignment="1" applyProtection="1">
      <alignment horizontal="center" vertical="center"/>
      <protection locked="0"/>
    </xf>
    <xf numFmtId="0" fontId="74" fillId="6" borderId="14" xfId="0" applyFont="1" applyFill="1" applyBorder="1" applyAlignment="1" applyProtection="1">
      <alignment vertical="center" wrapText="1"/>
    </xf>
    <xf numFmtId="0" fontId="52" fillId="6" borderId="5" xfId="0"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8" fillId="6" borderId="14" xfId="0" applyFont="1" applyFill="1" applyBorder="1" applyAlignment="1" applyProtection="1">
      <alignment vertical="center" wrapText="1"/>
    </xf>
    <xf numFmtId="0" fontId="52"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4" fillId="6" borderId="14" xfId="0" applyFont="1" applyFill="1" applyBorder="1" applyAlignment="1" applyProtection="1">
      <alignment vertical="center" wrapText="1"/>
    </xf>
    <xf numFmtId="0" fontId="52" fillId="0" borderId="41" xfId="0" applyNumberFormat="1" applyFont="1" applyFill="1" applyBorder="1" applyAlignment="1" applyProtection="1">
      <alignment horizontal="center" vertical="center" wrapText="1"/>
      <protection locked="0"/>
    </xf>
    <xf numFmtId="0" fontId="52" fillId="6" borderId="71" xfId="0" applyNumberFormat="1"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0" fontId="59" fillId="6" borderId="24" xfId="0" applyNumberFormat="1" applyFont="1" applyFill="1" applyBorder="1" applyAlignment="1" applyProtection="1">
      <alignment horizontal="center" vertical="center" wrapText="1"/>
    </xf>
    <xf numFmtId="0" fontId="58" fillId="6" borderId="12" xfId="0" applyFont="1" applyFill="1" applyBorder="1" applyAlignment="1" applyProtection="1">
      <alignment vertical="center" wrapText="1"/>
    </xf>
    <xf numFmtId="0" fontId="59" fillId="0" borderId="38" xfId="0" applyNumberFormat="1" applyFont="1" applyFill="1" applyBorder="1" applyAlignment="1" applyProtection="1">
      <alignment horizontal="center" vertical="center" wrapText="1"/>
      <protection locked="0"/>
    </xf>
    <xf numFmtId="0" fontId="59" fillId="6" borderId="49" xfId="0" applyNumberFormat="1" applyFont="1" applyFill="1" applyBorder="1" applyAlignment="1" applyProtection="1">
      <alignment horizontal="center" vertical="center" wrapText="1"/>
    </xf>
    <xf numFmtId="0" fontId="59" fillId="6" borderId="33" xfId="0" applyNumberFormat="1" applyFont="1" applyFill="1" applyBorder="1" applyAlignment="1" applyProtection="1">
      <alignment horizontal="center" vertical="center" wrapText="1"/>
    </xf>
    <xf numFmtId="0" fontId="58" fillId="6" borderId="40" xfId="0" applyFont="1" applyFill="1" applyBorder="1" applyAlignment="1" applyProtection="1">
      <alignment vertical="center" wrapText="1"/>
    </xf>
    <xf numFmtId="0" fontId="59" fillId="6" borderId="62" xfId="0" applyNumberFormat="1" applyFont="1" applyFill="1" applyBorder="1" applyAlignment="1" applyProtection="1">
      <alignment horizontal="center" vertical="center" wrapText="1"/>
    </xf>
    <xf numFmtId="49" fontId="59" fillId="0" borderId="39" xfId="0" applyNumberFormat="1" applyFont="1" applyFill="1" applyBorder="1" applyAlignment="1" applyProtection="1">
      <alignment horizontal="center" vertical="center" wrapText="1"/>
      <protection locked="0"/>
    </xf>
    <xf numFmtId="0" fontId="59" fillId="6" borderId="29" xfId="0" applyNumberFormat="1" applyFont="1" applyFill="1" applyBorder="1" applyAlignment="1" applyProtection="1">
      <alignment horizontal="center" vertical="center" wrapText="1"/>
    </xf>
    <xf numFmtId="49" fontId="59" fillId="0" borderId="40"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alignment horizontal="center" vertical="center"/>
    </xf>
    <xf numFmtId="0" fontId="59" fillId="2" borderId="41" xfId="0" applyNumberFormat="1" applyFont="1" applyFill="1" applyBorder="1" applyAlignment="1" applyProtection="1">
      <alignment horizontal="center" vertical="center" wrapText="1"/>
      <protection locked="0"/>
    </xf>
    <xf numFmtId="0" fontId="59" fillId="6" borderId="8" xfId="0" applyNumberFormat="1" applyFont="1" applyFill="1" applyBorder="1" applyAlignment="1" applyProtection="1">
      <alignment horizontal="center" vertical="center" wrapText="1"/>
    </xf>
    <xf numFmtId="0" fontId="59" fillId="6" borderId="4" xfId="0" applyNumberFormat="1" applyFont="1" applyFill="1" applyBorder="1" applyAlignment="1" applyProtection="1">
      <alignment horizontal="center" vertical="center" wrapText="1"/>
    </xf>
    <xf numFmtId="0" fontId="59" fillId="6" borderId="53" xfId="0" applyNumberFormat="1"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49" fontId="59" fillId="0" borderId="35" xfId="0" applyNumberFormat="1" applyFont="1" applyFill="1" applyBorder="1" applyAlignment="1" applyProtection="1">
      <alignment horizontal="center" vertical="center" wrapText="1"/>
      <protection locked="0"/>
    </xf>
    <xf numFmtId="0" fontId="59" fillId="6" borderId="58" xfId="0" applyNumberFormat="1" applyFont="1" applyFill="1" applyBorder="1" applyAlignment="1" applyProtection="1">
      <alignment horizontal="center" vertical="center" wrapText="1"/>
    </xf>
    <xf numFmtId="49" fontId="59" fillId="0" borderId="14" xfId="0" applyNumberFormat="1" applyFont="1" applyFill="1" applyBorder="1" applyAlignment="1" applyProtection="1">
      <alignment horizontal="center" vertical="center" wrapText="1"/>
      <protection locked="0"/>
    </xf>
    <xf numFmtId="0" fontId="59" fillId="6" borderId="61" xfId="0" applyNumberFormat="1"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6" borderId="46" xfId="0" applyNumberFormat="1" applyFont="1" applyFill="1" applyBorder="1" applyAlignment="1" applyProtection="1">
      <alignment horizontal="center" vertical="center" wrapText="1"/>
    </xf>
    <xf numFmtId="49" fontId="59" fillId="0" borderId="11" xfId="0" applyNumberFormat="1" applyFont="1" applyFill="1" applyBorder="1" applyAlignment="1" applyProtection="1">
      <alignment horizontal="center" vertical="center" wrapText="1"/>
      <protection locked="0"/>
    </xf>
    <xf numFmtId="0" fontId="59" fillId="2" borderId="23" xfId="0" applyNumberFormat="1" applyFont="1" applyFill="1" applyBorder="1" applyAlignment="1" applyProtection="1">
      <alignment horizontal="center" vertical="center" wrapText="1"/>
      <protection locked="0"/>
    </xf>
    <xf numFmtId="0" fontId="59" fillId="6" borderId="5" xfId="0" applyNumberFormat="1" applyFont="1" applyFill="1" applyBorder="1" applyAlignment="1" applyProtection="1">
      <alignment horizontal="center" vertical="center" wrapText="1"/>
    </xf>
    <xf numFmtId="0" fontId="52" fillId="6" borderId="8" xfId="0" applyNumberFormat="1" applyFont="1" applyFill="1" applyBorder="1" applyAlignment="1" applyProtection="1">
      <alignment horizontal="center" vertical="center" wrapText="1"/>
    </xf>
    <xf numFmtId="49" fontId="52" fillId="0" borderId="7"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49" fontId="52" fillId="0" borderId="41" xfId="0" applyNumberFormat="1" applyFont="1" applyFill="1" applyBorder="1" applyAlignment="1" applyProtection="1">
      <alignment horizontal="center" vertical="center" wrapText="1"/>
      <protection locked="0"/>
    </xf>
    <xf numFmtId="0" fontId="58" fillId="6" borderId="40" xfId="0" applyFont="1" applyFill="1" applyBorder="1" applyAlignment="1" applyProtection="1">
      <alignment vertical="center" textRotation="255" wrapText="1"/>
    </xf>
    <xf numFmtId="0" fontId="59" fillId="6" borderId="10" xfId="0" applyNumberFormat="1" applyFont="1" applyFill="1" applyBorder="1" applyAlignment="1" applyProtection="1">
      <alignment horizontal="center" vertical="center" wrapText="1"/>
    </xf>
    <xf numFmtId="0" fontId="77" fillId="6" borderId="14" xfId="0" applyFont="1" applyFill="1" applyBorder="1" applyAlignment="1" applyProtection="1">
      <alignment vertical="center" textRotation="255" wrapText="1"/>
    </xf>
    <xf numFmtId="0" fontId="52" fillId="0" borderId="37"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6" borderId="14" xfId="0" applyFont="1" applyFill="1" applyBorder="1" applyAlignment="1" applyProtection="1">
      <alignment vertical="center" textRotation="255" wrapText="1"/>
    </xf>
    <xf numFmtId="0" fontId="54" fillId="6" borderId="14" xfId="0" applyFont="1" applyFill="1" applyBorder="1" applyAlignment="1" applyProtection="1">
      <alignment vertical="center" textRotation="255" wrapText="1"/>
    </xf>
    <xf numFmtId="9" fontId="52" fillId="0" borderId="37" xfId="0" applyNumberFormat="1" applyFont="1" applyFill="1" applyBorder="1" applyAlignment="1" applyProtection="1">
      <alignment horizontal="center" vertical="center" wrapText="1"/>
      <protection locked="0"/>
    </xf>
    <xf numFmtId="9" fontId="52" fillId="0" borderId="3" xfId="0" applyNumberFormat="1" applyFont="1" applyFill="1" applyBorder="1" applyAlignment="1" applyProtection="1">
      <alignment horizontal="center" vertical="center" wrapText="1"/>
      <protection locked="0"/>
    </xf>
    <xf numFmtId="9" fontId="52" fillId="0" borderId="2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8" fillId="6" borderId="12" xfId="0" applyFont="1" applyFill="1" applyBorder="1" applyAlignment="1" applyProtection="1">
      <alignment vertical="center" textRotation="255" wrapText="1"/>
    </xf>
    <xf numFmtId="49" fontId="58" fillId="6" borderId="51" xfId="0" applyNumberFormat="1" applyFont="1" applyFill="1" applyBorder="1" applyAlignment="1" applyProtection="1">
      <alignment vertical="center"/>
    </xf>
    <xf numFmtId="49" fontId="58" fillId="6" borderId="20" xfId="0" applyNumberFormat="1" applyFont="1" applyFill="1" applyBorder="1" applyAlignment="1" applyProtection="1">
      <alignment vertical="center"/>
    </xf>
    <xf numFmtId="0" fontId="58" fillId="6" borderId="21" xfId="0" applyFont="1" applyFill="1" applyBorder="1" applyAlignment="1" applyProtection="1">
      <alignment vertical="center" wrapText="1"/>
    </xf>
    <xf numFmtId="0" fontId="78" fillId="3" borderId="20" xfId="0" applyFont="1" applyFill="1" applyBorder="1" applyAlignment="1" applyProtection="1">
      <alignment vertical="center" wrapText="1"/>
      <protection locked="0"/>
    </xf>
    <xf numFmtId="0" fontId="78" fillId="6" borderId="20" xfId="0" applyFont="1" applyFill="1" applyBorder="1" applyAlignment="1" applyProtection="1">
      <alignment vertical="center" wrapText="1"/>
    </xf>
    <xf numFmtId="0" fontId="78" fillId="3" borderId="51" xfId="0" applyFont="1" applyFill="1" applyBorder="1" applyAlignment="1" applyProtection="1">
      <alignment vertical="center" wrapText="1"/>
      <protection locked="0"/>
    </xf>
    <xf numFmtId="0" fontId="78" fillId="6" borderId="21" xfId="0" applyFont="1" applyFill="1" applyBorder="1" applyAlignment="1" applyProtection="1">
      <alignment vertical="center" wrapText="1"/>
    </xf>
    <xf numFmtId="49" fontId="58" fillId="6" borderId="38" xfId="0" applyNumberFormat="1" applyFont="1" applyFill="1" applyBorder="1" applyAlignment="1" applyProtection="1">
      <alignment vertical="center"/>
    </xf>
    <xf numFmtId="49" fontId="58" fillId="6" borderId="52" xfId="0" applyNumberFormat="1" applyFont="1" applyFill="1" applyBorder="1" applyAlignment="1" applyProtection="1">
      <alignment vertical="center"/>
    </xf>
    <xf numFmtId="186" fontId="58" fillId="6" borderId="38" xfId="0" applyNumberFormat="1" applyFont="1" applyFill="1" applyBorder="1" applyAlignment="1" applyProtection="1">
      <alignment vertical="center" wrapText="1"/>
    </xf>
    <xf numFmtId="0" fontId="58" fillId="6" borderId="68" xfId="0" applyFont="1" applyFill="1" applyBorder="1" applyAlignment="1" applyProtection="1">
      <alignment vertical="center" wrapText="1"/>
    </xf>
    <xf numFmtId="186" fontId="58" fillId="6" borderId="52" xfId="0" applyNumberFormat="1" applyFont="1" applyFill="1" applyBorder="1" applyAlignment="1" applyProtection="1">
      <alignment vertical="center" wrapText="1"/>
    </xf>
    <xf numFmtId="0" fontId="58" fillId="6" borderId="52" xfId="0" applyFont="1" applyFill="1" applyBorder="1" applyAlignment="1" applyProtection="1">
      <alignment vertical="center" wrapText="1"/>
    </xf>
    <xf numFmtId="49" fontId="58" fillId="0" borderId="42" xfId="0" applyNumberFormat="1" applyFont="1" applyFill="1" applyBorder="1" applyAlignment="1" applyProtection="1">
      <alignment vertical="center"/>
      <protection locked="0"/>
    </xf>
    <xf numFmtId="49" fontId="58" fillId="0" borderId="43" xfId="0" applyNumberFormat="1" applyFont="1" applyFill="1" applyBorder="1" applyAlignment="1" applyProtection="1">
      <alignment vertical="center"/>
      <protection locked="0"/>
    </xf>
    <xf numFmtId="186" fontId="58" fillId="6" borderId="47" xfId="0" applyNumberFormat="1" applyFont="1" applyFill="1" applyBorder="1" applyAlignment="1" applyProtection="1">
      <alignment vertical="center" wrapText="1"/>
    </xf>
    <xf numFmtId="189"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58" fillId="6" borderId="1" xfId="0" applyFont="1" applyFill="1" applyBorder="1" applyAlignment="1" applyProtection="1">
      <alignment horizontal="left" vertical="center"/>
    </xf>
    <xf numFmtId="0" fontId="58" fillId="6" borderId="1" xfId="0" applyFont="1" applyFill="1" applyBorder="1" applyAlignment="1" applyProtection="1">
      <alignment horizontal="center" vertical="center" wrapText="1"/>
    </xf>
    <xf numFmtId="181" fontId="59" fillId="6" borderId="5" xfId="0" applyNumberFormat="1" applyFont="1" applyFill="1" applyBorder="1" applyAlignment="1" applyProtection="1">
      <alignment horizontal="center" vertical="center"/>
    </xf>
    <xf numFmtId="181" fontId="59" fillId="6" borderId="3" xfId="0" applyNumberFormat="1" applyFont="1" applyFill="1" applyBorder="1" applyAlignment="1" applyProtection="1">
      <alignment vertical="center"/>
    </xf>
    <xf numFmtId="0" fontId="58" fillId="6" borderId="3" xfId="0" applyFont="1" applyFill="1" applyBorder="1" applyAlignment="1" applyProtection="1">
      <alignment horizontal="center" vertical="center" wrapText="1"/>
    </xf>
    <xf numFmtId="0" fontId="76" fillId="0" borderId="0" xfId="0" applyFont="1" applyFill="1" applyAlignment="1" applyProtection="1">
      <alignment horizontal="center" vertical="center"/>
      <protection locked="0"/>
    </xf>
    <xf numFmtId="0" fontId="59" fillId="0" borderId="0" xfId="0" applyFont="1" applyBorder="1" applyAlignment="1" applyProtection="1">
      <protection locked="0"/>
    </xf>
    <xf numFmtId="9" fontId="52" fillId="0" borderId="0"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vertical="center" wrapText="1"/>
    </xf>
    <xf numFmtId="0" fontId="54" fillId="6" borderId="39" xfId="0" applyNumberFormat="1" applyFont="1" applyFill="1" applyBorder="1" applyAlignment="1" applyProtection="1">
      <alignment vertical="center" wrapText="1"/>
    </xf>
    <xf numFmtId="49" fontId="52" fillId="0" borderId="0" xfId="0" applyNumberFormat="1" applyFont="1" applyFill="1" applyBorder="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35" xfId="0" applyNumberFormat="1" applyFont="1" applyFill="1" applyBorder="1" applyAlignment="1" applyProtection="1">
      <alignment vertical="center" wrapText="1"/>
    </xf>
    <xf numFmtId="0" fontId="52" fillId="0" borderId="22"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4" fillId="6" borderId="42" xfId="0" applyNumberFormat="1" applyFont="1" applyFill="1" applyBorder="1" applyAlignment="1" applyProtection="1">
      <alignment vertical="center"/>
    </xf>
    <xf numFmtId="0" fontId="54" fillId="6" borderId="73" xfId="0" applyNumberFormat="1" applyFont="1" applyFill="1" applyBorder="1" applyAlignment="1" applyProtection="1">
      <alignment vertical="center" wrapText="1"/>
    </xf>
    <xf numFmtId="0" fontId="52" fillId="0" borderId="73"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76"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vertical="center" wrapText="1"/>
    </xf>
    <xf numFmtId="0" fontId="52" fillId="6" borderId="7"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109" fillId="0" borderId="0" xfId="0" applyFont="1" applyFill="1" applyBorder="1" applyAlignment="1" applyProtection="1">
      <alignment vertical="center"/>
      <protection locked="0"/>
    </xf>
    <xf numFmtId="0" fontId="58" fillId="6" borderId="40" xfId="0" applyNumberFormat="1" applyFont="1" applyFill="1" applyBorder="1" applyAlignment="1" applyProtection="1">
      <alignment vertical="center" wrapText="1"/>
    </xf>
    <xf numFmtId="0" fontId="52" fillId="6" borderId="17" xfId="0" applyNumberFormat="1" applyFont="1" applyFill="1" applyBorder="1" applyAlignment="1" applyProtection="1">
      <alignment horizontal="center" vertical="center" wrapText="1"/>
    </xf>
    <xf numFmtId="0" fontId="59" fillId="6" borderId="9"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left" vertical="center" wrapText="1"/>
      <protection locked="0"/>
    </xf>
    <xf numFmtId="0" fontId="76" fillId="0" borderId="10"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vertical="center" wrapText="1"/>
    </xf>
    <xf numFmtId="0" fontId="57" fillId="6" borderId="77" xfId="0" applyNumberFormat="1" applyFont="1" applyFill="1" applyBorder="1" applyAlignment="1" applyProtection="1">
      <alignment horizontal="center" vertical="center" wrapText="1"/>
    </xf>
    <xf numFmtId="0" fontId="59" fillId="0" borderId="78" xfId="0" applyNumberFormat="1" applyFont="1" applyFill="1" applyBorder="1" applyAlignment="1" applyProtection="1">
      <alignment horizontal="center" vertical="center" wrapText="1"/>
      <protection locked="0"/>
    </xf>
    <xf numFmtId="0" fontId="59" fillId="0" borderId="79" xfId="0" applyNumberFormat="1"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9" fillId="6" borderId="44"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left" vertical="center" wrapText="1"/>
    </xf>
    <xf numFmtId="0" fontId="76" fillId="6" borderId="45" xfId="0" applyNumberFormat="1" applyFont="1" applyFill="1" applyBorder="1" applyAlignment="1" applyProtection="1">
      <alignment horizontal="center" vertical="center" wrapText="1"/>
    </xf>
    <xf numFmtId="0" fontId="52" fillId="6" borderId="77" xfId="0" applyNumberFormat="1" applyFont="1" applyFill="1" applyBorder="1" applyAlignment="1" applyProtection="1">
      <alignment horizontal="center" vertical="center" wrapText="1"/>
    </xf>
    <xf numFmtId="0" fontId="59" fillId="6" borderId="78" xfId="0" applyNumberFormat="1" applyFont="1" applyFill="1" applyBorder="1" applyAlignment="1" applyProtection="1">
      <alignment horizontal="center" vertical="center" wrapText="1"/>
    </xf>
    <xf numFmtId="0" fontId="59" fillId="6" borderId="79"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9" fillId="6" borderId="2"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24" xfId="0" applyNumberFormat="1" applyFont="1" applyFill="1" applyBorder="1" applyAlignment="1" applyProtection="1">
      <alignment horizontal="center" vertical="center" wrapText="1"/>
      <protection locked="0"/>
    </xf>
    <xf numFmtId="0" fontId="77" fillId="6" borderId="14" xfId="0" applyNumberFormat="1" applyFont="1" applyFill="1" applyBorder="1" applyAlignment="1" applyProtection="1">
      <alignment vertical="center" wrapText="1"/>
    </xf>
    <xf numFmtId="0" fontId="52" fillId="0" borderId="44"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77" fillId="6" borderId="12" xfId="0" applyNumberFormat="1" applyFont="1" applyFill="1" applyBorder="1" applyAlignment="1" applyProtection="1">
      <alignment vertical="center" wrapText="1"/>
    </xf>
    <xf numFmtId="0" fontId="52" fillId="6" borderId="74" xfId="0" applyNumberFormat="1" applyFont="1" applyFill="1" applyBorder="1" applyAlignment="1" applyProtection="1">
      <alignment horizontal="center" vertical="center" wrapText="1"/>
    </xf>
    <xf numFmtId="0" fontId="52" fillId="0" borderId="32"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52" fillId="6" borderId="9"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left" vertical="center" wrapText="1"/>
    </xf>
    <xf numFmtId="0" fontId="76" fillId="6" borderId="10" xfId="0" applyNumberFormat="1" applyFont="1" applyFill="1" applyBorder="1" applyAlignment="1" applyProtection="1">
      <alignment horizontal="center" vertical="center" wrapText="1"/>
    </xf>
    <xf numFmtId="0" fontId="52" fillId="0" borderId="0" xfId="0" applyFont="1" applyFill="1" applyBorder="1" applyAlignment="1" applyProtection="1">
      <alignment vertical="center" wrapText="1"/>
      <protection locked="0"/>
    </xf>
    <xf numFmtId="0" fontId="52" fillId="6" borderId="44"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6" borderId="78"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left" vertical="center" wrapText="1"/>
      <protection locked="0"/>
    </xf>
    <xf numFmtId="0" fontId="76" fillId="0" borderId="45"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77" fillId="6" borderId="14" xfId="0" applyNumberFormat="1" applyFont="1" applyFill="1" applyBorder="1" applyAlignment="1" applyProtection="1">
      <alignment vertical="center" textRotation="255" wrapText="1"/>
    </xf>
    <xf numFmtId="0" fontId="52"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vertical="center" textRotation="255" wrapText="1"/>
    </xf>
    <xf numFmtId="0" fontId="57" fillId="6" borderId="44"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left" vertical="center" wrapText="1"/>
    </xf>
    <xf numFmtId="0" fontId="57" fillId="6" borderId="45"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left" vertical="center" wrapText="1"/>
    </xf>
    <xf numFmtId="0" fontId="57" fillId="6" borderId="24"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186" fontId="65" fillId="6" borderId="13" xfId="0" applyNumberFormat="1" applyFont="1" applyFill="1" applyBorder="1" applyAlignment="1" applyProtection="1">
      <alignment horizontal="right" vertical="center"/>
    </xf>
    <xf numFmtId="189" fontId="52" fillId="6" borderId="3"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6" borderId="3"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6" borderId="41" xfId="0" applyNumberFormat="1" applyFont="1" applyFill="1" applyBorder="1" applyAlignment="1" applyProtection="1">
      <alignment horizontal="center" vertical="center" wrapText="1"/>
    </xf>
    <xf numFmtId="0" fontId="59" fillId="2" borderId="37" xfId="0" applyNumberFormat="1" applyFont="1" applyFill="1" applyBorder="1" applyAlignment="1" applyProtection="1">
      <alignment horizontal="center" vertical="center" wrapText="1"/>
      <protection locked="0"/>
    </xf>
    <xf numFmtId="17" fontId="57" fillId="0" borderId="37" xfId="0" applyNumberFormat="1" applyFont="1" applyFill="1" applyBorder="1" applyAlignment="1" applyProtection="1">
      <alignment horizontal="center" vertical="center" wrapText="1"/>
      <protection locked="0"/>
    </xf>
    <xf numFmtId="0" fontId="57" fillId="0" borderId="37" xfId="0" applyNumberFormat="1" applyFont="1" applyFill="1" applyBorder="1" applyAlignment="1" applyProtection="1">
      <alignment horizontal="center" vertical="center" wrapText="1"/>
      <protection locked="0"/>
    </xf>
    <xf numFmtId="189" fontId="59" fillId="3" borderId="3" xfId="0" applyNumberFormat="1" applyFont="1" applyFill="1" applyBorder="1" applyAlignment="1" applyProtection="1">
      <alignment horizontal="center" vertical="center"/>
      <protection locked="0"/>
    </xf>
    <xf numFmtId="189" fontId="59" fillId="3" borderId="3" xfId="0" applyNumberFormat="1" applyFont="1" applyFill="1" applyBorder="1" applyAlignment="1" applyProtection="1">
      <alignment horizontal="center" vertical="center" wrapText="1"/>
      <protection locked="0"/>
    </xf>
    <xf numFmtId="189" fontId="59" fillId="3" borderId="1" xfId="0" applyNumberFormat="1" applyFont="1" applyFill="1" applyBorder="1" applyAlignment="1" applyProtection="1">
      <alignment horizontal="center" vertical="center" wrapText="1"/>
      <protection locked="0"/>
    </xf>
    <xf numFmtId="0" fontId="52" fillId="6" borderId="45"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left" vertical="center" wrapText="1"/>
      <protection locked="0"/>
    </xf>
    <xf numFmtId="0" fontId="76" fillId="0" borderId="53" xfId="0" applyNumberFormat="1" applyFont="1" applyFill="1" applyBorder="1" applyAlignment="1" applyProtection="1">
      <alignment horizontal="center" vertical="center" wrapText="1"/>
      <protection locked="0"/>
    </xf>
    <xf numFmtId="0" fontId="109" fillId="0" borderId="44"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xf>
    <xf numFmtId="0" fontId="52" fillId="6" borderId="61" xfId="0" applyFont="1" applyFill="1" applyBorder="1" applyAlignment="1" applyProtection="1">
      <alignment horizontal="center" vertical="center" wrapText="1"/>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59" fillId="2" borderId="54" xfId="0" applyNumberFormat="1"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59" fillId="6" borderId="57" xfId="0" applyNumberFormat="1" applyFont="1" applyFill="1" applyBorder="1" applyAlignment="1" applyProtection="1">
      <alignment horizontal="center" vertical="center" wrapText="1"/>
    </xf>
    <xf numFmtId="0" fontId="59" fillId="0" borderId="0" xfId="0"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wrapText="1"/>
      <protection locked="0"/>
    </xf>
    <xf numFmtId="0" fontId="52" fillId="6" borderId="22"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52" fillId="6" borderId="54" xfId="0" applyFont="1" applyFill="1" applyBorder="1" applyAlignment="1" applyProtection="1">
      <alignment horizontal="center" vertical="center" wrapText="1"/>
    </xf>
    <xf numFmtId="0" fontId="58" fillId="6" borderId="80" xfId="0" applyFont="1" applyFill="1" applyBorder="1" applyAlignment="1" applyProtection="1">
      <alignment vertical="center" wrapText="1"/>
    </xf>
    <xf numFmtId="0" fontId="52" fillId="0" borderId="36" xfId="0" applyFont="1" applyFill="1" applyBorder="1" applyAlignment="1" applyProtection="1">
      <alignment horizontal="center" vertical="center" wrapText="1"/>
      <protection locked="0"/>
    </xf>
    <xf numFmtId="0" fontId="54" fillId="6" borderId="80" xfId="0" applyFont="1" applyFill="1" applyBorder="1" applyAlignment="1" applyProtection="1">
      <alignment vertical="center" wrapText="1"/>
    </xf>
    <xf numFmtId="0" fontId="58" fillId="6" borderId="81" xfId="0" applyFont="1" applyFill="1" applyBorder="1" applyAlignment="1" applyProtection="1">
      <alignment vertical="center" wrapText="1"/>
    </xf>
    <xf numFmtId="0" fontId="59" fillId="6" borderId="53" xfId="0" applyFont="1" applyFill="1" applyBorder="1" applyAlignment="1" applyProtection="1">
      <alignment horizontal="center" vertical="center"/>
    </xf>
    <xf numFmtId="0" fontId="52" fillId="0" borderId="61" xfId="0"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wrapText="1"/>
    </xf>
    <xf numFmtId="0" fontId="52"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8" fillId="6" borderId="16" xfId="0" applyFont="1" applyFill="1" applyBorder="1" applyAlignment="1" applyProtection="1">
      <alignment vertical="center" textRotation="255" wrapText="1"/>
    </xf>
    <xf numFmtId="0" fontId="77" fillId="6" borderId="18" xfId="0" applyFont="1" applyFill="1" applyBorder="1" applyAlignment="1" applyProtection="1">
      <alignment vertical="center" textRotation="255" wrapText="1"/>
    </xf>
    <xf numFmtId="0" fontId="52" fillId="6" borderId="24" xfId="0" applyFont="1" applyFill="1" applyBorder="1" applyAlignment="1" applyProtection="1">
      <alignment horizontal="center" vertical="center" wrapText="1"/>
    </xf>
    <xf numFmtId="49" fontId="52" fillId="0" borderId="37" xfId="0" applyNumberFormat="1" applyFont="1" applyFill="1" applyBorder="1" applyAlignment="1" applyProtection="1">
      <alignment horizontal="center" vertical="center" wrapText="1"/>
      <protection locked="0"/>
    </xf>
    <xf numFmtId="0" fontId="58" fillId="6" borderId="18" xfId="0" applyFont="1" applyFill="1" applyBorder="1" applyAlignment="1" applyProtection="1">
      <alignment vertical="center" textRotation="255" wrapText="1"/>
    </xf>
    <xf numFmtId="0" fontId="52" fillId="2"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58" fillId="6" borderId="42" xfId="0" applyFont="1" applyFill="1" applyBorder="1" applyAlignment="1" applyProtection="1">
      <alignment vertical="center" textRotation="255" wrapText="1"/>
    </xf>
    <xf numFmtId="0" fontId="59" fillId="6" borderId="15" xfId="0" applyNumberFormat="1" applyFont="1" applyFill="1" applyBorder="1" applyAlignment="1" applyProtection="1">
      <alignment horizontal="center" vertical="center" wrapText="1"/>
    </xf>
    <xf numFmtId="49" fontId="59" fillId="0" borderId="9" xfId="0" applyNumberFormat="1" applyFont="1" applyFill="1" applyBorder="1" applyAlignment="1" applyProtection="1">
      <alignment horizontal="center" vertical="center" wrapText="1"/>
      <protection locked="0"/>
    </xf>
    <xf numFmtId="49" fontId="76" fillId="0" borderId="9" xfId="0" applyNumberFormat="1" applyFont="1" applyFill="1" applyBorder="1" applyAlignment="1" applyProtection="1">
      <alignment horizontal="center" vertical="center" wrapText="1"/>
      <protection locked="0"/>
    </xf>
    <xf numFmtId="49" fontId="76" fillId="0" borderId="9" xfId="0" applyNumberFormat="1" applyFont="1" applyFill="1" applyBorder="1" applyAlignment="1" applyProtection="1">
      <alignment horizontal="left" vertical="center" wrapText="1"/>
      <protection locked="0"/>
    </xf>
    <xf numFmtId="49" fontId="76" fillId="0" borderId="10"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9" fillId="6" borderId="28" xfId="0" applyNumberFormat="1" applyFont="1" applyFill="1" applyBorder="1" applyAlignment="1" applyProtection="1">
      <alignment horizontal="center" vertical="center" wrapText="1"/>
    </xf>
    <xf numFmtId="0" fontId="76" fillId="6" borderId="15" xfId="0" applyNumberFormat="1" applyFont="1" applyFill="1" applyBorder="1" applyAlignment="1" applyProtection="1">
      <alignment horizontal="center" vertical="center" wrapText="1"/>
    </xf>
    <xf numFmtId="0" fontId="76" fillId="6" borderId="15" xfId="0" applyNumberFormat="1" applyFont="1" applyFill="1" applyBorder="1" applyAlignment="1" applyProtection="1">
      <alignment horizontal="left" vertical="center" wrapText="1"/>
    </xf>
    <xf numFmtId="0" fontId="76" fillId="6" borderId="53" xfId="0" applyNumberFormat="1" applyFont="1" applyFill="1" applyBorder="1" applyAlignment="1" applyProtection="1">
      <alignment horizontal="center" vertical="center" wrapText="1"/>
    </xf>
    <xf numFmtId="177" fontId="65" fillId="6" borderId="1" xfId="0" applyNumberFormat="1" applyFont="1" applyFill="1" applyBorder="1" applyAlignment="1" applyProtection="1">
      <alignment horizontal="right" vertical="center"/>
    </xf>
    <xf numFmtId="0" fontId="69" fillId="6" borderId="3"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59" fillId="0" borderId="23" xfId="0" applyNumberFormat="1" applyFont="1" applyFill="1" applyBorder="1" applyAlignment="1" applyProtection="1">
      <alignment horizontal="center" vertical="center" wrapText="1"/>
      <protection locked="0"/>
    </xf>
    <xf numFmtId="0" fontId="59" fillId="6" borderId="18" xfId="0" applyFont="1" applyFill="1" applyBorder="1" applyAlignment="1" applyProtection="1">
      <alignment horizontal="center" vertical="center"/>
    </xf>
    <xf numFmtId="0" fontId="77" fillId="6" borderId="42" xfId="0" applyFont="1" applyFill="1" applyBorder="1" applyAlignment="1" applyProtection="1">
      <alignment vertical="center" textRotation="255" wrapText="1"/>
    </xf>
    <xf numFmtId="0" fontId="59" fillId="0" borderId="13" xfId="0" applyNumberFormat="1" applyFont="1" applyFill="1" applyBorder="1" applyAlignment="1" applyProtection="1">
      <alignment horizontal="center" vertical="center" wrapText="1"/>
      <protection locked="0"/>
    </xf>
    <xf numFmtId="0" fontId="59" fillId="0" borderId="25"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79" fillId="6" borderId="3"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right" vertical="center" wrapText="1"/>
    </xf>
    <xf numFmtId="49" fontId="58" fillId="6" borderId="68" xfId="0" applyNumberFormat="1" applyFont="1" applyFill="1" applyBorder="1" applyAlignment="1" applyProtection="1">
      <alignment vertical="center"/>
    </xf>
    <xf numFmtId="14" fontId="59" fillId="6" borderId="6" xfId="0" applyNumberFormat="1" applyFont="1" applyFill="1" applyBorder="1" applyAlignment="1" applyProtection="1">
      <alignment horizontal="left" vertical="center"/>
    </xf>
    <xf numFmtId="176" fontId="59" fillId="6" borderId="9" xfId="0" applyNumberFormat="1" applyFont="1" applyFill="1" applyBorder="1" applyAlignment="1" applyProtection="1">
      <alignment horizontal="center" vertical="center"/>
    </xf>
    <xf numFmtId="0" fontId="59" fillId="6" borderId="9" xfId="0" applyFont="1" applyFill="1" applyBorder="1" applyAlignment="1" applyProtection="1">
      <alignment horizontal="center" vertical="center"/>
    </xf>
    <xf numFmtId="0" fontId="59" fillId="6" borderId="10" xfId="0" applyFont="1" applyFill="1" applyBorder="1" applyAlignment="1" applyProtection="1">
      <alignment horizontal="center" vertical="center"/>
    </xf>
    <xf numFmtId="0" fontId="61" fillId="6" borderId="23" xfId="0" applyFont="1" applyFill="1" applyBorder="1" applyAlignment="1" applyProtection="1"/>
    <xf numFmtId="186" fontId="61" fillId="6" borderId="1" xfId="1" applyNumberFormat="1" applyFont="1" applyFill="1" applyBorder="1" applyAlignment="1" applyProtection="1">
      <alignment horizontal="center"/>
    </xf>
    <xf numFmtId="0" fontId="61" fillId="6" borderId="1" xfId="0" applyFont="1" applyFill="1" applyBorder="1" applyAlignment="1" applyProtection="1">
      <alignment horizontal="center"/>
    </xf>
    <xf numFmtId="177" fontId="61" fillId="6" borderId="24" xfId="1" applyNumberFormat="1"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61" fillId="6" borderId="23" xfId="1" applyFont="1" applyFill="1" applyBorder="1" applyAlignment="1" applyProtection="1"/>
    <xf numFmtId="179" fontId="61" fillId="0" borderId="1" xfId="1" applyNumberFormat="1" applyFont="1" applyFill="1" applyBorder="1" applyAlignment="1" applyProtection="1">
      <alignment horizontal="center"/>
      <protection locked="0"/>
    </xf>
    <xf numFmtId="0" fontId="62" fillId="6" borderId="25" xfId="1" applyFont="1" applyFill="1" applyBorder="1" applyAlignment="1" applyProtection="1"/>
    <xf numFmtId="0" fontId="61" fillId="6" borderId="32" xfId="0" applyFont="1" applyFill="1" applyBorder="1" applyAlignment="1" applyProtection="1">
      <alignment horizontal="center"/>
    </xf>
    <xf numFmtId="177" fontId="62" fillId="6" borderId="49" xfId="0" applyNumberFormat="1" applyFont="1" applyFill="1" applyBorder="1" applyAlignment="1" applyProtection="1">
      <alignment horizontal="center"/>
    </xf>
    <xf numFmtId="0" fontId="52" fillId="6" borderId="44" xfId="0" applyNumberFormat="1" applyFont="1" applyFill="1" applyBorder="1" applyAlignment="1" applyProtection="1">
      <alignment horizontal="left" vertical="center" wrapText="1"/>
    </xf>
    <xf numFmtId="0" fontId="59" fillId="0" borderId="61" xfId="0" applyNumberFormat="1" applyFont="1" applyFill="1" applyBorder="1" applyAlignment="1" applyProtection="1">
      <alignment horizontal="center" vertical="center" wrapText="1"/>
      <protection locked="0"/>
    </xf>
    <xf numFmtId="0" fontId="57" fillId="6" borderId="74" xfId="0" applyNumberFormat="1" applyFont="1" applyFill="1" applyBorder="1" applyAlignment="1" applyProtection="1">
      <alignment horizontal="center" vertical="center" wrapText="1"/>
    </xf>
    <xf numFmtId="0" fontId="59" fillId="0" borderId="66" xfId="0" applyNumberFormat="1" applyFont="1" applyFill="1" applyBorder="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6" borderId="16"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6" borderId="3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5" fillId="6" borderId="18" xfId="0" applyNumberFormat="1" applyFont="1" applyFill="1" applyBorder="1" applyAlignment="1" applyProtection="1">
      <alignment horizontal="center" vertical="center"/>
    </xf>
    <xf numFmtId="0" fontId="55" fillId="0" borderId="23"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6" fillId="6" borderId="59"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5" fillId="0" borderId="56" xfId="0" applyNumberFormat="1" applyFont="1" applyFill="1" applyBorder="1" applyAlignment="1" applyProtection="1">
      <alignment horizontal="center" vertical="center" wrapText="1"/>
      <protection locked="0"/>
    </xf>
    <xf numFmtId="0" fontId="61" fillId="6" borderId="25" xfId="0" applyNumberFormat="1" applyFont="1" applyFill="1" applyBorder="1" applyAlignment="1" applyProtection="1">
      <alignment horizontal="center" vertical="center" wrapText="1"/>
    </xf>
    <xf numFmtId="0" fontId="53" fillId="6" borderId="1" xfId="0" applyFont="1" applyFill="1" applyBorder="1" applyProtection="1">
      <alignment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xf>
    <xf numFmtId="0" fontId="68" fillId="2" borderId="1"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68" fillId="0" borderId="0" xfId="0" applyFont="1" applyProtection="1">
      <alignment vertical="center"/>
      <protection locked="0"/>
    </xf>
    <xf numFmtId="0" fontId="52" fillId="6" borderId="23" xfId="0" applyFont="1" applyFill="1" applyBorder="1" applyAlignment="1" applyProtection="1">
      <alignment vertical="center"/>
    </xf>
    <xf numFmtId="0" fontId="61" fillId="0" borderId="8" xfId="1" applyNumberFormat="1" applyFont="1" applyFill="1" applyBorder="1" applyAlignment="1" applyProtection="1">
      <alignment horizontal="center" vertical="center"/>
      <protection locked="0"/>
    </xf>
    <xf numFmtId="0" fontId="61" fillId="0" borderId="61" xfId="1" applyNumberFormat="1" applyFont="1" applyFill="1" applyBorder="1" applyAlignment="1" applyProtection="1">
      <alignment horizontal="center" vertical="center"/>
      <protection locked="0"/>
    </xf>
    <xf numFmtId="181" fontId="55" fillId="0" borderId="10" xfId="0" applyNumberFormat="1" applyFont="1" applyFill="1" applyBorder="1" applyAlignment="1" applyProtection="1">
      <alignment horizontal="center" vertical="center"/>
      <protection locked="0"/>
    </xf>
    <xf numFmtId="0" fontId="54" fillId="0" borderId="32" xfId="0" applyFont="1" applyFill="1" applyBorder="1" applyAlignment="1" applyProtection="1">
      <alignment horizontal="center" vertical="center"/>
      <protection locked="0"/>
    </xf>
    <xf numFmtId="0" fontId="109" fillId="0" borderId="0" xfId="0" applyFont="1" applyProtection="1">
      <alignment vertical="center"/>
    </xf>
    <xf numFmtId="179" fontId="54" fillId="6" borderId="66" xfId="0" applyNumberFormat="1" applyFont="1" applyFill="1" applyBorder="1" applyAlignment="1" applyProtection="1">
      <alignment vertical="center"/>
    </xf>
    <xf numFmtId="179" fontId="54" fillId="6" borderId="32" xfId="0" applyNumberFormat="1" applyFont="1" applyFill="1" applyBorder="1" applyAlignment="1" applyProtection="1">
      <alignment vertical="center"/>
    </xf>
    <xf numFmtId="179" fontId="54" fillId="6" borderId="49" xfId="0" applyNumberFormat="1" applyFont="1" applyFill="1" applyBorder="1" applyAlignment="1" applyProtection="1">
      <alignment vertical="center"/>
    </xf>
    <xf numFmtId="0" fontId="55" fillId="6" borderId="0" xfId="0" applyFont="1" applyFill="1" applyAlignment="1" applyProtection="1">
      <alignment vertical="center"/>
    </xf>
    <xf numFmtId="0" fontId="109" fillId="6" borderId="0" xfId="0" applyFont="1" applyFill="1" applyAlignment="1" applyProtection="1">
      <alignment vertical="center"/>
    </xf>
    <xf numFmtId="0" fontId="109" fillId="6" borderId="0" xfId="0" applyFont="1" applyFill="1" applyAlignment="1" applyProtection="1">
      <alignment horizontal="left" vertical="center"/>
    </xf>
    <xf numFmtId="0" fontId="109" fillId="6" borderId="0" xfId="2" applyFont="1" applyFill="1" applyAlignment="1" applyProtection="1">
      <alignment horizontal="left"/>
    </xf>
    <xf numFmtId="0" fontId="115" fillId="6" borderId="1"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3"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48" xfId="0" applyFont="1" applyFill="1" applyBorder="1" applyAlignment="1" applyProtection="1">
      <alignment vertical="center" wrapText="1"/>
    </xf>
    <xf numFmtId="0" fontId="115" fillId="6" borderId="33" xfId="0" applyFont="1" applyFill="1" applyBorder="1" applyAlignment="1" applyProtection="1">
      <alignment vertical="center" wrapText="1"/>
    </xf>
    <xf numFmtId="0" fontId="115" fillId="6" borderId="68" xfId="0" applyFont="1" applyFill="1" applyBorder="1" applyAlignment="1" applyProtection="1">
      <alignment vertical="center" wrapText="1"/>
    </xf>
    <xf numFmtId="49" fontId="65" fillId="6" borderId="0" xfId="0" applyNumberFormat="1" applyFont="1" applyFill="1" applyBorder="1" applyAlignment="1" applyProtection="1">
      <alignment horizontal="center"/>
    </xf>
    <xf numFmtId="49" fontId="62" fillId="6" borderId="0" xfId="0" applyNumberFormat="1"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68" fillId="6" borderId="0" xfId="0" applyFont="1" applyFill="1" applyBorder="1" applyAlignment="1" applyProtection="1">
      <alignment horizontal="center" vertical="center"/>
    </xf>
    <xf numFmtId="0" fontId="55" fillId="6" borderId="0" xfId="0" applyFont="1" applyFill="1" applyBorder="1" applyAlignment="1" applyProtection="1">
      <alignment vertical="center"/>
    </xf>
    <xf numFmtId="0" fontId="61" fillId="6" borderId="0" xfId="0" applyFont="1" applyFill="1" applyBorder="1" applyAlignment="1" applyProtection="1">
      <alignment horizontal="left" vertical="center"/>
    </xf>
    <xf numFmtId="179" fontId="68" fillId="6" borderId="0" xfId="0" applyNumberFormat="1" applyFont="1" applyFill="1" applyBorder="1" applyAlignment="1" applyProtection="1">
      <alignment horizontal="center" vertical="center"/>
    </xf>
    <xf numFmtId="0" fontId="55" fillId="6" borderId="0" xfId="0" applyFont="1" applyFill="1" applyAlignment="1" applyProtection="1">
      <alignment horizontal="left" vertical="center"/>
    </xf>
    <xf numFmtId="0" fontId="71" fillId="6" borderId="0" xfId="0" applyFont="1" applyFill="1" applyAlignment="1" applyProtection="1">
      <alignment vertical="center"/>
    </xf>
    <xf numFmtId="49" fontId="70" fillId="6" borderId="0" xfId="0" applyNumberFormat="1" applyFont="1" applyFill="1" applyBorder="1" applyAlignment="1" applyProtection="1">
      <alignment horizontal="left"/>
    </xf>
    <xf numFmtId="0" fontId="73" fillId="6" borderId="36" xfId="0" applyFont="1" applyFill="1" applyBorder="1" applyAlignment="1" applyProtection="1">
      <alignment vertical="center"/>
    </xf>
    <xf numFmtId="0" fontId="70" fillId="6" borderId="36" xfId="0" applyFont="1" applyFill="1" applyBorder="1" applyAlignment="1" applyProtection="1">
      <alignment vertical="center"/>
    </xf>
    <xf numFmtId="189" fontId="70" fillId="6" borderId="36" xfId="0" applyNumberFormat="1" applyFont="1" applyFill="1" applyBorder="1" applyAlignment="1" applyProtection="1">
      <alignment horizontal="center" vertical="center"/>
    </xf>
    <xf numFmtId="181" fontId="70" fillId="6" borderId="36" xfId="0" applyNumberFormat="1" applyFont="1" applyFill="1" applyBorder="1" applyAlignment="1" applyProtection="1">
      <alignment vertical="center"/>
    </xf>
    <xf numFmtId="0" fontId="70" fillId="6" borderId="36" xfId="0" applyFont="1" applyFill="1" applyBorder="1" applyAlignment="1" applyProtection="1">
      <alignment horizontal="center" vertical="center"/>
    </xf>
    <xf numFmtId="0" fontId="59" fillId="6" borderId="0" xfId="0" applyFont="1" applyFill="1" applyAlignment="1" applyProtection="1">
      <alignment horizontal="center" vertical="center"/>
    </xf>
    <xf numFmtId="0" fontId="76" fillId="6" borderId="0" xfId="0" applyFont="1" applyFill="1" applyAlignment="1" applyProtection="1">
      <alignment horizontal="center" vertical="center"/>
    </xf>
    <xf numFmtId="14" fontId="59" fillId="6" borderId="0" xfId="0" applyNumberFormat="1" applyFont="1" applyFill="1" applyAlignment="1" applyProtection="1">
      <alignment horizontal="center" vertical="center"/>
    </xf>
    <xf numFmtId="176" fontId="59" fillId="6" borderId="0" xfId="0" applyNumberFormat="1" applyFont="1" applyFill="1" applyAlignment="1" applyProtection="1">
      <alignment horizontal="center" vertical="center"/>
    </xf>
    <xf numFmtId="0" fontId="64" fillId="6" borderId="0" xfId="0" applyFont="1" applyFill="1" applyBorder="1" applyAlignment="1" applyProtection="1"/>
    <xf numFmtId="0" fontId="59" fillId="6" borderId="0" xfId="0" applyFont="1" applyFill="1" applyBorder="1" applyAlignment="1" applyProtection="1"/>
    <xf numFmtId="0" fontId="59" fillId="6" borderId="0" xfId="0" applyFont="1" applyFill="1" applyBorder="1" applyAlignment="1" applyProtection="1">
      <alignment horizontal="center"/>
    </xf>
    <xf numFmtId="189" fontId="59" fillId="6" borderId="0" xfId="0" applyNumberFormat="1" applyFont="1" applyFill="1" applyBorder="1" applyAlignment="1" applyProtection="1">
      <alignment horizontal="center"/>
    </xf>
    <xf numFmtId="181" fontId="59" fillId="6" borderId="0" xfId="0" applyNumberFormat="1" applyFont="1" applyFill="1" applyBorder="1" applyAlignment="1" applyProtection="1"/>
    <xf numFmtId="0" fontId="70" fillId="6" borderId="0" xfId="0" applyFont="1" applyFill="1" applyBorder="1" applyAlignment="1" applyProtection="1">
      <alignment horizontal="center" vertical="center"/>
    </xf>
    <xf numFmtId="0" fontId="71" fillId="6" borderId="0" xfId="0" applyFont="1" applyFill="1" applyBorder="1" applyAlignment="1" applyProtection="1">
      <alignment horizontal="center" vertical="center"/>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8" fontId="59" fillId="6" borderId="5" xfId="0" applyNumberFormat="1" applyFont="1" applyFill="1" applyBorder="1" applyAlignment="1" applyProtection="1">
      <alignment horizontal="center" vertical="center"/>
    </xf>
    <xf numFmtId="49" fontId="59" fillId="6" borderId="3" xfId="0"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wrapText="1"/>
    </xf>
    <xf numFmtId="188"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9" fillId="6" borderId="2" xfId="0" applyFont="1" applyFill="1" applyBorder="1" applyAlignment="1" applyProtection="1">
      <alignment vertical="center" textRotation="255" wrapText="1"/>
    </xf>
    <xf numFmtId="0" fontId="71" fillId="6" borderId="0" xfId="0" applyFont="1" applyFill="1" applyAlignment="1" applyProtection="1">
      <alignment horizontal="center" vertical="center"/>
    </xf>
    <xf numFmtId="189" fontId="59" fillId="6" borderId="3" xfId="0" applyNumberFormat="1" applyFont="1" applyFill="1" applyBorder="1" applyAlignment="1" applyProtection="1">
      <alignment horizontal="center" vertical="center"/>
    </xf>
    <xf numFmtId="189" fontId="59" fillId="6" borderId="3" xfId="0" applyNumberFormat="1" applyFont="1" applyFill="1" applyBorder="1" applyAlignment="1" applyProtection="1">
      <alignment horizontal="center" vertical="center" wrapText="1"/>
    </xf>
    <xf numFmtId="189" fontId="59" fillId="6" borderId="1" xfId="0" applyNumberFormat="1" applyFont="1" applyFill="1" applyBorder="1" applyAlignment="1" applyProtection="1">
      <alignment horizontal="center" vertical="center" wrapText="1"/>
    </xf>
    <xf numFmtId="0" fontId="70" fillId="6" borderId="60" xfId="0" applyFont="1" applyFill="1" applyBorder="1" applyAlignment="1" applyProtection="1">
      <alignment horizontal="center" vertical="center"/>
    </xf>
    <xf numFmtId="0" fontId="61" fillId="6" borderId="0" xfId="0" applyFont="1" applyFill="1" applyAlignment="1" applyProtection="1"/>
    <xf numFmtId="0" fontId="55" fillId="6" borderId="0" xfId="0" applyNumberFormat="1" applyFont="1" applyFill="1" applyAlignment="1" applyProtection="1">
      <alignment horizontal="center" vertical="center"/>
      <protection locked="0"/>
    </xf>
    <xf numFmtId="0" fontId="52" fillId="6" borderId="32" xfId="0" applyFont="1" applyFill="1" applyBorder="1" applyAlignment="1" applyProtection="1">
      <alignment horizontal="center" vertical="center"/>
    </xf>
    <xf numFmtId="0" fontId="52" fillId="6" borderId="49" xfId="0" applyFont="1" applyFill="1" applyBorder="1" applyAlignment="1" applyProtection="1">
      <alignment horizontal="center" vertical="center"/>
    </xf>
    <xf numFmtId="181" fontId="116" fillId="6" borderId="65" xfId="0" applyNumberFormat="1" applyFont="1" applyFill="1" applyBorder="1" applyAlignment="1" applyProtection="1">
      <alignment horizontal="center" vertical="center"/>
    </xf>
    <xf numFmtId="179" fontId="61" fillId="7" borderId="0" xfId="0" applyNumberFormat="1" applyFont="1" applyFill="1" applyBorder="1" applyAlignment="1" applyProtection="1">
      <alignment horizontal="center" vertical="center"/>
      <protection locked="0"/>
    </xf>
    <xf numFmtId="49" fontId="62" fillId="7" borderId="0" xfId="0" applyNumberFormat="1" applyFont="1" applyFill="1" applyBorder="1" applyAlignment="1" applyProtection="1">
      <alignment horizontal="left" vertical="center"/>
      <protection locked="0"/>
    </xf>
    <xf numFmtId="0" fontId="71" fillId="7" borderId="0" xfId="0" applyFont="1" applyFill="1" applyAlignment="1" applyProtection="1">
      <alignment vertical="center"/>
      <protection locked="0"/>
    </xf>
    <xf numFmtId="0" fontId="55" fillId="7" borderId="0" xfId="0" applyFont="1" applyFill="1" applyProtection="1">
      <alignment vertical="center"/>
      <protection locked="0"/>
    </xf>
    <xf numFmtId="0" fontId="61" fillId="7" borderId="0" xfId="0" applyFont="1" applyFill="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wrapText="1"/>
      <protection locked="0"/>
    </xf>
    <xf numFmtId="0" fontId="68" fillId="7" borderId="0" xfId="0" applyFont="1" applyFill="1" applyProtection="1">
      <alignment vertical="center"/>
      <protection locked="0"/>
    </xf>
    <xf numFmtId="10" fontId="55" fillId="0" borderId="1" xfId="1" applyNumberFormat="1" applyFont="1" applyFill="1" applyBorder="1" applyAlignment="1" applyProtection="1">
      <alignment horizontal="center" vertical="center"/>
      <protection locked="0"/>
    </xf>
    <xf numFmtId="181" fontId="110" fillId="0" borderId="1" xfId="0" applyNumberFormat="1" applyFont="1" applyFill="1" applyBorder="1" applyAlignment="1" applyProtection="1">
      <alignment horizontal="center" vertical="center"/>
      <protection locked="0"/>
    </xf>
    <xf numFmtId="177" fontId="55" fillId="0" borderId="1" xfId="1" applyNumberFormat="1" applyFont="1" applyFill="1" applyBorder="1" applyAlignment="1" applyProtection="1">
      <alignment horizontal="center" vertical="center"/>
      <protection locked="0"/>
    </xf>
    <xf numFmtId="9" fontId="55" fillId="0" borderId="5" xfId="0" applyNumberFormat="1" applyFont="1" applyFill="1" applyBorder="1" applyAlignment="1" applyProtection="1">
      <alignment horizontal="center" vertical="center"/>
      <protection locked="0"/>
    </xf>
    <xf numFmtId="0" fontId="55" fillId="0" borderId="23" xfId="0" applyFont="1" applyBorder="1" applyAlignment="1" applyProtection="1">
      <alignment vertical="center"/>
      <protection locked="0"/>
    </xf>
    <xf numFmtId="181" fontId="55" fillId="0" borderId="1" xfId="0" applyNumberFormat="1" applyFont="1" applyBorder="1" applyAlignment="1" applyProtection="1">
      <alignment vertical="center"/>
      <protection locked="0"/>
    </xf>
    <xf numFmtId="181" fontId="55" fillId="0" borderId="24" xfId="0" applyNumberFormat="1" applyFont="1" applyBorder="1" applyAlignment="1" applyProtection="1">
      <alignment vertical="center"/>
      <protection locked="0"/>
    </xf>
    <xf numFmtId="0" fontId="55" fillId="0" borderId="23"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3" fontId="55" fillId="0" borderId="1" xfId="0" applyNumberFormat="1" applyFont="1" applyBorder="1" applyAlignment="1" applyProtection="1">
      <alignment horizontal="center" vertical="center"/>
      <protection locked="0"/>
    </xf>
    <xf numFmtId="181" fontId="55" fillId="0" borderId="24" xfId="0" applyNumberFormat="1" applyFont="1" applyBorder="1" applyAlignment="1" applyProtection="1">
      <alignment horizontal="center" vertical="center"/>
      <protection locked="0"/>
    </xf>
    <xf numFmtId="0" fontId="69"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20" fillId="6" borderId="20" xfId="0" applyFont="1" applyFill="1" applyBorder="1" applyAlignment="1" applyProtection="1">
      <alignment vertical="center"/>
    </xf>
    <xf numFmtId="0" fontId="120" fillId="6" borderId="21" xfId="0" applyFont="1" applyFill="1" applyBorder="1" applyAlignment="1" applyProtection="1">
      <alignment horizontal="center" vertical="center"/>
    </xf>
    <xf numFmtId="0" fontId="0" fillId="0" borderId="0" xfId="0" applyProtection="1">
      <alignment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61" fillId="6" borderId="24" xfId="0" applyFont="1" applyFill="1" applyBorder="1" applyAlignment="1" applyProtection="1">
      <alignment horizontal="center" vertical="center" wrapText="1"/>
    </xf>
    <xf numFmtId="9" fontId="110" fillId="6" borderId="1" xfId="0" applyNumberFormat="1" applyFont="1" applyFill="1" applyBorder="1" applyAlignment="1" applyProtection="1">
      <alignment horizontal="center" vertical="center" wrapText="1"/>
    </xf>
    <xf numFmtId="10" fontId="61" fillId="6" borderId="61" xfId="0" applyNumberFormat="1" applyFont="1" applyFill="1" applyBorder="1" applyAlignment="1" applyProtection="1">
      <alignment horizontal="center" vertical="center" wrapText="1"/>
    </xf>
    <xf numFmtId="10" fontId="61" fillId="6" borderId="53" xfId="0" applyNumberFormat="1" applyFont="1" applyFill="1" applyBorder="1" applyAlignment="1" applyProtection="1">
      <alignment vertical="center" wrapText="1"/>
    </xf>
    <xf numFmtId="0" fontId="118" fillId="6" borderId="13" xfId="0" applyFont="1" applyFill="1" applyBorder="1" applyAlignment="1" applyProtection="1">
      <alignment horizontal="center" vertical="center" wrapText="1"/>
    </xf>
    <xf numFmtId="9" fontId="110" fillId="6" borderId="32" xfId="0" applyNumberFormat="1" applyFont="1" applyFill="1" applyBorder="1" applyAlignment="1" applyProtection="1">
      <alignment horizontal="center" vertical="center" wrapText="1"/>
    </xf>
    <xf numFmtId="10" fontId="61" fillId="6" borderId="76" xfId="0" applyNumberFormat="1" applyFont="1" applyFill="1" applyBorder="1" applyAlignment="1" applyProtection="1">
      <alignment vertical="center" wrapText="1"/>
    </xf>
    <xf numFmtId="10" fontId="61" fillId="6" borderId="53" xfId="0" applyNumberFormat="1" applyFont="1" applyFill="1" applyBorder="1" applyAlignment="1" applyProtection="1">
      <alignment horizontal="center" vertical="center" wrapText="1"/>
    </xf>
    <xf numFmtId="10" fontId="61"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5"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21" fillId="6" borderId="23"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0" fontId="105" fillId="6" borderId="19" xfId="0" applyFont="1" applyFill="1" applyBorder="1" applyProtection="1">
      <alignment vertical="center"/>
    </xf>
    <xf numFmtId="0" fontId="122" fillId="6" borderId="28" xfId="0" applyFont="1" applyFill="1" applyBorder="1" applyAlignment="1" applyProtection="1">
      <alignment horizontal="center" vertical="center"/>
    </xf>
    <xf numFmtId="0" fontId="105" fillId="6" borderId="18" xfId="0" applyFont="1" applyFill="1" applyBorder="1" applyProtection="1">
      <alignment vertical="center"/>
    </xf>
    <xf numFmtId="0" fontId="122" fillId="6" borderId="32" xfId="0" applyFont="1" applyFill="1" applyBorder="1" applyAlignment="1" applyProtection="1">
      <alignment horizontal="center" vertical="center"/>
    </xf>
    <xf numFmtId="0" fontId="122" fillId="6" borderId="33" xfId="0" applyFont="1" applyFill="1" applyBorder="1" applyAlignment="1" applyProtection="1">
      <alignment horizontal="center" vertical="center"/>
    </xf>
    <xf numFmtId="0" fontId="121" fillId="6" borderId="40" xfId="0" applyFont="1" applyFill="1" applyBorder="1" applyAlignment="1" applyProtection="1">
      <alignment vertical="center" wrapText="1"/>
    </xf>
    <xf numFmtId="0" fontId="121" fillId="6" borderId="9" xfId="0" applyFont="1" applyFill="1" applyBorder="1" applyAlignment="1" applyProtection="1">
      <alignment horizontal="center" vertical="center" wrapText="1"/>
    </xf>
    <xf numFmtId="0" fontId="121" fillId="6" borderId="28" xfId="0" applyFont="1" applyFill="1" applyBorder="1" applyAlignment="1" applyProtection="1">
      <alignment horizontal="center" vertical="center" wrapText="1"/>
    </xf>
    <xf numFmtId="0" fontId="121" fillId="6" borderId="4" xfId="0" applyFont="1" applyFill="1" applyBorder="1" applyAlignment="1" applyProtection="1">
      <alignment horizontal="center" vertical="center" wrapText="1"/>
    </xf>
    <xf numFmtId="0" fontId="121" fillId="6" borderId="2" xfId="0" applyFont="1" applyFill="1" applyBorder="1" applyAlignment="1" applyProtection="1">
      <alignment horizontal="center" vertical="center" wrapText="1"/>
    </xf>
    <xf numFmtId="0" fontId="121" fillId="6" borderId="74" xfId="0" applyFont="1" applyFill="1" applyBorder="1" applyAlignment="1" applyProtection="1">
      <alignment horizontal="center" vertical="center" wrapText="1"/>
    </xf>
    <xf numFmtId="0" fontId="121" fillId="6" borderId="32" xfId="0" applyFont="1" applyFill="1" applyBorder="1" applyAlignment="1" applyProtection="1">
      <alignment horizontal="center" vertical="center" wrapText="1"/>
    </xf>
    <xf numFmtId="0" fontId="123" fillId="6" borderId="33" xfId="0" applyFont="1" applyFill="1" applyBorder="1" applyProtection="1">
      <alignment vertical="center"/>
    </xf>
    <xf numFmtId="0" fontId="121" fillId="6" borderId="5" xfId="0" applyFont="1" applyFill="1" applyBorder="1" applyAlignment="1" applyProtection="1">
      <alignment horizontal="center" vertical="center" wrapText="1"/>
    </xf>
    <xf numFmtId="0" fontId="123" fillId="6" borderId="5" xfId="0" applyFont="1" applyFill="1" applyBorder="1" applyProtection="1">
      <alignment vertical="center"/>
    </xf>
    <xf numFmtId="0" fontId="121" fillId="6" borderId="26" xfId="0" applyFont="1" applyFill="1" applyBorder="1" applyAlignment="1" applyProtection="1">
      <alignment vertical="center" wrapText="1"/>
    </xf>
    <xf numFmtId="0" fontId="121"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8" fillId="6" borderId="6" xfId="0" applyFont="1" applyFill="1" applyBorder="1" applyAlignment="1" applyProtection="1">
      <alignment horizontal="center" vertical="center" wrapText="1"/>
    </xf>
    <xf numFmtId="0" fontId="118" fillId="6" borderId="9" xfId="0" applyFont="1" applyFill="1" applyBorder="1" applyAlignment="1" applyProtection="1">
      <alignment horizontal="center" vertical="center" wrapText="1"/>
    </xf>
    <xf numFmtId="0" fontId="118" fillId="6" borderId="10" xfId="0" applyFont="1" applyFill="1" applyBorder="1" applyAlignment="1" applyProtection="1">
      <alignment horizontal="center" vertical="center" wrapText="1"/>
    </xf>
    <xf numFmtId="0" fontId="118" fillId="6" borderId="24" xfId="0" applyFont="1" applyFill="1" applyBorder="1" applyAlignment="1" applyProtection="1">
      <alignment horizontal="center" vertical="center" wrapText="1"/>
    </xf>
    <xf numFmtId="0" fontId="118" fillId="6" borderId="11" xfId="0" applyFont="1" applyFill="1" applyBorder="1" applyAlignment="1" applyProtection="1">
      <alignment horizontal="center" vertical="center" wrapText="1"/>
    </xf>
    <xf numFmtId="0" fontId="118"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4" fillId="6" borderId="60" xfId="0" applyFont="1" applyFill="1" applyBorder="1" applyAlignment="1" applyProtection="1">
      <alignment vertical="center"/>
    </xf>
    <xf numFmtId="0" fontId="124" fillId="6" borderId="0" xfId="0" applyFont="1" applyFill="1" applyBorder="1" applyAlignment="1" applyProtection="1">
      <alignment vertical="center"/>
    </xf>
    <xf numFmtId="0" fontId="0" fillId="0" borderId="0" xfId="0" applyAlignment="1" applyProtection="1">
      <alignment horizontal="center" vertical="center"/>
    </xf>
    <xf numFmtId="0" fontId="118" fillId="6" borderId="5" xfId="0" applyFont="1" applyFill="1" applyBorder="1" applyAlignment="1" applyProtection="1">
      <alignment horizontal="center" vertical="center" wrapText="1"/>
    </xf>
    <xf numFmtId="0" fontId="118" fillId="6" borderId="3" xfId="0" applyFont="1" applyFill="1" applyBorder="1" applyAlignment="1" applyProtection="1">
      <alignment horizontal="center" vertical="center" wrapText="1"/>
    </xf>
    <xf numFmtId="0" fontId="118" fillId="6" borderId="0"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xf>
    <xf numFmtId="0" fontId="118" fillId="6" borderId="5" xfId="0" applyFont="1" applyFill="1" applyBorder="1" applyAlignment="1" applyProtection="1">
      <alignment horizontal="left" vertical="center"/>
    </xf>
    <xf numFmtId="0" fontId="118" fillId="6" borderId="3" xfId="0" applyFont="1" applyFill="1" applyBorder="1" applyAlignment="1" applyProtection="1">
      <alignment horizontal="left" vertical="center"/>
    </xf>
    <xf numFmtId="0" fontId="118" fillId="6" borderId="0" xfId="0" applyFont="1" applyFill="1" applyBorder="1" applyAlignment="1" applyProtection="1">
      <alignment vertical="center"/>
    </xf>
    <xf numFmtId="0" fontId="118" fillId="6" borderId="0" xfId="0" applyFont="1" applyFill="1" applyBorder="1" applyAlignment="1" applyProtection="1">
      <alignment horizontal="center" vertical="center"/>
    </xf>
    <xf numFmtId="0" fontId="0" fillId="0" borderId="0" xfId="0" applyAlignment="1" applyProtection="1">
      <alignment vertical="center"/>
    </xf>
    <xf numFmtId="0" fontId="118" fillId="0" borderId="36" xfId="0" applyFont="1" applyBorder="1" applyAlignment="1" applyProtection="1">
      <alignment vertical="center"/>
    </xf>
    <xf numFmtId="0" fontId="118" fillId="0" borderId="0" xfId="0" applyFont="1" applyBorder="1" applyAlignment="1" applyProtection="1">
      <alignment vertical="center"/>
    </xf>
    <xf numFmtId="0" fontId="118" fillId="6" borderId="4" xfId="0" applyFont="1" applyFill="1" applyBorder="1" applyAlignment="1" applyProtection="1">
      <alignment vertical="center" wrapText="1"/>
    </xf>
    <xf numFmtId="0" fontId="118" fillId="6" borderId="2" xfId="0" applyFont="1" applyFill="1" applyBorder="1" applyAlignment="1" applyProtection="1">
      <alignment vertical="center" wrapText="1"/>
    </xf>
    <xf numFmtId="0" fontId="118" fillId="6" borderId="7" xfId="0" applyFont="1" applyFill="1" applyBorder="1" applyAlignment="1" applyProtection="1">
      <alignment vertical="center" wrapText="1"/>
    </xf>
    <xf numFmtId="0" fontId="118" fillId="6" borderId="2" xfId="0" applyFont="1" applyFill="1" applyBorder="1" applyAlignment="1" applyProtection="1">
      <alignment horizontal="center" vertical="center"/>
    </xf>
    <xf numFmtId="0" fontId="118" fillId="6" borderId="0" xfId="0" applyFont="1" applyFill="1" applyAlignment="1" applyProtection="1">
      <alignment horizontal="center" vertical="center"/>
    </xf>
    <xf numFmtId="9" fontId="118" fillId="6" borderId="1" xfId="0" applyNumberFormat="1" applyFont="1" applyFill="1" applyBorder="1" applyAlignment="1" applyProtection="1">
      <alignment horizontal="center" vertical="center"/>
    </xf>
    <xf numFmtId="179" fontId="86" fillId="0" borderId="60" xfId="3" applyNumberFormat="1" applyFont="1" applyBorder="1" applyAlignment="1" applyProtection="1">
      <alignment vertical="center"/>
    </xf>
    <xf numFmtId="0" fontId="86" fillId="0" borderId="60" xfId="3" applyNumberFormat="1" applyFont="1" applyBorder="1" applyAlignment="1" applyProtection="1">
      <alignment vertical="center"/>
    </xf>
    <xf numFmtId="0" fontId="0" fillId="0" borderId="0" xfId="0" applyNumberFormat="1" applyProtection="1">
      <alignment vertical="center"/>
    </xf>
    <xf numFmtId="179" fontId="87" fillId="6" borderId="1" xfId="3" applyNumberFormat="1" applyFont="1" applyFill="1" applyBorder="1" applyAlignment="1" applyProtection="1">
      <alignment horizontal="center" vertical="center"/>
    </xf>
    <xf numFmtId="0" fontId="87" fillId="6" borderId="1" xfId="3" applyNumberFormat="1" applyFont="1" applyFill="1" applyBorder="1" applyAlignment="1" applyProtection="1">
      <alignment horizontal="center" vertical="center"/>
    </xf>
    <xf numFmtId="0" fontId="87" fillId="6" borderId="1" xfId="3" applyNumberFormat="1" applyFont="1" applyFill="1" applyBorder="1" applyAlignment="1" applyProtection="1">
      <alignment horizontal="center" vertical="center" wrapText="1"/>
    </xf>
    <xf numFmtId="0" fontId="87" fillId="6" borderId="15" xfId="3" applyNumberFormat="1" applyFont="1" applyFill="1" applyBorder="1" applyAlignment="1" applyProtection="1">
      <alignment horizontal="center" vertical="center"/>
    </xf>
    <xf numFmtId="0" fontId="61" fillId="6" borderId="15" xfId="0" applyNumberFormat="1" applyFont="1" applyFill="1" applyBorder="1" applyAlignment="1" applyProtection="1">
      <alignment horizontal="center" vertical="center" wrapText="1"/>
    </xf>
    <xf numFmtId="0" fontId="61" fillId="6" borderId="17" xfId="0" applyNumberFormat="1" applyFont="1" applyFill="1" applyBorder="1" applyAlignment="1" applyProtection="1">
      <alignment horizontal="center" vertical="center" wrapText="1"/>
    </xf>
    <xf numFmtId="0" fontId="125" fillId="6" borderId="19" xfId="0" applyNumberFormat="1" applyFont="1" applyFill="1" applyBorder="1" applyAlignment="1" applyProtection="1">
      <alignment horizontal="center" vertical="center" wrapText="1"/>
    </xf>
    <xf numFmtId="0" fontId="12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61" fillId="6" borderId="16" xfId="0" applyNumberFormat="1" applyFont="1" applyFill="1" applyBorder="1" applyAlignment="1" applyProtection="1">
      <alignment vertical="center" wrapText="1"/>
    </xf>
    <xf numFmtId="0" fontId="61" fillId="6" borderId="23" xfId="0" applyNumberFormat="1" applyFont="1" applyFill="1" applyBorder="1" applyAlignment="1" applyProtection="1">
      <alignment horizontal="center" vertical="center" wrapText="1"/>
    </xf>
    <xf numFmtId="0" fontId="125" fillId="6" borderId="1" xfId="0" applyNumberFormat="1" applyFont="1" applyFill="1" applyBorder="1" applyAlignment="1" applyProtection="1">
      <alignment horizontal="center" vertical="center" wrapText="1"/>
    </xf>
    <xf numFmtId="0" fontId="125" fillId="6" borderId="24" xfId="0" applyNumberFormat="1" applyFont="1" applyFill="1" applyBorder="1" applyAlignment="1" applyProtection="1">
      <alignment horizontal="center" vertical="center" wrapText="1"/>
    </xf>
    <xf numFmtId="0" fontId="125" fillId="6" borderId="32" xfId="0" applyNumberFormat="1" applyFont="1" applyFill="1" applyBorder="1" applyAlignment="1" applyProtection="1">
      <alignment horizontal="center" vertical="center" wrapText="1"/>
    </xf>
    <xf numFmtId="0" fontId="125" fillId="6" borderId="49" xfId="0" applyNumberFormat="1" applyFont="1" applyFill="1" applyBorder="1" applyAlignment="1" applyProtection="1">
      <alignment horizontal="center" vertical="center" wrapText="1"/>
    </xf>
    <xf numFmtId="179" fontId="87"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9" fillId="6" borderId="1" xfId="0" applyNumberFormat="1" applyFont="1" applyFill="1" applyBorder="1" applyAlignment="1" applyProtection="1">
      <alignment horizontal="center" vertical="center" wrapText="1"/>
    </xf>
    <xf numFmtId="0" fontId="58" fillId="6" borderId="36" xfId="0" applyFont="1" applyFill="1" applyBorder="1" applyAlignment="1" applyProtection="1">
      <alignment horizontal="center" vertical="center"/>
    </xf>
    <xf numFmtId="0" fontId="62" fillId="6" borderId="34" xfId="0" applyFont="1" applyFill="1" applyBorder="1" applyAlignment="1" applyProtection="1">
      <alignment horizontal="center" vertical="center"/>
    </xf>
    <xf numFmtId="0" fontId="62" fillId="6" borderId="28" xfId="0" applyNumberFormat="1" applyFont="1" applyFill="1" applyBorder="1" applyAlignment="1" applyProtection="1">
      <alignment horizontal="center" vertical="center" wrapText="1"/>
    </xf>
    <xf numFmtId="0" fontId="61" fillId="6" borderId="2" xfId="0" applyFont="1" applyFill="1" applyBorder="1" applyAlignment="1" applyProtection="1">
      <alignment horizontal="center" vertical="center" wrapText="1"/>
    </xf>
    <xf numFmtId="0" fontId="61" fillId="6" borderId="4" xfId="0" applyFont="1" applyFill="1" applyBorder="1" applyAlignment="1" applyProtection="1">
      <alignment horizontal="center" vertical="center" wrapText="1"/>
    </xf>
    <xf numFmtId="9" fontId="61" fillId="6" borderId="1"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center" vertical="center" wrapText="1"/>
    </xf>
    <xf numFmtId="187" fontId="58" fillId="6" borderId="84" xfId="0" applyNumberFormat="1" applyFont="1" applyFill="1" applyBorder="1" applyAlignment="1" applyProtection="1">
      <alignment horizontal="center" vertical="center" wrapText="1"/>
    </xf>
    <xf numFmtId="14" fontId="59" fillId="6" borderId="84" xfId="0" applyNumberFormat="1" applyFont="1" applyFill="1" applyBorder="1" applyAlignment="1" applyProtection="1">
      <alignment horizontal="center" vertical="center" wrapText="1"/>
    </xf>
    <xf numFmtId="14" fontId="59" fillId="6" borderId="64" xfId="0" applyNumberFormat="1" applyFont="1" applyFill="1" applyBorder="1" applyAlignment="1" applyProtection="1">
      <alignment horizontal="center" vertical="center" wrapText="1"/>
    </xf>
    <xf numFmtId="10" fontId="59" fillId="6" borderId="64" xfId="0" applyNumberFormat="1" applyFont="1" applyFill="1" applyBorder="1" applyAlignment="1" applyProtection="1">
      <alignment horizontal="center" vertical="center" wrapText="1"/>
    </xf>
    <xf numFmtId="0" fontId="110" fillId="6" borderId="67" xfId="0" applyFont="1" applyFill="1" applyBorder="1" applyAlignment="1" applyProtection="1">
      <alignment horizontal="center" vertical="center" wrapText="1"/>
    </xf>
    <xf numFmtId="187" fontId="58" fillId="6" borderId="17" xfId="0" applyNumberFormat="1" applyFont="1" applyFill="1" applyBorder="1" applyAlignment="1" applyProtection="1">
      <alignment horizontal="center" vertical="center" wrapText="1"/>
    </xf>
    <xf numFmtId="0" fontId="62" fillId="6" borderId="20" xfId="0" applyFont="1" applyFill="1" applyBorder="1" applyAlignment="1" applyProtection="1">
      <alignment horizontal="center" vertical="center" wrapText="1"/>
    </xf>
    <xf numFmtId="0" fontId="62" fillId="6" borderId="15" xfId="0" applyFont="1" applyFill="1" applyBorder="1" applyAlignment="1" applyProtection="1">
      <alignment horizontal="center" vertical="center" wrapText="1"/>
    </xf>
    <xf numFmtId="0" fontId="62" fillId="6" borderId="32" xfId="0" applyFont="1" applyFill="1" applyBorder="1" applyAlignment="1" applyProtection="1">
      <alignment horizontal="center" vertical="center" wrapText="1"/>
    </xf>
    <xf numFmtId="0" fontId="118" fillId="6" borderId="5" xfId="0" applyFont="1" applyFill="1" applyBorder="1" applyAlignment="1" applyProtection="1">
      <alignment horizontal="center" vertical="center" wrapText="1"/>
    </xf>
    <xf numFmtId="181" fontId="110" fillId="6" borderId="17" xfId="0" applyNumberFormat="1" applyFont="1" applyFill="1" applyBorder="1" applyAlignment="1" applyProtection="1">
      <alignment horizontal="center" vertical="center" wrapText="1"/>
    </xf>
    <xf numFmtId="0" fontId="61" fillId="6" borderId="29" xfId="0" applyFont="1" applyFill="1" applyBorder="1" applyAlignment="1" applyProtection="1">
      <alignment horizontal="center" vertical="center" wrapText="1"/>
    </xf>
    <xf numFmtId="0" fontId="61" fillId="6" borderId="62"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118" fillId="6" borderId="1"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0" fontId="110" fillId="6" borderId="1" xfId="0" applyFont="1" applyFill="1" applyBorder="1" applyAlignment="1" applyProtection="1">
      <alignment horizontal="center" vertical="center"/>
    </xf>
    <xf numFmtId="0" fontId="110" fillId="0" borderId="1" xfId="0"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wrapText="1"/>
      <protection locked="0"/>
    </xf>
    <xf numFmtId="0" fontId="61" fillId="0" borderId="9" xfId="0" applyFont="1" applyFill="1" applyBorder="1" applyAlignment="1" applyProtection="1">
      <alignment horizontal="center" vertical="center" wrapText="1"/>
      <protection locked="0"/>
    </xf>
    <xf numFmtId="0" fontId="61" fillId="0" borderId="32"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49" fontId="89" fillId="6" borderId="23" xfId="1" applyNumberFormat="1" applyFont="1" applyFill="1" applyBorder="1" applyAlignment="1" applyProtection="1">
      <alignment horizontal="left"/>
    </xf>
    <xf numFmtId="49" fontId="61" fillId="6" borderId="23" xfId="1" applyNumberFormat="1" applyFont="1" applyFill="1" applyBorder="1" applyAlignment="1" applyProtection="1">
      <alignment horizontal="center"/>
    </xf>
    <xf numFmtId="0" fontId="67" fillId="6" borderId="23" xfId="1" applyFont="1" applyFill="1" applyBorder="1" applyAlignment="1" applyProtection="1">
      <alignment horizontal="right"/>
    </xf>
    <xf numFmtId="0" fontId="61" fillId="6" borderId="23" xfId="0" applyFont="1" applyFill="1" applyBorder="1" applyAlignment="1" applyProtection="1">
      <alignment horizontal="center" vertical="center"/>
    </xf>
    <xf numFmtId="0" fontId="55" fillId="3" borderId="0" xfId="0" applyFont="1" applyFill="1" applyAlignment="1" applyProtection="1">
      <alignment vertical="center"/>
      <protection locked="0"/>
    </xf>
    <xf numFmtId="0" fontId="53" fillId="6" borderId="51" xfId="0" applyFont="1" applyFill="1" applyBorder="1" applyAlignment="1" applyProtection="1">
      <alignment vertical="center"/>
    </xf>
    <xf numFmtId="0" fontId="53" fillId="6" borderId="20" xfId="0" applyFont="1" applyFill="1" applyBorder="1" applyAlignment="1" applyProtection="1">
      <alignment vertical="center"/>
    </xf>
    <xf numFmtId="0" fontId="53" fillId="6" borderId="21" xfId="0" applyFont="1" applyFill="1" applyBorder="1" applyAlignment="1" applyProtection="1">
      <alignment vertical="center"/>
    </xf>
    <xf numFmtId="0" fontId="69" fillId="7" borderId="0" xfId="0" applyFont="1" applyFill="1" applyAlignment="1" applyProtection="1">
      <alignment vertical="center"/>
      <protection locked="0"/>
    </xf>
    <xf numFmtId="0" fontId="54" fillId="6" borderId="23" xfId="0" applyFont="1" applyFill="1" applyBorder="1" applyAlignment="1" applyProtection="1">
      <alignment horizontal="center" vertical="center"/>
    </xf>
    <xf numFmtId="0" fontId="54" fillId="6" borderId="46"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49" fontId="55" fillId="6" borderId="23" xfId="0" applyNumberFormat="1" applyFont="1" applyFill="1" applyBorder="1" applyAlignment="1" applyProtection="1">
      <alignment horizontal="center" vertical="center"/>
    </xf>
    <xf numFmtId="186" fontId="55" fillId="0" borderId="1" xfId="0" applyNumberFormat="1" applyFont="1" applyFill="1" applyBorder="1" applyAlignment="1" applyProtection="1">
      <alignment horizontal="center" vertical="center"/>
      <protection locked="0"/>
    </xf>
    <xf numFmtId="186" fontId="55" fillId="0" borderId="24" xfId="0" applyNumberFormat="1" applyFont="1" applyFill="1" applyBorder="1" applyAlignment="1" applyProtection="1">
      <alignment horizontal="center" vertical="center"/>
      <protection locked="0"/>
    </xf>
    <xf numFmtId="0" fontId="55" fillId="7" borderId="0" xfId="0" applyFont="1" applyFill="1" applyAlignment="1" applyProtection="1">
      <alignment vertical="center"/>
      <protection locked="0"/>
    </xf>
    <xf numFmtId="0" fontId="55" fillId="0" borderId="0" xfId="0" applyFont="1" applyFill="1" applyAlignment="1" applyProtection="1">
      <alignment vertical="center"/>
      <protection locked="0"/>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4" xfId="0" applyFont="1" applyFill="1" applyBorder="1" applyAlignment="1" applyProtection="1">
      <alignment vertical="center"/>
    </xf>
    <xf numFmtId="0" fontId="54" fillId="6" borderId="48" xfId="0" applyFont="1" applyFill="1" applyBorder="1" applyAlignment="1" applyProtection="1">
      <alignment vertical="center"/>
    </xf>
    <xf numFmtId="0" fontId="52" fillId="7" borderId="0" xfId="0" applyFont="1" applyFill="1" applyAlignment="1" applyProtection="1">
      <alignment vertical="center"/>
      <protection locked="0"/>
    </xf>
    <xf numFmtId="0" fontId="55" fillId="6" borderId="23" xfId="1" applyFont="1" applyFill="1" applyBorder="1" applyAlignment="1" applyProtection="1">
      <alignment horizontal="right" vertical="center"/>
    </xf>
    <xf numFmtId="0" fontId="55" fillId="6" borderId="5" xfId="1" applyFont="1" applyFill="1" applyBorder="1" applyAlignment="1" applyProtection="1">
      <alignment vertical="center"/>
    </xf>
    <xf numFmtId="179"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0" fontId="57" fillId="7" borderId="0" xfId="0" applyFont="1" applyFill="1" applyAlignment="1" applyProtection="1">
      <alignment vertical="center"/>
      <protection locked="0"/>
    </xf>
    <xf numFmtId="9" fontId="55" fillId="6" borderId="1" xfId="1" applyNumberFormat="1" applyFont="1" applyFill="1" applyBorder="1" applyAlignment="1" applyProtection="1">
      <alignment horizontal="center" vertical="center"/>
    </xf>
    <xf numFmtId="0" fontId="57" fillId="0" borderId="0" xfId="0" applyFont="1" applyFill="1" applyAlignment="1" applyProtection="1">
      <alignment vertical="center"/>
      <protection locked="0"/>
    </xf>
    <xf numFmtId="177" fontId="55" fillId="6" borderId="1" xfId="1" applyNumberFormat="1" applyFont="1" applyFill="1" applyBorder="1" applyAlignment="1" applyProtection="1">
      <alignment vertical="center"/>
    </xf>
    <xf numFmtId="0" fontId="55" fillId="6" borderId="54" xfId="0" applyFont="1" applyFill="1" applyBorder="1" applyAlignment="1" applyProtection="1">
      <alignment vertical="center"/>
    </xf>
    <xf numFmtId="0" fontId="55" fillId="6" borderId="48" xfId="0" applyFont="1" applyFill="1" applyBorder="1" applyAlignment="1" applyProtection="1">
      <alignment vertical="center"/>
    </xf>
    <xf numFmtId="0" fontId="55" fillId="6" borderId="54" xfId="0" applyFont="1" applyFill="1" applyBorder="1" applyAlignment="1" applyProtection="1">
      <alignment horizontal="left" vertical="center"/>
    </xf>
    <xf numFmtId="0" fontId="55" fillId="6" borderId="48" xfId="0" applyFont="1" applyFill="1" applyBorder="1" applyAlignment="1" applyProtection="1">
      <alignment horizontal="left" vertical="center"/>
    </xf>
    <xf numFmtId="177" fontId="55" fillId="6" borderId="1" xfId="1" applyNumberFormat="1" applyFont="1" applyFill="1" applyBorder="1" applyAlignment="1" applyProtection="1">
      <alignment horizontal="center" vertical="center"/>
    </xf>
    <xf numFmtId="10" fontId="55" fillId="6" borderId="1" xfId="1" applyNumberFormat="1" applyFont="1" applyFill="1" applyBorder="1" applyAlignment="1" applyProtection="1">
      <alignment horizontal="center"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vertical="center"/>
    </xf>
    <xf numFmtId="10" fontId="54" fillId="6" borderId="1" xfId="1" applyNumberFormat="1" applyFont="1" applyFill="1" applyBorder="1" applyAlignment="1" applyProtection="1">
      <alignment horizontal="center" vertical="center"/>
    </xf>
    <xf numFmtId="0" fontId="52" fillId="6" borderId="5" xfId="0"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5" fillId="6" borderId="1" xfId="1" applyFont="1" applyFill="1" applyBorder="1" applyAlignment="1" applyProtection="1">
      <alignment horizontal="left" vertical="center"/>
    </xf>
    <xf numFmtId="0" fontId="56" fillId="3" borderId="0" xfId="0" applyFont="1" applyFill="1" applyAlignment="1" applyProtection="1">
      <alignment vertical="center"/>
      <protection locked="0"/>
    </xf>
    <xf numFmtId="0" fontId="55" fillId="6" borderId="5" xfId="1" applyFont="1" applyFill="1" applyBorder="1" applyAlignment="1" applyProtection="1">
      <alignment horizontal="left" vertical="center"/>
    </xf>
    <xf numFmtId="186" fontId="55" fillId="3" borderId="0" xfId="0" applyNumberFormat="1" applyFont="1" applyFill="1" applyAlignment="1" applyProtection="1">
      <alignment horizontal="center" vertical="center"/>
      <protection locked="0"/>
    </xf>
    <xf numFmtId="186" fontId="54" fillId="6" borderId="28" xfId="0" applyNumberFormat="1" applyFont="1" applyFill="1" applyBorder="1" applyAlignment="1" applyProtection="1">
      <alignment horizontal="center" vertical="center"/>
    </xf>
    <xf numFmtId="186" fontId="110" fillId="0" borderId="13" xfId="0" applyNumberFormat="1" applyFont="1" applyFill="1" applyBorder="1" applyAlignment="1" applyProtection="1">
      <alignment horizontal="center" vertical="center"/>
      <protection locked="0"/>
    </xf>
    <xf numFmtId="186" fontId="55" fillId="0" borderId="13" xfId="0" applyNumberFormat="1" applyFont="1" applyFill="1" applyBorder="1" applyAlignment="1" applyProtection="1">
      <alignment horizontal="center" vertical="center"/>
      <protection locked="0"/>
    </xf>
    <xf numFmtId="186" fontId="55" fillId="0" borderId="61" xfId="0" applyNumberFormat="1" applyFont="1" applyFill="1" applyBorder="1" applyAlignment="1" applyProtection="1">
      <alignment horizontal="center" vertical="center"/>
      <protection locked="0"/>
    </xf>
    <xf numFmtId="0" fontId="54" fillId="6" borderId="42" xfId="0" applyFont="1" applyFill="1" applyBorder="1" applyAlignment="1" applyProtection="1">
      <alignment vertical="center"/>
    </xf>
    <xf numFmtId="0" fontId="54" fillId="6" borderId="47" xfId="0" applyFont="1" applyFill="1" applyBorder="1" applyAlignment="1" applyProtection="1">
      <alignment vertical="center"/>
    </xf>
    <xf numFmtId="186" fontId="53" fillId="6" borderId="74" xfId="0" applyNumberFormat="1" applyFont="1" applyFill="1" applyBorder="1" applyAlignment="1" applyProtection="1">
      <alignment horizontal="center" vertical="center"/>
    </xf>
    <xf numFmtId="0" fontId="53" fillId="6" borderId="75" xfId="0" applyFont="1" applyFill="1" applyBorder="1" applyAlignment="1" applyProtection="1">
      <alignment vertical="center"/>
    </xf>
    <xf numFmtId="0" fontId="54" fillId="6" borderId="43" xfId="0" applyFont="1" applyFill="1" applyBorder="1" applyAlignment="1" applyProtection="1">
      <alignment vertical="center"/>
    </xf>
    <xf numFmtId="0" fontId="54" fillId="6" borderId="33" xfId="1" applyFont="1" applyFill="1" applyBorder="1" applyAlignment="1" applyProtection="1">
      <alignment vertical="center"/>
    </xf>
    <xf numFmtId="177" fontId="54" fillId="6" borderId="32" xfId="0" applyNumberFormat="1" applyFont="1" applyFill="1" applyBorder="1" applyAlignment="1" applyProtection="1">
      <alignment horizontal="center" vertical="center"/>
    </xf>
    <xf numFmtId="0" fontId="54" fillId="6" borderId="32" xfId="0" applyFont="1" applyFill="1" applyBorder="1" applyAlignment="1" applyProtection="1">
      <alignment vertical="center"/>
    </xf>
    <xf numFmtId="177" fontId="54" fillId="6" borderId="32" xfId="0" applyNumberFormat="1" applyFont="1" applyFill="1" applyBorder="1" applyAlignment="1" applyProtection="1">
      <alignment vertical="center"/>
    </xf>
    <xf numFmtId="10" fontId="54" fillId="6" borderId="32" xfId="0" applyNumberFormat="1" applyFont="1" applyFill="1" applyBorder="1" applyAlignment="1" applyProtection="1">
      <alignment horizontal="center" vertical="center"/>
    </xf>
    <xf numFmtId="177" fontId="54" fillId="6" borderId="33" xfId="0" applyNumberFormat="1" applyFont="1" applyFill="1" applyBorder="1" applyAlignment="1" applyProtection="1">
      <alignment vertical="center"/>
    </xf>
    <xf numFmtId="177" fontId="54" fillId="6" borderId="52" xfId="0" applyNumberFormat="1" applyFont="1" applyFill="1" applyBorder="1" applyAlignment="1" applyProtection="1">
      <alignment vertical="center"/>
    </xf>
    <xf numFmtId="177" fontId="54" fillId="6" borderId="68" xfId="0" applyNumberFormat="1" applyFont="1" applyFill="1" applyBorder="1" applyAlignment="1" applyProtection="1">
      <alignment vertical="center"/>
    </xf>
    <xf numFmtId="0" fontId="58" fillId="6" borderId="15" xfId="0" applyFont="1" applyFill="1" applyBorder="1" applyAlignment="1" applyProtection="1">
      <alignment horizontal="center" vertical="center" wrapText="1"/>
    </xf>
    <xf numFmtId="0" fontId="128" fillId="0" borderId="0" xfId="5" applyFont="1">
      <alignment vertical="center"/>
    </xf>
    <xf numFmtId="0" fontId="104" fillId="0" borderId="0" xfId="5">
      <alignment vertical="center"/>
    </xf>
    <xf numFmtId="0" fontId="128" fillId="0" borderId="0" xfId="5" applyFont="1" applyAlignment="1">
      <alignment vertical="top" wrapText="1"/>
    </xf>
    <xf numFmtId="0" fontId="105" fillId="0" borderId="0" xfId="5" applyFont="1" applyAlignment="1">
      <alignment horizontal="right" vertical="center"/>
    </xf>
    <xf numFmtId="14" fontId="129" fillId="0" borderId="0" xfId="5" applyNumberFormat="1" applyFont="1" applyAlignment="1">
      <alignment horizontal="left" vertical="center"/>
    </xf>
    <xf numFmtId="0" fontId="106" fillId="0" borderId="0" xfId="5" applyFont="1">
      <alignment vertical="center"/>
    </xf>
    <xf numFmtId="0" fontId="130" fillId="5" borderId="13" xfId="5" applyFont="1" applyFill="1" applyBorder="1" applyAlignment="1">
      <alignment vertical="center"/>
    </xf>
    <xf numFmtId="0" fontId="131" fillId="0" borderId="1" xfId="5" applyFont="1" applyBorder="1" applyAlignment="1">
      <alignment horizontal="right" vertical="center"/>
    </xf>
    <xf numFmtId="0" fontId="131" fillId="0" borderId="1" xfId="5" applyFont="1" applyFill="1" applyBorder="1" applyAlignment="1">
      <alignment horizontal="right" vertical="center"/>
    </xf>
    <xf numFmtId="184" fontId="131" fillId="0" borderId="13" xfId="5" applyNumberFormat="1" applyFont="1" applyFill="1" applyBorder="1" applyAlignment="1">
      <alignment horizontal="right" vertical="center"/>
    </xf>
    <xf numFmtId="0" fontId="104" fillId="0" borderId="0" xfId="5" applyFill="1">
      <alignment vertical="center"/>
    </xf>
    <xf numFmtId="0" fontId="132" fillId="0" borderId="0" xfId="5" applyFont="1">
      <alignment vertical="center"/>
    </xf>
    <xf numFmtId="0" fontId="130" fillId="0" borderId="1" xfId="5" applyFont="1" applyFill="1" applyBorder="1" applyAlignment="1">
      <alignment vertical="center"/>
    </xf>
    <xf numFmtId="0" fontId="133" fillId="0" borderId="0" xfId="5" applyFont="1">
      <alignment vertical="center"/>
    </xf>
    <xf numFmtId="0" fontId="133" fillId="0" borderId="1" xfId="5" applyFont="1" applyBorder="1">
      <alignment vertical="center"/>
    </xf>
    <xf numFmtId="0" fontId="105" fillId="0" borderId="1" xfId="5" applyFont="1" applyBorder="1">
      <alignment vertical="center"/>
    </xf>
    <xf numFmtId="184" fontId="131" fillId="0" borderId="1" xfId="5" applyNumberFormat="1" applyFont="1" applyFill="1" applyBorder="1" applyAlignment="1">
      <alignment horizontal="right" vertical="center"/>
    </xf>
    <xf numFmtId="14" fontId="104" fillId="0" borderId="0" xfId="5" applyNumberFormat="1">
      <alignment vertical="center"/>
    </xf>
    <xf numFmtId="0" fontId="67" fillId="6" borderId="1" xfId="1" applyNumberFormat="1" applyFont="1" applyFill="1" applyBorder="1" applyAlignment="1" applyProtection="1"/>
    <xf numFmtId="0" fontId="55" fillId="6" borderId="1" xfId="1" applyNumberFormat="1" applyFont="1" applyFill="1" applyBorder="1" applyAlignment="1" applyProtection="1">
      <alignment horizontal="center" vertical="center"/>
    </xf>
    <xf numFmtId="0" fontId="61" fillId="6" borderId="1" xfId="1" applyNumberFormat="1" applyFont="1" applyFill="1" applyBorder="1" applyAlignment="1" applyProtection="1">
      <alignment horizontal="center"/>
    </xf>
    <xf numFmtId="0" fontId="61" fillId="6" borderId="1" xfId="0" applyNumberFormat="1" applyFont="1" applyFill="1" applyBorder="1" applyProtection="1">
      <alignment vertical="center"/>
    </xf>
    <xf numFmtId="0" fontId="62" fillId="6" borderId="1" xfId="1" applyNumberFormat="1" applyFont="1" applyFill="1" applyBorder="1" applyAlignment="1" applyProtection="1">
      <alignment horizontal="center"/>
    </xf>
    <xf numFmtId="0" fontId="69" fillId="6" borderId="78" xfId="0" applyFont="1" applyFill="1" applyBorder="1" applyAlignment="1" applyProtection="1">
      <alignment horizontal="right" vertical="center" shrinkToFit="1"/>
    </xf>
    <xf numFmtId="0" fontId="69" fillId="6" borderId="78" xfId="0" applyNumberFormat="1" applyFont="1" applyFill="1" applyBorder="1" applyAlignment="1" applyProtection="1">
      <alignment horizontal="right" vertical="center" shrinkToFit="1"/>
    </xf>
    <xf numFmtId="0" fontId="69" fillId="0" borderId="0" xfId="0" applyFont="1" applyFill="1" applyBorder="1" applyAlignment="1" applyProtection="1">
      <alignment vertical="center"/>
      <protection locked="0"/>
    </xf>
    <xf numFmtId="0" fontId="53" fillId="0" borderId="2" xfId="7" applyFont="1" applyFill="1" applyBorder="1" applyAlignment="1" applyProtection="1">
      <alignment horizontal="center" vertical="center" wrapText="1"/>
    </xf>
    <xf numFmtId="0" fontId="53" fillId="0" borderId="1" xfId="7" applyFont="1" applyFill="1" applyBorder="1" applyAlignment="1" applyProtection="1">
      <alignment horizontal="center" vertical="center" wrapText="1"/>
    </xf>
    <xf numFmtId="0" fontId="69" fillId="0" borderId="1" xfId="7" applyFont="1" applyFill="1" applyBorder="1" applyAlignment="1" applyProtection="1">
      <alignment horizontal="center" vertical="center" wrapText="1"/>
    </xf>
    <xf numFmtId="0" fontId="53" fillId="0" borderId="3" xfId="7"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xf>
    <xf numFmtId="0" fontId="52" fillId="6" borderId="24" xfId="0" applyFont="1" applyFill="1" applyBorder="1" applyAlignment="1" applyProtection="1">
      <alignment horizontal="center" vertical="center"/>
    </xf>
    <xf numFmtId="184" fontId="55" fillId="0" borderId="1" xfId="0" applyNumberFormat="1" applyFont="1" applyFill="1" applyBorder="1" applyAlignment="1" applyProtection="1">
      <alignment horizontal="center" vertical="center" shrinkToFit="1"/>
      <protection locked="0"/>
    </xf>
    <xf numFmtId="184" fontId="55" fillId="6" borderId="1" xfId="0" applyNumberFormat="1" applyFont="1" applyFill="1" applyBorder="1" applyAlignment="1" applyProtection="1">
      <alignment horizontal="center" vertical="center"/>
    </xf>
    <xf numFmtId="179" fontId="69" fillId="6" borderId="1" xfId="0" applyNumberFormat="1" applyFont="1" applyFill="1" applyBorder="1" applyAlignment="1" applyProtection="1">
      <alignment horizontal="center" vertical="center" wrapText="1"/>
    </xf>
    <xf numFmtId="177" fontId="69" fillId="5" borderId="1" xfId="1" applyNumberFormat="1" applyFont="1" applyFill="1" applyBorder="1" applyAlignment="1" applyProtection="1">
      <alignment horizontal="center" vertical="center"/>
      <protection locked="0"/>
    </xf>
    <xf numFmtId="177" fontId="55" fillId="6" borderId="23" xfId="1" applyNumberFormat="1" applyFont="1" applyFill="1" applyBorder="1" applyAlignment="1" applyProtection="1">
      <alignment horizontal="center" vertical="center"/>
    </xf>
    <xf numFmtId="0" fontId="69" fillId="0" borderId="3" xfId="7" applyFont="1" applyFill="1" applyBorder="1" applyAlignment="1" applyProtection="1">
      <alignment horizontal="center" vertical="center" wrapText="1"/>
    </xf>
    <xf numFmtId="0" fontId="69" fillId="0" borderId="78" xfId="7"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wrapText="1"/>
    </xf>
    <xf numFmtId="181" fontId="52" fillId="6" borderId="8" xfId="0" applyNumberFormat="1" applyFont="1" applyFill="1" applyBorder="1" applyProtection="1">
      <alignment vertical="center"/>
    </xf>
    <xf numFmtId="181" fontId="60" fillId="6" borderId="59" xfId="0" applyNumberFormat="1" applyFont="1" applyFill="1" applyBorder="1" applyAlignment="1" applyProtection="1">
      <alignment horizontal="center" vertical="center"/>
    </xf>
    <xf numFmtId="0" fontId="134" fillId="6" borderId="0" xfId="0" applyFont="1" applyFill="1" applyAlignment="1" applyProtection="1">
      <alignment horizontal="center" vertical="center"/>
    </xf>
    <xf numFmtId="184" fontId="131" fillId="0" borderId="1" xfId="0" applyNumberFormat="1" applyFont="1" applyFill="1" applyBorder="1" applyAlignment="1">
      <alignment horizontal="right" vertical="center"/>
    </xf>
    <xf numFmtId="0" fontId="122" fillId="6" borderId="40" xfId="0" applyFont="1" applyFill="1" applyBorder="1" applyAlignment="1" applyProtection="1">
      <alignment vertical="center" wrapText="1"/>
    </xf>
    <xf numFmtId="0" fontId="122" fillId="6" borderId="13" xfId="0" applyFont="1" applyFill="1" applyBorder="1" applyAlignment="1" applyProtection="1">
      <alignment horizontal="center" vertical="center"/>
    </xf>
    <xf numFmtId="0" fontId="122" fillId="6" borderId="29" xfId="0" applyFont="1" applyFill="1" applyBorder="1" applyAlignment="1" applyProtection="1">
      <alignment horizontal="center" vertical="center"/>
    </xf>
    <xf numFmtId="10" fontId="110" fillId="0" borderId="9" xfId="0" applyNumberFormat="1" applyFont="1" applyBorder="1" applyAlignment="1">
      <alignment horizontal="center" vertical="center" wrapText="1"/>
    </xf>
    <xf numFmtId="10" fontId="110" fillId="0" borderId="10" xfId="0" applyNumberFormat="1" applyFont="1" applyBorder="1" applyAlignment="1">
      <alignment horizontal="center" vertical="center" wrapText="1"/>
    </xf>
    <xf numFmtId="10" fontId="110" fillId="0" borderId="1" xfId="0" applyNumberFormat="1" applyFont="1" applyBorder="1" applyAlignment="1">
      <alignment horizontal="center" vertical="center" wrapText="1"/>
    </xf>
    <xf numFmtId="10" fontId="110" fillId="0" borderId="24" xfId="0" applyNumberFormat="1" applyFont="1" applyBorder="1" applyAlignment="1">
      <alignment horizontal="center" vertical="center" wrapText="1"/>
    </xf>
    <xf numFmtId="10" fontId="110" fillId="0" borderId="32" xfId="0" applyNumberFormat="1" applyFont="1" applyBorder="1" applyAlignment="1">
      <alignment horizontal="center" vertical="center" wrapText="1"/>
    </xf>
    <xf numFmtId="10" fontId="110" fillId="0" borderId="49" xfId="0" applyNumberFormat="1" applyFont="1" applyBorder="1" applyAlignment="1">
      <alignment horizontal="center" vertical="center" wrapText="1"/>
    </xf>
    <xf numFmtId="0" fontId="121" fillId="6" borderId="13" xfId="0" applyFont="1" applyFill="1" applyBorder="1" applyAlignment="1" applyProtection="1">
      <alignment horizontal="center" vertical="center" wrapText="1"/>
    </xf>
    <xf numFmtId="10" fontId="110" fillId="0" borderId="13" xfId="0" applyNumberFormat="1" applyFont="1" applyBorder="1" applyAlignment="1">
      <alignment horizontal="center" vertical="center" wrapText="1"/>
    </xf>
    <xf numFmtId="0" fontId="121" fillId="6" borderId="84" xfId="0" applyFont="1" applyFill="1" applyBorder="1" applyAlignment="1" applyProtection="1">
      <alignment horizontal="center" vertical="center" wrapText="1"/>
    </xf>
    <xf numFmtId="10" fontId="110" fillId="0" borderId="67" xfId="0" applyNumberFormat="1" applyFont="1" applyBorder="1" applyAlignment="1">
      <alignment horizontal="center" vertical="center" wrapText="1"/>
    </xf>
    <xf numFmtId="0" fontId="121" fillId="6" borderId="14" xfId="0" applyFont="1" applyFill="1" applyBorder="1" applyAlignment="1" applyProtection="1">
      <alignment vertical="center" wrapText="1"/>
    </xf>
    <xf numFmtId="10" fontId="110"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9" fillId="6" borderId="28" xfId="0" applyNumberFormat="1" applyFont="1" applyFill="1" applyBorder="1" applyProtection="1">
      <alignment vertical="center"/>
    </xf>
    <xf numFmtId="0" fontId="109" fillId="6" borderId="5" xfId="0" applyNumberFormat="1" applyFont="1" applyFill="1" applyBorder="1" applyProtection="1">
      <alignment vertical="center"/>
    </xf>
    <xf numFmtId="0" fontId="109" fillId="6" borderId="33" xfId="0" applyNumberFormat="1" applyFont="1" applyFill="1" applyBorder="1" applyProtection="1">
      <alignment vertical="center"/>
    </xf>
    <xf numFmtId="10" fontId="61" fillId="6" borderId="1" xfId="0" applyNumberFormat="1" applyFont="1" applyFill="1" applyBorder="1" applyAlignment="1" applyProtection="1">
      <alignment vertical="center" wrapText="1"/>
    </xf>
    <xf numFmtId="0" fontId="66" fillId="6" borderId="41" xfId="0" applyFont="1" applyFill="1" applyBorder="1" applyAlignment="1" applyProtection="1">
      <alignment horizontal="center" vertical="center"/>
    </xf>
    <xf numFmtId="0" fontId="66" fillId="0" borderId="2" xfId="0" applyFont="1" applyBorder="1" applyAlignment="1" applyProtection="1">
      <alignment horizontal="center" vertical="center"/>
      <protection locked="0"/>
    </xf>
    <xf numFmtId="0" fontId="66" fillId="0" borderId="4" xfId="0" applyFont="1" applyBorder="1" applyAlignment="1" applyProtection="1">
      <alignment horizontal="center" vertical="center"/>
      <protection locked="0"/>
    </xf>
    <xf numFmtId="0" fontId="66" fillId="0" borderId="94"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187" fontId="66" fillId="6" borderId="8"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0" fontId="66" fillId="0" borderId="1" xfId="0" applyFont="1" applyBorder="1" applyAlignment="1" applyProtection="1">
      <alignment horizontal="center" vertical="center"/>
      <protection locked="0"/>
    </xf>
    <xf numFmtId="0" fontId="66" fillId="0" borderId="5" xfId="0" applyFont="1" applyBorder="1" applyAlignment="1" applyProtection="1">
      <alignment horizontal="center" vertical="center"/>
      <protection locked="0"/>
    </xf>
    <xf numFmtId="0" fontId="66" fillId="0" borderId="93" xfId="0" applyFont="1" applyFill="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6" borderId="24" xfId="0" applyFont="1" applyFill="1" applyBorder="1" applyAlignment="1" applyProtection="1">
      <alignment horizontal="center" vertical="center"/>
    </xf>
    <xf numFmtId="178" fontId="66" fillId="6" borderId="24" xfId="0" applyNumberFormat="1" applyFont="1" applyFill="1" applyBorder="1" applyAlignment="1" applyProtection="1">
      <alignment horizontal="center" vertical="center"/>
    </xf>
    <xf numFmtId="178" fontId="66" fillId="0" borderId="24" xfId="0" applyNumberFormat="1"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66" fillId="6" borderId="32" xfId="0" applyFont="1" applyFill="1" applyBorder="1" applyAlignment="1" applyProtection="1">
      <alignment horizontal="center" vertical="center"/>
    </xf>
    <xf numFmtId="0" fontId="66" fillId="6" borderId="47" xfId="0" applyFont="1" applyFill="1" applyBorder="1" applyAlignment="1" applyProtection="1">
      <alignment horizontal="center" vertical="center"/>
    </xf>
    <xf numFmtId="0" fontId="66" fillId="0" borderId="32" xfId="0" applyFont="1" applyBorder="1" applyAlignment="1" applyProtection="1">
      <alignment horizontal="center" vertical="center"/>
      <protection locked="0"/>
    </xf>
    <xf numFmtId="178" fontId="66" fillId="6" borderId="49" xfId="0" applyNumberFormat="1" applyFont="1" applyFill="1" applyBorder="1" applyAlignment="1" applyProtection="1">
      <alignment horizontal="center" vertical="center"/>
    </xf>
    <xf numFmtId="177" fontId="61"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89" fontId="59" fillId="6" borderId="0" xfId="0" applyNumberFormat="1" applyFont="1" applyFill="1" applyAlignment="1" applyProtection="1">
      <alignment horizontal="center" vertical="center"/>
      <protection locked="0"/>
    </xf>
    <xf numFmtId="181" fontId="59" fillId="6" borderId="0" xfId="0" applyNumberFormat="1" applyFont="1" applyFill="1" applyAlignment="1" applyProtection="1">
      <alignment horizontal="center" vertical="center"/>
      <protection locked="0"/>
    </xf>
    <xf numFmtId="0" fontId="59" fillId="6" borderId="28"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80" fillId="5" borderId="23" xfId="0" applyFont="1" applyFill="1" applyBorder="1" applyAlignment="1" applyProtection="1">
      <alignment horizontal="center" vertical="center"/>
      <protection locked="0"/>
    </xf>
    <xf numFmtId="0" fontId="110" fillId="6" borderId="49" xfId="0" applyFont="1" applyFill="1" applyBorder="1" applyAlignment="1" applyProtection="1">
      <alignment horizontal="center" vertical="center"/>
    </xf>
    <xf numFmtId="0" fontId="110" fillId="6" borderId="86" xfId="0" applyFont="1" applyFill="1" applyBorder="1" applyAlignment="1" applyProtection="1">
      <alignment horizontal="center" vertical="center"/>
    </xf>
    <xf numFmtId="0" fontId="110" fillId="0" borderId="86" xfId="0" applyFont="1" applyFill="1" applyBorder="1" applyAlignment="1" applyProtection="1">
      <alignment horizontal="center" vertical="center"/>
      <protection locked="0"/>
    </xf>
    <xf numFmtId="0" fontId="110" fillId="0" borderId="97" xfId="0" applyFont="1" applyFill="1" applyBorder="1" applyAlignment="1" applyProtection="1">
      <alignment horizontal="center" vertical="center"/>
      <protection locked="0"/>
    </xf>
    <xf numFmtId="0" fontId="80" fillId="6" borderId="32" xfId="0" applyFont="1" applyFill="1" applyBorder="1" applyAlignment="1" applyProtection="1">
      <alignment horizontal="center" vertical="center"/>
    </xf>
    <xf numFmtId="0" fontId="55" fillId="0" borderId="2" xfId="0" applyNumberFormat="1" applyFont="1" applyFill="1" applyBorder="1" applyAlignment="1" applyProtection="1">
      <alignment horizontal="center" vertical="center" wrapText="1"/>
      <protection locked="0"/>
    </xf>
    <xf numFmtId="0" fontId="55" fillId="6" borderId="98" xfId="0" applyNumberFormat="1" applyFont="1" applyFill="1" applyBorder="1" applyAlignment="1" applyProtection="1">
      <alignment horizontal="center" vertical="center" wrapText="1"/>
    </xf>
    <xf numFmtId="0" fontId="61" fillId="0" borderId="99" xfId="0" applyNumberFormat="1" applyFont="1" applyFill="1" applyBorder="1" applyAlignment="1" applyProtection="1">
      <alignment horizontal="center" vertical="center" wrapText="1"/>
      <protection locked="0"/>
    </xf>
    <xf numFmtId="0" fontId="61" fillId="6" borderId="100" xfId="0" applyNumberFormat="1" applyFont="1" applyFill="1" applyBorder="1" applyAlignment="1" applyProtection="1">
      <alignment horizontal="center" vertical="center" wrapText="1"/>
    </xf>
    <xf numFmtId="0" fontId="61" fillId="6" borderId="99" xfId="0" applyNumberFormat="1" applyFont="1" applyFill="1" applyBorder="1" applyAlignment="1" applyProtection="1">
      <alignment horizontal="center" vertical="center" wrapText="1"/>
    </xf>
    <xf numFmtId="0" fontId="55" fillId="0" borderId="101"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6" borderId="101" xfId="0" applyNumberFormat="1" applyFont="1" applyFill="1" applyBorder="1" applyAlignment="1" applyProtection="1">
      <alignment horizontal="center" vertical="center" wrapText="1"/>
    </xf>
    <xf numFmtId="0" fontId="59" fillId="0" borderId="58" xfId="0" applyFont="1" applyFill="1" applyBorder="1" applyAlignment="1" applyProtection="1">
      <alignment horizontal="center" vertical="center"/>
      <protection locked="0"/>
    </xf>
    <xf numFmtId="0" fontId="65"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3" fillId="6" borderId="0" xfId="0" applyFont="1" applyFill="1" applyBorder="1" applyAlignment="1" applyProtection="1">
      <alignment vertical="center"/>
      <protection locked="0"/>
    </xf>
    <xf numFmtId="189" fontId="70" fillId="6" borderId="0" xfId="0" applyNumberFormat="1" applyFont="1" applyFill="1" applyBorder="1" applyAlignment="1" applyProtection="1">
      <alignment horizontal="center" vertical="center"/>
      <protection locked="0"/>
    </xf>
    <xf numFmtId="181" fontId="70" fillId="6" borderId="0" xfId="0" applyNumberFormat="1" applyFont="1" applyFill="1" applyBorder="1" applyAlignment="1" applyProtection="1">
      <alignment vertical="center"/>
      <protection locked="0"/>
    </xf>
    <xf numFmtId="0" fontId="70" fillId="6" borderId="0"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9" fillId="6" borderId="0"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protection locked="0"/>
    </xf>
    <xf numFmtId="0" fontId="7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horizontal="center" vertical="center" wrapText="1"/>
      <protection locked="0"/>
    </xf>
    <xf numFmtId="0" fontId="59"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protection locked="0"/>
    </xf>
    <xf numFmtId="0" fontId="57" fillId="6" borderId="35" xfId="0"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wrapText="1"/>
      <protection locked="0"/>
    </xf>
    <xf numFmtId="0" fontId="59" fillId="6" borderId="0" xfId="0" applyFont="1" applyFill="1" applyAlignment="1" applyProtection="1">
      <alignment horizontal="center" vertical="center"/>
      <protection locked="0"/>
    </xf>
    <xf numFmtId="0" fontId="76" fillId="6" borderId="0" xfId="0" applyFont="1" applyFill="1" applyAlignment="1" applyProtection="1">
      <alignment horizontal="center" vertical="center"/>
      <protection locked="0"/>
    </xf>
    <xf numFmtId="14" fontId="59" fillId="6" borderId="0" xfId="0" applyNumberFormat="1" applyFont="1" applyFill="1" applyAlignment="1" applyProtection="1">
      <alignment horizontal="center" vertical="center"/>
      <protection locked="0"/>
    </xf>
    <xf numFmtId="9" fontId="59" fillId="6" borderId="0" xfId="0" applyNumberFormat="1" applyFont="1" applyFill="1" applyAlignment="1" applyProtection="1">
      <alignment horizontal="center" vertical="center"/>
      <protection locked="0"/>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176" fontId="59" fillId="6" borderId="0" xfId="0" applyNumberFormat="1" applyFont="1" applyFill="1" applyAlignment="1" applyProtection="1">
      <alignment horizontal="center" vertical="center"/>
      <protection locked="0"/>
    </xf>
    <xf numFmtId="0" fontId="52"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59"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xf>
    <xf numFmtId="189" fontId="59" fillId="0" borderId="0" xfId="0" applyNumberFormat="1" applyFont="1" applyFill="1" applyAlignment="1" applyProtection="1">
      <alignment horizontal="center" vertical="center"/>
    </xf>
    <xf numFmtId="181" fontId="59" fillId="0" borderId="0" xfId="0" applyNumberFormat="1" applyFont="1" applyFill="1" applyAlignment="1" applyProtection="1">
      <alignment horizontal="center" vertical="center"/>
    </xf>
    <xf numFmtId="0" fontId="61" fillId="6" borderId="0" xfId="0" applyFont="1" applyFill="1" applyAlignment="1" applyProtection="1">
      <protection locked="0"/>
    </xf>
    <xf numFmtId="0" fontId="59" fillId="6" borderId="0" xfId="0" applyFont="1" applyFill="1" applyBorder="1" applyAlignment="1" applyProtection="1">
      <protection locked="0"/>
    </xf>
    <xf numFmtId="189" fontId="59" fillId="6" borderId="0" xfId="0" applyNumberFormat="1" applyFont="1" applyFill="1" applyBorder="1" applyAlignment="1" applyProtection="1">
      <alignment horizontal="center"/>
      <protection locked="0"/>
    </xf>
    <xf numFmtId="181" fontId="59" fillId="6" borderId="0" xfId="0" applyNumberFormat="1" applyFont="1" applyFill="1" applyBorder="1" applyAlignment="1" applyProtection="1">
      <protection locked="0"/>
    </xf>
    <xf numFmtId="0" fontId="52" fillId="0" borderId="43" xfId="0" applyNumberFormat="1"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protection locked="0"/>
    </xf>
    <xf numFmtId="9" fontId="80" fillId="5" borderId="1" xfId="0" applyNumberFormat="1" applyFont="1" applyFill="1" applyBorder="1" applyAlignment="1" applyProtection="1">
      <alignment horizontal="center" vertical="center"/>
      <protection locked="0"/>
    </xf>
    <xf numFmtId="49" fontId="55" fillId="6" borderId="6" xfId="0" applyNumberFormat="1" applyFont="1" applyFill="1" applyBorder="1" applyAlignment="1" applyProtection="1">
      <alignment horizontal="center" vertical="center"/>
      <protection locked="0"/>
    </xf>
    <xf numFmtId="49" fontId="60" fillId="6" borderId="11" xfId="0" applyNumberFormat="1" applyFont="1" applyFill="1" applyBorder="1" applyAlignment="1" applyProtection="1">
      <alignment vertical="center"/>
      <protection locked="0"/>
    </xf>
    <xf numFmtId="0" fontId="60" fillId="6" borderId="13" xfId="0" applyFont="1" applyFill="1" applyBorder="1" applyAlignment="1" applyProtection="1">
      <alignment vertical="center" wrapText="1"/>
      <protection locked="0"/>
    </xf>
    <xf numFmtId="0" fontId="55" fillId="6" borderId="13" xfId="0" applyFont="1" applyFill="1" applyBorder="1" applyAlignment="1" applyProtection="1">
      <alignment vertical="center"/>
      <protection locked="0"/>
    </xf>
    <xf numFmtId="0" fontId="55" fillId="6" borderId="1" xfId="0" applyFont="1" applyFill="1" applyBorder="1" applyAlignment="1" applyProtection="1">
      <alignment horizontal="left" vertical="center"/>
      <protection locked="0"/>
    </xf>
    <xf numFmtId="49" fontId="60" fillId="6" borderId="14" xfId="0" applyNumberFormat="1" applyFont="1" applyFill="1" applyBorder="1" applyAlignment="1" applyProtection="1">
      <alignment vertical="center"/>
      <protection locked="0"/>
    </xf>
    <xf numFmtId="0" fontId="60" fillId="6" borderId="15" xfId="0" applyFont="1" applyFill="1" applyBorder="1" applyAlignment="1" applyProtection="1">
      <alignment vertical="center" wrapText="1"/>
      <protection locked="0"/>
    </xf>
    <xf numFmtId="0" fontId="55" fillId="6" borderId="15" xfId="0" applyFont="1" applyFill="1" applyBorder="1" applyAlignment="1" applyProtection="1">
      <alignment vertical="center"/>
      <protection locked="0"/>
    </xf>
    <xf numFmtId="49" fontId="60" fillId="6" borderId="41" xfId="0" applyNumberFormat="1" applyFont="1" applyFill="1" applyBorder="1" applyAlignment="1" applyProtection="1">
      <alignment vertical="center"/>
      <protection locked="0"/>
    </xf>
    <xf numFmtId="0" fontId="60" fillId="6" borderId="2" xfId="0" applyFont="1" applyFill="1" applyBorder="1" applyAlignment="1" applyProtection="1">
      <alignment vertical="center" wrapText="1"/>
      <protection locked="0"/>
    </xf>
    <xf numFmtId="0" fontId="55" fillId="6" borderId="2" xfId="0" applyFont="1" applyFill="1" applyBorder="1" applyAlignment="1" applyProtection="1">
      <alignment vertical="center"/>
      <protection locked="0"/>
    </xf>
    <xf numFmtId="49" fontId="60" fillId="6" borderId="23" xfId="0" applyNumberFormat="1" applyFont="1" applyFill="1" applyBorder="1" applyAlignment="1" applyProtection="1">
      <alignment horizontal="left" vertical="center"/>
      <protection locked="0"/>
    </xf>
    <xf numFmtId="0" fontId="60" fillId="6" borderId="1" xfId="0" applyFont="1" applyFill="1" applyBorder="1" applyAlignment="1" applyProtection="1">
      <alignment horizontal="left" vertical="center"/>
      <protection locked="0"/>
    </xf>
    <xf numFmtId="0" fontId="60" fillId="6" borderId="1" xfId="0" applyFont="1" applyFill="1" applyBorder="1" applyAlignment="1" applyProtection="1">
      <alignment horizontal="center" vertical="center"/>
      <protection locked="0"/>
    </xf>
    <xf numFmtId="0" fontId="55" fillId="6" borderId="5" xfId="0" applyFont="1" applyFill="1" applyBorder="1" applyAlignment="1" applyProtection="1">
      <alignment horizontal="left" vertical="center"/>
      <protection locked="0"/>
    </xf>
    <xf numFmtId="0" fontId="55" fillId="6" borderId="54" xfId="0" applyFont="1" applyFill="1" applyBorder="1" applyAlignment="1" applyProtection="1">
      <alignment horizontal="center" vertical="center"/>
      <protection locked="0"/>
    </xf>
    <xf numFmtId="0" fontId="55" fillId="6" borderId="48" xfId="0" applyFont="1" applyFill="1" applyBorder="1" applyAlignment="1" applyProtection="1">
      <alignment horizontal="center" vertical="center"/>
      <protection locked="0"/>
    </xf>
    <xf numFmtId="0" fontId="55" fillId="6" borderId="5"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5" fillId="6" borderId="13" xfId="0" applyFont="1" applyFill="1" applyBorder="1" applyAlignment="1" applyProtection="1">
      <alignment horizontal="left" vertical="center" wrapText="1"/>
      <protection locked="0"/>
    </xf>
    <xf numFmtId="0" fontId="55" fillId="6" borderId="2" xfId="0" applyFont="1" applyFill="1" applyBorder="1" applyAlignment="1" applyProtection="1">
      <alignment horizontal="left" vertical="center" wrapText="1"/>
      <protection locked="0"/>
    </xf>
    <xf numFmtId="0" fontId="60" fillId="6" borderId="1" xfId="0" applyFont="1" applyFill="1" applyBorder="1" applyAlignment="1" applyProtection="1">
      <alignment horizontal="left" vertical="center" wrapText="1"/>
      <protection locked="0"/>
    </xf>
    <xf numFmtId="0" fontId="55" fillId="6" borderId="54" xfId="0" applyFont="1" applyFill="1" applyBorder="1" applyAlignment="1" applyProtection="1">
      <alignment horizontal="center" vertical="center" wrapText="1"/>
      <protection locked="0"/>
    </xf>
    <xf numFmtId="0" fontId="55" fillId="6" borderId="48" xfId="0" applyFont="1" applyFill="1" applyBorder="1" applyAlignment="1" applyProtection="1">
      <alignment horizontal="center" vertical="center" wrapText="1"/>
      <protection locked="0"/>
    </xf>
    <xf numFmtId="0" fontId="55" fillId="6" borderId="15" xfId="0" applyFont="1" applyFill="1" applyBorder="1" applyAlignment="1" applyProtection="1">
      <alignment horizontal="left" vertical="center" wrapText="1"/>
      <protection locked="0"/>
    </xf>
    <xf numFmtId="49" fontId="60" fillId="6" borderId="25" xfId="0" applyNumberFormat="1" applyFont="1" applyFill="1" applyBorder="1" applyAlignment="1" applyProtection="1">
      <alignment horizontal="left" vertical="center"/>
      <protection locked="0"/>
    </xf>
    <xf numFmtId="0" fontId="60" fillId="6" borderId="32" xfId="0" applyFont="1" applyFill="1" applyBorder="1" applyAlignment="1" applyProtection="1">
      <alignment horizontal="left" vertical="center"/>
      <protection locked="0"/>
    </xf>
    <xf numFmtId="0" fontId="55" fillId="6" borderId="32" xfId="0" applyFont="1" applyFill="1" applyBorder="1" applyAlignment="1" applyProtection="1">
      <alignment vertical="center"/>
      <protection locked="0"/>
    </xf>
    <xf numFmtId="0" fontId="55" fillId="6" borderId="32" xfId="0" applyFont="1" applyFill="1" applyBorder="1" applyAlignment="1" applyProtection="1">
      <alignment horizontal="left" vertical="center"/>
      <protection locked="0"/>
    </xf>
    <xf numFmtId="49" fontId="60" fillId="6" borderId="55" xfId="0" applyNumberFormat="1" applyFont="1" applyFill="1" applyBorder="1" applyAlignment="1" applyProtection="1">
      <alignment horizontal="left" vertical="center"/>
      <protection locked="0"/>
    </xf>
    <xf numFmtId="49" fontId="60" fillId="6" borderId="18" xfId="0" applyNumberFormat="1" applyFont="1" applyFill="1" applyBorder="1" applyAlignment="1" applyProtection="1">
      <alignment horizontal="center" vertical="center"/>
      <protection locked="0"/>
    </xf>
    <xf numFmtId="49" fontId="60" fillId="6" borderId="18" xfId="0" applyNumberFormat="1" applyFont="1" applyFill="1" applyBorder="1" applyAlignment="1" applyProtection="1">
      <alignment horizontal="left" vertical="center"/>
      <protection locked="0"/>
    </xf>
    <xf numFmtId="0" fontId="55" fillId="6" borderId="17" xfId="0" applyFont="1" applyFill="1" applyBorder="1" applyAlignment="1" applyProtection="1">
      <alignment horizontal="center" vertical="center"/>
      <protection locked="0"/>
    </xf>
    <xf numFmtId="0" fontId="60" fillId="6" borderId="58" xfId="0" applyFont="1" applyFill="1" applyBorder="1" applyAlignment="1" applyProtection="1">
      <alignment vertical="center" wrapText="1"/>
      <protection locked="0"/>
    </xf>
    <xf numFmtId="0" fontId="60" fillId="6" borderId="58" xfId="0" applyFont="1" applyFill="1" applyBorder="1" applyAlignment="1" applyProtection="1">
      <alignment horizontal="center" vertical="center"/>
      <protection locked="0"/>
    </xf>
    <xf numFmtId="0" fontId="55" fillId="6" borderId="3" xfId="0" applyFont="1" applyFill="1" applyBorder="1" applyAlignment="1" applyProtection="1">
      <alignment horizontal="left" vertical="center"/>
      <protection locked="0"/>
    </xf>
    <xf numFmtId="49" fontId="55" fillId="6" borderId="23" xfId="0" applyNumberFormat="1" applyFont="1" applyFill="1" applyBorder="1" applyAlignment="1" applyProtection="1">
      <alignment horizontal="left" vertical="center"/>
    </xf>
    <xf numFmtId="0" fontId="140" fillId="0" borderId="1" xfId="5" applyFont="1" applyBorder="1">
      <alignment vertical="center"/>
    </xf>
    <xf numFmtId="184" fontId="140" fillId="0" borderId="1" xfId="0" applyNumberFormat="1" applyFont="1" applyFill="1" applyBorder="1" applyAlignment="1">
      <alignment horizontal="right" vertical="center"/>
    </xf>
    <xf numFmtId="0" fontId="55" fillId="6" borderId="32" xfId="0" applyFont="1" applyFill="1" applyBorder="1" applyAlignment="1" applyProtection="1">
      <alignment horizontal="center" vertical="center"/>
    </xf>
    <xf numFmtId="0" fontId="62" fillId="6" borderId="46" xfId="0" applyNumberFormat="1" applyFont="1" applyFill="1" applyBorder="1" applyAlignment="1" applyProtection="1">
      <alignment vertical="center" wrapText="1"/>
      <protection locked="0"/>
    </xf>
    <xf numFmtId="0" fontId="55" fillId="6" borderId="21"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vertical="center" textRotation="255" wrapText="1"/>
      <protection locked="0"/>
    </xf>
    <xf numFmtId="0" fontId="68" fillId="6" borderId="58"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0" borderId="59" xfId="0" applyNumberFormat="1" applyFont="1" applyFill="1" applyBorder="1" applyAlignment="1" applyProtection="1">
      <alignment horizontal="center" vertical="center" wrapText="1"/>
      <protection locked="0"/>
    </xf>
    <xf numFmtId="0" fontId="61" fillId="6" borderId="56"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wrapText="1"/>
      <protection locked="0"/>
    </xf>
    <xf numFmtId="0" fontId="55"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61" fillId="6" borderId="13" xfId="0" applyNumberFormat="1" applyFont="1" applyFill="1" applyBorder="1" applyAlignment="1" applyProtection="1">
      <alignment horizontal="center" vertical="center" wrapText="1"/>
    </xf>
    <xf numFmtId="0" fontId="55" fillId="0" borderId="117" xfId="0" applyFont="1" applyFill="1" applyBorder="1" applyAlignment="1" applyProtection="1">
      <alignment horizontal="center" vertical="center"/>
      <protection locked="0"/>
    </xf>
    <xf numFmtId="0" fontId="55" fillId="0" borderId="118"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wrapText="1"/>
      <protection locked="0"/>
    </xf>
    <xf numFmtId="9" fontId="55" fillId="0" borderId="118"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4" xfId="0" applyFont="1" applyFill="1" applyBorder="1" applyAlignment="1" applyProtection="1">
      <alignment horizontal="center" vertical="center"/>
      <protection locked="0"/>
    </xf>
    <xf numFmtId="0" fontId="55" fillId="6" borderId="114"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protection locked="0"/>
    </xf>
    <xf numFmtId="0" fontId="61" fillId="0" borderId="116" xfId="0" applyNumberFormat="1" applyFont="1" applyFill="1" applyBorder="1" applyAlignment="1" applyProtection="1">
      <alignment horizontal="center" vertical="center" wrapText="1"/>
      <protection locked="0"/>
    </xf>
    <xf numFmtId="0" fontId="55" fillId="10" borderId="6" xfId="0" applyNumberFormat="1" applyFont="1" applyFill="1" applyBorder="1" applyAlignment="1" applyProtection="1">
      <alignment horizontal="center" vertical="center" wrapText="1"/>
      <protection locked="0"/>
    </xf>
    <xf numFmtId="0" fontId="55" fillId="10" borderId="9" xfId="0" applyNumberFormat="1" applyFont="1" applyFill="1" applyBorder="1" applyAlignment="1" applyProtection="1">
      <alignment horizontal="center" vertical="center" wrapText="1"/>
      <protection locked="0"/>
    </xf>
    <xf numFmtId="0" fontId="55" fillId="10" borderId="9" xfId="0" applyNumberFormat="1" applyFont="1" applyFill="1" applyBorder="1" applyAlignment="1" applyProtection="1">
      <alignment horizontal="left" vertical="center" wrapText="1"/>
      <protection locked="0"/>
    </xf>
    <xf numFmtId="0" fontId="55" fillId="10" borderId="28" xfId="0" applyNumberFormat="1" applyFont="1" applyFill="1" applyBorder="1" applyAlignment="1" applyProtection="1">
      <alignment horizontal="center" vertical="center" wrapText="1"/>
      <protection locked="0"/>
    </xf>
    <xf numFmtId="0" fontId="55" fillId="10" borderId="29" xfId="0" applyFont="1" applyFill="1" applyBorder="1" applyAlignment="1" applyProtection="1">
      <alignment horizontal="center" vertical="center"/>
      <protection locked="0"/>
    </xf>
    <xf numFmtId="0" fontId="55" fillId="10" borderId="17" xfId="0" applyNumberFormat="1" applyFont="1" applyFill="1" applyBorder="1" applyAlignment="1" applyProtection="1">
      <alignment horizontal="center" vertical="center" wrapText="1"/>
      <protection locked="0"/>
    </xf>
    <xf numFmtId="0" fontId="55" fillId="10" borderId="17" xfId="0" applyFont="1" applyFill="1" applyBorder="1" applyAlignment="1" applyProtection="1">
      <alignment horizontal="center" vertical="center" wrapText="1"/>
      <protection locked="0"/>
    </xf>
    <xf numFmtId="9" fontId="55" fillId="10" borderId="17" xfId="0" applyNumberFormat="1" applyFont="1" applyFill="1" applyBorder="1" applyAlignment="1" applyProtection="1">
      <alignment horizontal="center" vertical="center" wrapText="1"/>
      <protection locked="0"/>
    </xf>
    <xf numFmtId="0" fontId="55" fillId="10" borderId="17" xfId="0" applyFont="1" applyFill="1" applyBorder="1" applyAlignment="1" applyProtection="1">
      <alignment horizontal="center" vertical="center"/>
      <protection locked="0"/>
    </xf>
    <xf numFmtId="0" fontId="55" fillId="10" borderId="31" xfId="0" applyFont="1" applyFill="1" applyBorder="1" applyAlignment="1" applyProtection="1">
      <alignment horizontal="center" vertical="center"/>
      <protection locked="0"/>
    </xf>
    <xf numFmtId="0" fontId="60" fillId="10" borderId="97" xfId="0" applyNumberFormat="1" applyFont="1" applyFill="1" applyBorder="1" applyAlignment="1" applyProtection="1">
      <alignment vertical="center" wrapText="1"/>
      <protection locked="0"/>
    </xf>
    <xf numFmtId="0" fontId="55" fillId="10" borderId="42" xfId="0" applyNumberFormat="1" applyFont="1" applyFill="1" applyBorder="1" applyAlignment="1" applyProtection="1">
      <alignment horizontal="center" vertical="center" wrapText="1"/>
    </xf>
    <xf numFmtId="0" fontId="55" fillId="10" borderId="25" xfId="0" applyNumberFormat="1" applyFont="1" applyFill="1" applyBorder="1" applyAlignment="1" applyProtection="1">
      <alignment horizontal="center" vertical="center" wrapText="1"/>
      <protection locked="0"/>
    </xf>
    <xf numFmtId="0" fontId="61" fillId="10" borderId="32" xfId="0" applyNumberFormat="1" applyFont="1" applyFill="1" applyBorder="1" applyAlignment="1" applyProtection="1">
      <alignment horizontal="center" vertical="center" wrapText="1"/>
      <protection locked="0"/>
    </xf>
    <xf numFmtId="0" fontId="61" fillId="10" borderId="33" xfId="0" applyNumberFormat="1" applyFont="1" applyFill="1" applyBorder="1" applyAlignment="1" applyProtection="1">
      <alignment horizontal="center" vertical="center" wrapText="1"/>
      <protection locked="0"/>
    </xf>
    <xf numFmtId="0" fontId="61" fillId="10" borderId="68" xfId="0" applyNumberFormat="1" applyFont="1" applyFill="1" applyBorder="1" applyAlignment="1" applyProtection="1">
      <alignment horizontal="center" vertical="center" wrapText="1"/>
      <protection locked="0"/>
    </xf>
    <xf numFmtId="0" fontId="52" fillId="6" borderId="1" xfId="0" applyFont="1" applyFill="1" applyBorder="1" applyProtection="1">
      <alignment vertical="center"/>
    </xf>
    <xf numFmtId="176" fontId="52" fillId="6" borderId="1" xfId="0" applyNumberFormat="1" applyFont="1" applyFill="1" applyBorder="1" applyProtection="1">
      <alignment vertical="center"/>
    </xf>
    <xf numFmtId="0" fontId="52" fillId="6" borderId="1" xfId="0" applyFont="1" applyFill="1" applyBorder="1" applyAlignment="1" applyProtection="1">
      <alignment horizontal="right" vertical="center" wrapText="1"/>
    </xf>
    <xf numFmtId="181" fontId="57" fillId="6" borderId="1" xfId="0" applyNumberFormat="1" applyFont="1" applyFill="1" applyBorder="1" applyAlignment="1" applyProtection="1">
      <alignment horizontal="center" vertical="center"/>
      <protection locked="0"/>
    </xf>
    <xf numFmtId="179" fontId="55" fillId="6" borderId="23" xfId="1" applyNumberFormat="1" applyFont="1" applyFill="1" applyBorder="1" applyAlignment="1" applyProtection="1">
      <alignment horizontal="center"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xf>
    <xf numFmtId="179" fontId="52" fillId="6" borderId="25" xfId="1" applyNumberFormat="1" applyFont="1" applyFill="1" applyBorder="1" applyAlignment="1" applyProtection="1">
      <alignment horizontal="center" vertical="center"/>
    </xf>
    <xf numFmtId="181" fontId="52" fillId="6" borderId="1" xfId="0" applyNumberFormat="1" applyFont="1" applyFill="1" applyBorder="1" applyAlignment="1" applyProtection="1">
      <alignment vertical="center"/>
    </xf>
    <xf numFmtId="181" fontId="52" fillId="6" borderId="5" xfId="0" applyNumberFormat="1" applyFont="1" applyFill="1" applyBorder="1" applyAlignment="1" applyProtection="1">
      <alignment vertical="center"/>
    </xf>
    <xf numFmtId="181" fontId="52" fillId="6" borderId="24" xfId="0" applyNumberFormat="1" applyFont="1" applyFill="1" applyBorder="1" applyAlignment="1" applyProtection="1">
      <alignment vertical="center"/>
    </xf>
    <xf numFmtId="0" fontId="52" fillId="6" borderId="3" xfId="0" applyFont="1" applyFill="1" applyBorder="1" applyAlignment="1" applyProtection="1">
      <alignment vertical="center"/>
    </xf>
    <xf numFmtId="181" fontId="52" fillId="6" borderId="1" xfId="0" applyNumberFormat="1" applyFont="1" applyFill="1" applyBorder="1" applyAlignment="1" applyProtection="1">
      <alignment horizontal="center" vertical="center"/>
    </xf>
    <xf numFmtId="181" fontId="52" fillId="6" borderId="5" xfId="0" applyNumberFormat="1" applyFont="1" applyFill="1" applyBorder="1" applyAlignment="1" applyProtection="1">
      <alignment horizontal="center" vertical="center"/>
    </xf>
    <xf numFmtId="0" fontId="52" fillId="6" borderId="23" xfId="0" applyFont="1" applyFill="1" applyBorder="1" applyAlignment="1" applyProtection="1">
      <alignment horizontal="center" vertical="center"/>
    </xf>
    <xf numFmtId="10" fontId="52" fillId="6" borderId="1" xfId="0" applyNumberFormat="1" applyFont="1" applyFill="1" applyBorder="1" applyAlignment="1" applyProtection="1">
      <alignment horizontal="center" vertical="center"/>
    </xf>
    <xf numFmtId="183" fontId="52" fillId="6" borderId="1"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4" fontId="52" fillId="6" borderId="67" xfId="0" applyNumberFormat="1"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110" fillId="6" borderId="1" xfId="0" applyFont="1" applyFill="1" applyBorder="1" applyAlignment="1" applyProtection="1">
      <alignment horizontal="left" vertical="center" wrapText="1"/>
      <protection locked="0"/>
    </xf>
    <xf numFmtId="0" fontId="55" fillId="3" borderId="5"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76" fontId="55" fillId="0" borderId="1" xfId="0" applyNumberFormat="1" applyFont="1" applyFill="1" applyBorder="1" applyAlignment="1" applyProtection="1">
      <alignment horizontal="center" vertical="center" wrapText="1"/>
      <protection locked="0"/>
    </xf>
    <xf numFmtId="179" fontId="52" fillId="6" borderId="2" xfId="0" applyNumberFormat="1" applyFont="1" applyFill="1" applyBorder="1" applyProtection="1">
      <alignment vertical="center"/>
    </xf>
    <xf numFmtId="181" fontId="60" fillId="0" borderId="24" xfId="0" applyNumberFormat="1" applyFont="1" applyFill="1" applyBorder="1" applyAlignment="1" applyProtection="1">
      <alignment horizontal="center" vertical="center"/>
      <protection locked="0"/>
    </xf>
    <xf numFmtId="0" fontId="55" fillId="6" borderId="46" xfId="0" applyFont="1" applyFill="1" applyBorder="1" applyAlignment="1" applyProtection="1">
      <alignment vertical="center"/>
      <protection locked="0"/>
    </xf>
    <xf numFmtId="0" fontId="55" fillId="6" borderId="7" xfId="0" applyFont="1" applyFill="1" applyBorder="1" applyAlignment="1" applyProtection="1">
      <alignment horizontal="left" vertical="center"/>
      <protection locked="0"/>
    </xf>
    <xf numFmtId="0" fontId="60" fillId="6" borderId="8" xfId="0" applyFont="1" applyFill="1" applyBorder="1" applyAlignment="1" applyProtection="1">
      <alignment horizontal="center" vertical="center"/>
    </xf>
    <xf numFmtId="0" fontId="55" fillId="6" borderId="29" xfId="0" applyFont="1" applyFill="1" applyBorder="1" applyAlignment="1" applyProtection="1">
      <alignment horizontal="right" vertical="center"/>
      <protection locked="0"/>
    </xf>
    <xf numFmtId="0" fontId="55" fillId="6" borderId="31" xfId="0" applyFont="1" applyFill="1" applyBorder="1" applyAlignment="1" applyProtection="1">
      <alignment horizontal="center" vertical="center"/>
      <protection locked="0"/>
    </xf>
    <xf numFmtId="0" fontId="62" fillId="7" borderId="24"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xf>
    <xf numFmtId="0" fontId="66" fillId="6" borderId="0" xfId="0" applyNumberFormat="1" applyFont="1" applyFill="1" applyBorder="1" applyAlignment="1" applyProtection="1">
      <alignment horizontal="center"/>
    </xf>
    <xf numFmtId="10" fontId="109" fillId="0" borderId="1" xfId="0" applyNumberFormat="1" applyFont="1" applyBorder="1" applyAlignment="1" applyProtection="1">
      <alignment horizontal="center" vertical="center"/>
      <protection locked="0"/>
    </xf>
    <xf numFmtId="10" fontId="59" fillId="6" borderId="1" xfId="0" applyNumberFormat="1" applyFont="1" applyFill="1" applyBorder="1" applyAlignment="1" applyProtection="1">
      <alignment horizontal="center" vertical="center" wrapText="1"/>
    </xf>
    <xf numFmtId="10" fontId="110" fillId="6" borderId="1" xfId="0" applyNumberFormat="1" applyFont="1" applyFill="1" applyBorder="1" applyAlignment="1" applyProtection="1">
      <alignment horizontal="center" vertical="center" wrapText="1"/>
    </xf>
    <xf numFmtId="179" fontId="125" fillId="6" borderId="15" xfId="0" applyNumberFormat="1"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xf>
    <xf numFmtId="0" fontId="17" fillId="6" borderId="24" xfId="0" applyFont="1" applyFill="1" applyBorder="1" applyAlignment="1" applyProtection="1">
      <alignment vertical="center"/>
    </xf>
    <xf numFmtId="0" fontId="60" fillId="6" borderId="4" xfId="0" applyFont="1" applyFill="1" applyBorder="1" applyAlignment="1" applyProtection="1">
      <alignment horizontal="center" vertical="center"/>
    </xf>
    <xf numFmtId="49" fontId="55" fillId="6" borderId="11" xfId="0" applyNumberFormat="1" applyFont="1" applyFill="1" applyBorder="1" applyAlignment="1" applyProtection="1">
      <alignment horizontal="left" vertical="center"/>
    </xf>
    <xf numFmtId="0" fontId="55" fillId="6" borderId="15" xfId="0" applyFont="1" applyFill="1" applyBorder="1" applyAlignment="1" applyProtection="1">
      <alignment horizontal="center" vertical="center"/>
    </xf>
    <xf numFmtId="0" fontId="55" fillId="6" borderId="4" xfId="0" applyFont="1" applyFill="1" applyBorder="1" applyAlignment="1" applyProtection="1">
      <alignment horizontal="right" vertical="center"/>
    </xf>
    <xf numFmtId="0" fontId="55" fillId="6" borderId="71" xfId="0" applyFont="1" applyFill="1" applyBorder="1" applyAlignment="1" applyProtection="1">
      <alignment horizontal="center" vertical="center"/>
    </xf>
    <xf numFmtId="49" fontId="55" fillId="6" borderId="35" xfId="0" applyNumberFormat="1" applyFont="1" applyFill="1" applyBorder="1" applyAlignment="1" applyProtection="1">
      <alignment horizontal="left" vertical="center"/>
    </xf>
    <xf numFmtId="0" fontId="60" fillId="6" borderId="22"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55" fillId="6" borderId="3" xfId="0" applyFont="1" applyFill="1" applyBorder="1" applyAlignment="1" applyProtection="1">
      <alignment horizontal="left" vertical="center"/>
    </xf>
    <xf numFmtId="49" fontId="60" fillId="6" borderId="69" xfId="0" applyNumberFormat="1" applyFont="1" applyFill="1" applyBorder="1" applyAlignment="1" applyProtection="1">
      <alignment vertical="center"/>
    </xf>
    <xf numFmtId="10" fontId="55" fillId="6" borderId="61" xfId="0" applyNumberFormat="1" applyFont="1" applyFill="1" applyBorder="1" applyAlignment="1" applyProtection="1">
      <alignment horizontal="center" vertical="center"/>
    </xf>
    <xf numFmtId="0" fontId="24" fillId="0" borderId="1" xfId="0" applyFont="1" applyFill="1" applyBorder="1" applyAlignment="1">
      <alignment horizontal="center" vertical="center"/>
    </xf>
    <xf numFmtId="177" fontId="24" fillId="0" borderId="24"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24" fillId="0" borderId="1" xfId="0" applyNumberFormat="1" applyFont="1" applyFill="1" applyBorder="1" applyAlignment="1">
      <alignment horizontal="center" vertical="center"/>
    </xf>
    <xf numFmtId="177" fontId="24" fillId="0" borderId="1" xfId="0" applyNumberFormat="1" applyFont="1" applyFill="1" applyBorder="1" applyAlignment="1">
      <alignment horizontal="center" vertical="center"/>
    </xf>
    <xf numFmtId="0" fontId="24" fillId="0" borderId="24" xfId="0" applyFont="1" applyFill="1" applyBorder="1" applyAlignment="1">
      <alignment horizontal="center" vertical="center"/>
    </xf>
    <xf numFmtId="0" fontId="150" fillId="0" borderId="1" xfId="0" applyFont="1" applyFill="1" applyBorder="1" applyAlignment="1">
      <alignment horizontal="center" vertical="center"/>
    </xf>
    <xf numFmtId="9" fontId="89" fillId="0" borderId="1" xfId="0" applyNumberFormat="1" applyFont="1" applyFill="1" applyBorder="1" applyAlignment="1">
      <alignment horizontal="center" vertical="center"/>
    </xf>
    <xf numFmtId="177" fontId="89" fillId="0" borderId="1" xfId="0" applyNumberFormat="1" applyFont="1" applyFill="1" applyBorder="1" applyAlignment="1">
      <alignment horizontal="center" vertical="center"/>
    </xf>
    <xf numFmtId="0" fontId="89" fillId="0" borderId="24" xfId="0" applyFont="1" applyFill="1" applyBorder="1" applyAlignment="1">
      <alignment horizontal="center" vertical="center"/>
    </xf>
    <xf numFmtId="0" fontId="42" fillId="0" borderId="1" xfId="0" applyFont="1" applyFill="1" applyBorder="1" applyAlignment="1">
      <alignment horizontal="center" vertical="center"/>
    </xf>
    <xf numFmtId="0" fontId="0" fillId="0" borderId="1" xfId="0" applyFill="1" applyBorder="1" applyAlignment="1">
      <alignment vertical="center"/>
    </xf>
    <xf numFmtId="0" fontId="150" fillId="0" borderId="24" xfId="0" applyFont="1" applyFill="1" applyBorder="1" applyAlignment="1">
      <alignment horizontal="center" vertical="center"/>
    </xf>
    <xf numFmtId="0" fontId="135" fillId="0" borderId="1" xfId="0" applyFont="1" applyFill="1" applyBorder="1" applyAlignment="1">
      <alignment horizontal="center" vertical="center" wrapText="1"/>
    </xf>
    <xf numFmtId="0" fontId="42" fillId="0" borderId="1" xfId="0" applyFont="1" applyFill="1" applyBorder="1" applyAlignment="1">
      <alignment vertical="center"/>
    </xf>
    <xf numFmtId="0" fontId="135" fillId="0" borderId="24" xfId="0"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50" fillId="0" borderId="32" xfId="0" applyFont="1" applyFill="1" applyBorder="1" applyAlignment="1">
      <alignment horizontal="center" vertical="center"/>
    </xf>
    <xf numFmtId="9" fontId="150" fillId="0" borderId="32" xfId="0" applyNumberFormat="1" applyFont="1" applyFill="1" applyBorder="1" applyAlignment="1">
      <alignment horizontal="center" vertical="center"/>
    </xf>
    <xf numFmtId="177" fontId="150" fillId="0" borderId="32" xfId="0" applyNumberFormat="1" applyFont="1" applyFill="1" applyBorder="1" applyAlignment="1">
      <alignment horizontal="center" vertical="center"/>
    </xf>
    <xf numFmtId="0" fontId="89" fillId="0" borderId="49" xfId="0" applyFont="1" applyFill="1" applyBorder="1" applyAlignment="1">
      <alignment horizontal="center" vertical="center"/>
    </xf>
    <xf numFmtId="0" fontId="150" fillId="11" borderId="1" xfId="0" applyFont="1" applyFill="1" applyBorder="1" applyAlignment="1">
      <alignment vertical="center"/>
    </xf>
    <xf numFmtId="0" fontId="24" fillId="0" borderId="1" xfId="0" applyFont="1" applyBorder="1" applyAlignment="1">
      <alignment horizontal="center"/>
    </xf>
    <xf numFmtId="0" fontId="24" fillId="0" borderId="1" xfId="0" applyFont="1" applyBorder="1" applyAlignment="1"/>
    <xf numFmtId="49" fontId="24" fillId="0" borderId="1" xfId="0" applyNumberFormat="1" applyFont="1" applyBorder="1" applyAlignment="1">
      <alignment horizontal="center"/>
    </xf>
    <xf numFmtId="9" fontId="24" fillId="0" borderId="1" xfId="0" applyNumberFormat="1" applyFont="1" applyBorder="1" applyAlignment="1"/>
    <xf numFmtId="0" fontId="24" fillId="0" borderId="1" xfId="0" applyFont="1" applyFill="1" applyBorder="1" applyAlignment="1">
      <alignment horizontal="center"/>
    </xf>
    <xf numFmtId="49" fontId="60" fillId="6" borderId="41" xfId="0" applyNumberFormat="1" applyFont="1" applyFill="1" applyBorder="1" applyAlignment="1" applyProtection="1">
      <alignment horizontal="left" vertical="center"/>
    </xf>
    <xf numFmtId="0" fontId="60" fillId="6" borderId="2" xfId="0" applyFont="1" applyFill="1" applyBorder="1" applyAlignment="1" applyProtection="1">
      <alignment horizontal="left" vertical="center"/>
    </xf>
    <xf numFmtId="0" fontId="55" fillId="6" borderId="15" xfId="0" applyFont="1" applyFill="1" applyBorder="1" applyAlignment="1" applyProtection="1">
      <alignment horizontal="left" vertical="center"/>
    </xf>
    <xf numFmtId="181" fontId="55" fillId="6" borderId="53" xfId="0" applyNumberFormat="1" applyFont="1" applyFill="1" applyBorder="1" applyAlignment="1" applyProtection="1">
      <alignment horizontal="center" vertical="center"/>
    </xf>
    <xf numFmtId="49" fontId="55" fillId="6" borderId="91" xfId="0" applyNumberFormat="1" applyFont="1" applyFill="1" applyBorder="1" applyAlignment="1" applyProtection="1">
      <alignment vertical="center"/>
    </xf>
    <xf numFmtId="0" fontId="60" fillId="0" borderId="78" xfId="0" applyFont="1" applyFill="1" applyBorder="1" applyAlignment="1" applyProtection="1">
      <alignment horizontal="center" vertical="center"/>
      <protection locked="0"/>
    </xf>
    <xf numFmtId="0" fontId="55" fillId="6" borderId="78" xfId="0" applyFont="1" applyFill="1" applyBorder="1" applyAlignment="1" applyProtection="1">
      <alignment vertical="center"/>
    </xf>
    <xf numFmtId="181" fontId="60" fillId="6" borderId="79" xfId="0" applyNumberFormat="1" applyFont="1" applyFill="1" applyBorder="1" applyAlignment="1" applyProtection="1">
      <alignment horizontal="center" vertical="center"/>
    </xf>
    <xf numFmtId="0" fontId="55" fillId="6" borderId="4" xfId="0" applyFont="1" applyFill="1" applyBorder="1" applyAlignment="1" applyProtection="1">
      <alignment horizontal="left" vertical="center"/>
    </xf>
    <xf numFmtId="0" fontId="55" fillId="6" borderId="60" xfId="0" applyFont="1" applyFill="1" applyBorder="1" applyAlignment="1" applyProtection="1">
      <alignment horizontal="center" vertical="center"/>
    </xf>
    <xf numFmtId="49" fontId="55" fillId="6" borderId="91" xfId="0" applyNumberFormat="1" applyFont="1" applyFill="1" applyBorder="1" applyAlignment="1" applyProtection="1">
      <alignment horizontal="left" vertical="center"/>
    </xf>
    <xf numFmtId="0" fontId="55" fillId="6" borderId="78" xfId="0" applyFont="1" applyFill="1" applyBorder="1" applyAlignment="1" applyProtection="1">
      <alignment horizontal="left" vertical="center"/>
    </xf>
    <xf numFmtId="0" fontId="55" fillId="6" borderId="78" xfId="0" applyFont="1" applyFill="1" applyBorder="1" applyAlignment="1" applyProtection="1">
      <alignment horizontal="center" vertical="center"/>
    </xf>
    <xf numFmtId="0" fontId="55" fillId="6" borderId="78" xfId="0" applyFont="1" applyFill="1" applyBorder="1" applyAlignment="1" applyProtection="1">
      <alignment horizontal="left" vertical="center" wrapText="1"/>
    </xf>
    <xf numFmtId="181" fontId="55" fillId="6" borderId="79" xfId="0" applyNumberFormat="1" applyFont="1" applyFill="1" applyBorder="1" applyAlignment="1" applyProtection="1">
      <alignment horizontal="center" vertical="center"/>
    </xf>
    <xf numFmtId="0" fontId="60" fillId="6" borderId="2"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center" vertical="center" wrapText="1"/>
    </xf>
    <xf numFmtId="0" fontId="55" fillId="6" borderId="71" xfId="0" applyFont="1" applyFill="1" applyBorder="1" applyAlignment="1" applyProtection="1">
      <alignment horizontal="center" vertical="center" wrapText="1"/>
    </xf>
    <xf numFmtId="0" fontId="55" fillId="6" borderId="85" xfId="0" applyFont="1" applyFill="1" applyBorder="1" applyAlignment="1" applyProtection="1">
      <alignment vertical="center"/>
    </xf>
    <xf numFmtId="181" fontId="60" fillId="6" borderId="78" xfId="0" applyNumberFormat="1" applyFont="1" applyFill="1" applyBorder="1" applyAlignment="1" applyProtection="1">
      <alignment horizontal="center" vertical="center"/>
    </xf>
    <xf numFmtId="0" fontId="55" fillId="6" borderId="85" xfId="0" applyFont="1" applyFill="1" applyBorder="1" applyAlignment="1" applyProtection="1">
      <alignment horizontal="left" vertical="center"/>
    </xf>
    <xf numFmtId="0" fontId="55" fillId="6" borderId="7" xfId="0" applyFont="1" applyFill="1" applyBorder="1" applyAlignment="1" applyProtection="1">
      <alignment vertical="center"/>
    </xf>
    <xf numFmtId="49" fontId="55" fillId="6" borderId="41" xfId="0" applyNumberFormat="1" applyFont="1" applyFill="1" applyBorder="1" applyAlignment="1" applyProtection="1">
      <alignment horizontal="left" vertical="center"/>
    </xf>
    <xf numFmtId="49" fontId="55" fillId="6" borderId="7" xfId="0" applyNumberFormat="1" applyFont="1" applyFill="1" applyBorder="1" applyAlignment="1" applyProtection="1">
      <alignment vertical="center"/>
    </xf>
    <xf numFmtId="178" fontId="62" fillId="6" borderId="1" xfId="0" applyNumberFormat="1" applyFont="1" applyFill="1" applyBorder="1" applyAlignment="1" applyProtection="1">
      <alignment horizontal="center" vertical="center"/>
    </xf>
    <xf numFmtId="178" fontId="61" fillId="6" borderId="1" xfId="0" applyNumberFormat="1" applyFont="1" applyFill="1" applyBorder="1" applyAlignment="1" applyProtection="1">
      <alignment horizontal="center" vertical="center"/>
    </xf>
    <xf numFmtId="177" fontId="54" fillId="6" borderId="0" xfId="0" applyNumberFormat="1" applyFont="1" applyFill="1" applyBorder="1" applyAlignment="1" applyProtection="1">
      <alignment horizontal="center" vertical="center"/>
    </xf>
    <xf numFmtId="187" fontId="55" fillId="6" borderId="3" xfId="0" applyNumberFormat="1" applyFont="1" applyFill="1" applyBorder="1" applyAlignment="1" applyProtection="1">
      <alignment horizontal="center" vertical="center"/>
    </xf>
    <xf numFmtId="177" fontId="55" fillId="6" borderId="0"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vertical="center"/>
    </xf>
    <xf numFmtId="49" fontId="55" fillId="6" borderId="18" xfId="0" applyNumberFormat="1" applyFont="1" applyFill="1" applyBorder="1" applyAlignment="1" applyProtection="1">
      <alignment horizontal="center" vertical="center"/>
      <protection locked="0"/>
    </xf>
    <xf numFmtId="49" fontId="60" fillId="6" borderId="37" xfId="0" applyNumberFormat="1" applyFont="1" applyFill="1" applyBorder="1" applyAlignment="1" applyProtection="1">
      <alignment horizontal="left" vertical="center"/>
      <protection locked="0"/>
    </xf>
    <xf numFmtId="0" fontId="55" fillId="6" borderId="5" xfId="0" applyFont="1" applyFill="1" applyBorder="1" applyAlignment="1" applyProtection="1">
      <alignment horizontal="center" vertical="center"/>
      <protection locked="0"/>
    </xf>
    <xf numFmtId="0" fontId="55" fillId="6" borderId="5" xfId="0" applyFont="1" applyFill="1" applyBorder="1" applyAlignment="1" applyProtection="1">
      <alignment horizontal="right" vertical="center"/>
      <protection locked="0"/>
    </xf>
    <xf numFmtId="0" fontId="60" fillId="6" borderId="46" xfId="0" applyFont="1" applyFill="1" applyBorder="1" applyAlignment="1" applyProtection="1">
      <alignment horizontal="center" vertical="center"/>
    </xf>
    <xf numFmtId="0" fontId="65" fillId="6" borderId="0" xfId="0" applyFont="1" applyFill="1" applyBorder="1" applyAlignment="1" applyProtection="1">
      <alignment vertical="center"/>
    </xf>
    <xf numFmtId="181" fontId="60" fillId="5" borderId="61" xfId="0" applyNumberFormat="1"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60" fillId="6" borderId="58" xfId="0" applyFont="1" applyFill="1" applyBorder="1" applyAlignment="1" applyProtection="1">
      <alignment horizontal="center" vertical="center"/>
    </xf>
    <xf numFmtId="9" fontId="61" fillId="6" borderId="24" xfId="0" applyNumberFormat="1" applyFont="1" applyFill="1" applyBorder="1" applyAlignment="1" applyProtection="1">
      <alignment horizontal="center" vertical="center" wrapText="1"/>
    </xf>
    <xf numFmtId="0" fontId="61" fillId="7" borderId="0" xfId="0" applyFont="1" applyFill="1" applyAlignment="1" applyProtection="1">
      <alignment vertical="center" wrapText="1"/>
      <protection locked="0"/>
    </xf>
    <xf numFmtId="0" fontId="61" fillId="7" borderId="0" xfId="0" applyFont="1" applyFill="1" applyAlignment="1" applyProtection="1">
      <alignment horizontal="center" vertical="center" wrapText="1"/>
      <protection locked="0"/>
    </xf>
    <xf numFmtId="0" fontId="61" fillId="7" borderId="0" xfId="0" applyFont="1" applyFill="1" applyAlignment="1" applyProtection="1">
      <alignment horizontal="center" vertical="center" wrapText="1"/>
    </xf>
    <xf numFmtId="10" fontId="61" fillId="6" borderId="49" xfId="0" applyNumberFormat="1" applyFont="1" applyFill="1" applyBorder="1" applyAlignment="1" applyProtection="1">
      <alignment horizontal="center" vertical="center" wrapText="1"/>
    </xf>
    <xf numFmtId="0" fontId="61" fillId="7" borderId="0" xfId="0" applyNumberFormat="1" applyFont="1" applyFill="1" applyAlignment="1" applyProtection="1">
      <alignment horizontal="center" vertical="center" wrapText="1"/>
      <protection locked="0"/>
    </xf>
    <xf numFmtId="14" fontId="61" fillId="7" borderId="0" xfId="0" applyNumberFormat="1" applyFont="1" applyFill="1" applyAlignment="1" applyProtection="1">
      <alignment horizontal="center" vertical="center" wrapText="1"/>
      <protection locked="0"/>
    </xf>
    <xf numFmtId="10" fontId="61" fillId="7" borderId="0" xfId="0" applyNumberFormat="1" applyFont="1" applyFill="1" applyAlignment="1" applyProtection="1">
      <alignment horizontal="center" vertical="center" wrapText="1"/>
      <protection locked="0"/>
    </xf>
    <xf numFmtId="0" fontId="59" fillId="7" borderId="0" xfId="0" applyFont="1" applyFill="1" applyAlignment="1" applyProtection="1">
      <alignment vertical="center" wrapText="1"/>
      <protection locked="0"/>
    </xf>
    <xf numFmtId="0" fontId="59" fillId="7" borderId="0" xfId="0" applyFont="1" applyFill="1" applyAlignment="1" applyProtection="1">
      <alignment vertical="center" wrapText="1"/>
    </xf>
    <xf numFmtId="49" fontId="65" fillId="6" borderId="0" xfId="1" applyNumberFormat="1" applyFont="1" applyFill="1" applyBorder="1" applyAlignment="1" applyProtection="1">
      <alignment horizontal="right" vertical="center"/>
    </xf>
    <xf numFmtId="0" fontId="62" fillId="6" borderId="1" xfId="0" applyNumberFormat="1" applyFont="1" applyFill="1" applyBorder="1" applyAlignment="1" applyProtection="1">
      <alignment horizontal="center" vertical="center"/>
    </xf>
    <xf numFmtId="0" fontId="61" fillId="6" borderId="1" xfId="0" applyNumberFormat="1" applyFont="1" applyFill="1" applyBorder="1" applyAlignment="1" applyProtection="1">
      <alignment horizontal="center" vertical="center"/>
    </xf>
    <xf numFmtId="0" fontId="59" fillId="6" borderId="45"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57" fillId="0" borderId="33" xfId="0" applyFont="1" applyFill="1" applyBorder="1" applyAlignment="1" applyProtection="1">
      <alignment horizontal="center" vertical="center"/>
      <protection locked="0"/>
    </xf>
    <xf numFmtId="0" fontId="59" fillId="6" borderId="37" xfId="0" applyNumberFormat="1" applyFont="1" applyFill="1" applyBorder="1" applyAlignment="1" applyProtection="1">
      <alignment horizontal="center" vertical="center" wrapText="1"/>
    </xf>
    <xf numFmtId="0" fontId="52" fillId="6" borderId="23" xfId="0" applyFont="1" applyFill="1" applyBorder="1" applyProtection="1">
      <alignment vertical="center"/>
    </xf>
    <xf numFmtId="0" fontId="52" fillId="6" borderId="0" xfId="0" applyFont="1" applyFill="1" applyProtection="1">
      <alignment vertical="center"/>
      <protection locked="0"/>
    </xf>
    <xf numFmtId="176" fontId="54" fillId="6" borderId="1" xfId="0" applyNumberFormat="1" applyFont="1" applyFill="1" applyBorder="1" applyAlignment="1" applyProtection="1">
      <alignment vertical="center"/>
    </xf>
    <xf numFmtId="176" fontId="54" fillId="6" borderId="1" xfId="0" applyNumberFormat="1" applyFont="1" applyFill="1" applyBorder="1" applyAlignment="1" applyProtection="1">
      <alignment horizontal="center" vertical="center"/>
    </xf>
    <xf numFmtId="176" fontId="54" fillId="6" borderId="24" xfId="0" applyNumberFormat="1" applyFont="1" applyFill="1" applyBorder="1" applyAlignment="1" applyProtection="1">
      <alignment vertical="center"/>
    </xf>
    <xf numFmtId="176" fontId="54" fillId="6" borderId="25" xfId="0" applyNumberFormat="1" applyFont="1" applyFill="1" applyBorder="1" applyAlignment="1" applyProtection="1">
      <alignment vertical="center"/>
    </xf>
    <xf numFmtId="176" fontId="54" fillId="6" borderId="76" xfId="0" applyNumberFormat="1" applyFont="1" applyFill="1" applyBorder="1" applyAlignment="1" applyProtection="1">
      <alignment vertical="center"/>
    </xf>
    <xf numFmtId="0" fontId="52" fillId="6" borderId="11" xfId="0" applyFont="1" applyFill="1" applyBorder="1" applyProtection="1">
      <alignment vertical="center"/>
    </xf>
    <xf numFmtId="0" fontId="52" fillId="6" borderId="13" xfId="0" applyFont="1" applyFill="1" applyBorder="1" applyProtection="1">
      <alignment vertical="center"/>
    </xf>
    <xf numFmtId="0" fontId="54" fillId="6" borderId="25" xfId="0" applyFont="1" applyFill="1" applyBorder="1" applyProtection="1">
      <alignment vertical="center"/>
    </xf>
    <xf numFmtId="0" fontId="54" fillId="6" borderId="32" xfId="0" applyFont="1" applyFill="1" applyBorder="1" applyProtection="1">
      <alignment vertical="center"/>
    </xf>
    <xf numFmtId="0" fontId="52" fillId="6" borderId="49" xfId="0" applyFont="1" applyFill="1" applyBorder="1" applyProtection="1">
      <alignment vertical="center"/>
    </xf>
    <xf numFmtId="0" fontId="52" fillId="6" borderId="24" xfId="0" applyFont="1" applyFill="1" applyBorder="1" applyProtection="1">
      <alignment vertical="center"/>
    </xf>
    <xf numFmtId="0" fontId="54" fillId="6" borderId="49" xfId="0" applyFont="1" applyFill="1" applyBorder="1" applyProtection="1">
      <alignment vertical="center"/>
    </xf>
    <xf numFmtId="49" fontId="60" fillId="6" borderId="22" xfId="0" applyNumberFormat="1" applyFont="1" applyFill="1" applyBorder="1" applyAlignment="1" applyProtection="1">
      <alignment horizontal="left" vertical="center"/>
      <protection locked="0"/>
    </xf>
    <xf numFmtId="49" fontId="60" fillId="6" borderId="41" xfId="0" applyNumberFormat="1" applyFont="1" applyFill="1" applyBorder="1" applyAlignment="1" applyProtection="1">
      <alignment horizontal="left" vertical="center"/>
      <protection locked="0"/>
    </xf>
    <xf numFmtId="0" fontId="58" fillId="6" borderId="51" xfId="0" applyNumberFormat="1" applyFont="1" applyFill="1" applyBorder="1" applyAlignment="1" applyProtection="1">
      <alignment horizontal="right" vertical="center" wrapText="1"/>
    </xf>
    <xf numFmtId="0" fontId="58" fillId="6" borderId="21" xfId="0" applyNumberFormat="1" applyFont="1" applyFill="1" applyBorder="1" applyAlignment="1" applyProtection="1">
      <alignment vertical="center" wrapText="1"/>
    </xf>
    <xf numFmtId="0" fontId="78" fillId="3" borderId="20" xfId="0" applyNumberFormat="1" applyFont="1" applyFill="1" applyBorder="1" applyAlignment="1" applyProtection="1">
      <alignment vertical="center" wrapText="1"/>
      <protection locked="0"/>
    </xf>
    <xf numFmtId="0" fontId="78" fillId="6" borderId="20" xfId="0" applyNumberFormat="1" applyFont="1" applyFill="1" applyBorder="1" applyAlignment="1" applyProtection="1">
      <alignment vertical="center" wrapText="1"/>
    </xf>
    <xf numFmtId="0" fontId="78" fillId="3" borderId="51" xfId="0" applyNumberFormat="1" applyFont="1" applyFill="1" applyBorder="1" applyAlignment="1" applyProtection="1">
      <alignment vertical="center" wrapText="1"/>
      <protection locked="0"/>
    </xf>
    <xf numFmtId="0" fontId="78" fillId="6" borderId="21" xfId="0" applyNumberFormat="1" applyFont="1" applyFill="1" applyBorder="1" applyAlignment="1" applyProtection="1">
      <alignment vertical="center" wrapText="1"/>
    </xf>
    <xf numFmtId="0" fontId="58" fillId="6" borderId="38" xfId="0" applyNumberFormat="1" applyFont="1" applyFill="1" applyBorder="1" applyAlignment="1" applyProtection="1">
      <alignment vertical="center" wrapText="1"/>
    </xf>
    <xf numFmtId="0" fontId="58" fillId="6" borderId="68" xfId="0" applyNumberFormat="1" applyFont="1" applyFill="1" applyBorder="1" applyAlignment="1" applyProtection="1">
      <alignment vertical="center" wrapText="1"/>
    </xf>
    <xf numFmtId="0" fontId="58" fillId="6" borderId="52" xfId="0" applyNumberFormat="1" applyFont="1" applyFill="1" applyBorder="1" applyAlignment="1" applyProtection="1">
      <alignment vertical="center" wrapText="1"/>
    </xf>
    <xf numFmtId="0" fontId="58" fillId="6" borderId="47" xfId="0" applyNumberFormat="1" applyFont="1" applyFill="1" applyBorder="1" applyAlignment="1" applyProtection="1">
      <alignment vertical="center" wrapText="1"/>
      <protection locked="0"/>
    </xf>
    <xf numFmtId="0" fontId="58" fillId="6" borderId="47" xfId="0" applyNumberFormat="1" applyFont="1" applyFill="1" applyBorder="1" applyAlignment="1" applyProtection="1">
      <alignment vertical="center" wrapText="1"/>
    </xf>
    <xf numFmtId="0" fontId="65" fillId="6" borderId="2" xfId="0" applyFont="1" applyFill="1" applyBorder="1" applyAlignment="1" applyProtection="1">
      <alignment horizontal="right" vertical="center"/>
    </xf>
    <xf numFmtId="0" fontId="70" fillId="6" borderId="58" xfId="0" applyFont="1" applyFill="1" applyBorder="1" applyAlignment="1" applyProtection="1">
      <alignment horizontal="center" vertical="center"/>
    </xf>
    <xf numFmtId="0" fontId="59" fillId="6" borderId="58" xfId="0" applyFont="1" applyFill="1" applyBorder="1" applyAlignment="1" applyProtection="1">
      <alignment horizontal="center" vertical="center"/>
      <protection locked="0"/>
    </xf>
    <xf numFmtId="0" fontId="76" fillId="6" borderId="58" xfId="0" applyFont="1" applyFill="1" applyBorder="1" applyAlignment="1" applyProtection="1">
      <alignment horizontal="center" vertical="center"/>
      <protection locked="0"/>
    </xf>
    <xf numFmtId="0" fontId="59" fillId="6" borderId="58" xfId="0" applyFont="1" applyFill="1" applyBorder="1" applyAlignment="1" applyProtection="1">
      <protection locked="0"/>
    </xf>
    <xf numFmtId="9" fontId="52" fillId="6" borderId="0" xfId="0" applyNumberFormat="1" applyFont="1" applyFill="1" applyBorder="1" applyAlignment="1" applyProtection="1">
      <alignment horizontal="center" vertical="center" wrapText="1"/>
      <protection locked="0"/>
    </xf>
    <xf numFmtId="0" fontId="64" fillId="6" borderId="0" xfId="0" applyFont="1" applyFill="1" applyBorder="1" applyAlignment="1" applyProtection="1">
      <protection locked="0"/>
    </xf>
    <xf numFmtId="0" fontId="59" fillId="6" borderId="0" xfId="0" applyFont="1" applyFill="1" applyBorder="1" applyAlignment="1" applyProtection="1">
      <alignment horizontal="center"/>
      <protection locked="0"/>
    </xf>
    <xf numFmtId="0" fontId="109" fillId="6" borderId="58" xfId="0" applyFont="1" applyFill="1" applyBorder="1" applyAlignment="1" applyProtection="1">
      <alignment vertical="center"/>
      <protection locked="0"/>
    </xf>
    <xf numFmtId="0" fontId="52" fillId="6" borderId="0" xfId="0" applyFont="1" applyFill="1" applyAlignment="1" applyProtection="1">
      <alignment horizontal="center" vertical="center"/>
      <protection locked="0"/>
    </xf>
    <xf numFmtId="9" fontId="52" fillId="6" borderId="58" xfId="0" applyNumberFormat="1"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0" fontId="57" fillId="6" borderId="0" xfId="0" applyFont="1" applyFill="1" applyAlignment="1" applyProtection="1">
      <alignment horizontal="center" vertical="center"/>
      <protection locked="0"/>
    </xf>
    <xf numFmtId="0" fontId="57" fillId="6" borderId="58" xfId="0" applyFont="1" applyFill="1" applyBorder="1" applyAlignment="1" applyProtection="1">
      <alignment horizontal="center" vertical="center"/>
      <protection locked="0"/>
    </xf>
    <xf numFmtId="9" fontId="57" fillId="6" borderId="0" xfId="0" applyNumberFormat="1"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9" fillId="6" borderId="58" xfId="0" applyFont="1" applyFill="1" applyBorder="1" applyAlignment="1" applyProtection="1">
      <alignment horizontal="center" vertical="center" wrapText="1"/>
      <protection locked="0"/>
    </xf>
    <xf numFmtId="9" fontId="59" fillId="6" borderId="0" xfId="0" applyNumberFormat="1"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protection locked="0"/>
    </xf>
    <xf numFmtId="49" fontId="52" fillId="6" borderId="0" xfId="0" applyNumberFormat="1" applyFont="1" applyFill="1" applyAlignment="1" applyProtection="1">
      <alignment horizontal="center" vertical="center"/>
      <protection locked="0"/>
    </xf>
    <xf numFmtId="0" fontId="65" fillId="6" borderId="5" xfId="1" applyFont="1" applyFill="1" applyBorder="1" applyAlignment="1" applyProtection="1">
      <alignment horizontal="right" vertical="center"/>
    </xf>
    <xf numFmtId="0" fontId="54" fillId="6" borderId="33" xfId="0" applyFont="1" applyFill="1" applyBorder="1" applyAlignment="1" applyProtection="1">
      <alignment horizontal="center" vertical="center"/>
    </xf>
    <xf numFmtId="181" fontId="52" fillId="6" borderId="49" xfId="0" applyNumberFormat="1" applyFont="1" applyFill="1" applyBorder="1" applyProtection="1">
      <alignment vertical="center"/>
    </xf>
    <xf numFmtId="0" fontId="52" fillId="6" borderId="24" xfId="1" applyNumberFormat="1" applyFont="1" applyFill="1" applyBorder="1" applyAlignment="1" applyProtection="1">
      <alignment horizontal="center" vertical="center"/>
    </xf>
    <xf numFmtId="0" fontId="69" fillId="6" borderId="78" xfId="0" applyFont="1" applyFill="1" applyBorder="1" applyAlignment="1" applyProtection="1">
      <alignment horizontal="center" vertical="center" wrapText="1"/>
    </xf>
    <xf numFmtId="0" fontId="113" fillId="0" borderId="0" xfId="9" applyFont="1">
      <alignment vertical="center"/>
    </xf>
    <xf numFmtId="0" fontId="113" fillId="0" borderId="0" xfId="9" applyFont="1" applyAlignment="1">
      <alignment horizontal="center" vertical="center"/>
    </xf>
    <xf numFmtId="0" fontId="113" fillId="0" borderId="120" xfId="9" applyFont="1" applyBorder="1">
      <alignment vertical="center"/>
    </xf>
    <xf numFmtId="0" fontId="107" fillId="6" borderId="120" xfId="10" applyFont="1" applyFill="1" applyBorder="1" applyAlignment="1" applyProtection="1">
      <alignment horizontal="center" vertical="center"/>
    </xf>
    <xf numFmtId="0" fontId="27" fillId="6" borderId="120" xfId="10" applyFont="1" applyFill="1" applyBorder="1" applyAlignment="1" applyProtection="1">
      <alignment horizontal="center" vertical="center"/>
    </xf>
    <xf numFmtId="0" fontId="113" fillId="0" borderId="121" xfId="9" applyFont="1" applyBorder="1" applyAlignment="1">
      <alignment vertical="center"/>
    </xf>
    <xf numFmtId="0" fontId="113" fillId="0" borderId="120" xfId="9" applyFont="1" applyBorder="1" applyAlignment="1">
      <alignment vertical="center"/>
    </xf>
    <xf numFmtId="0" fontId="113" fillId="0" borderId="120" xfId="9" applyFont="1" applyBorder="1" applyAlignment="1">
      <alignment horizontal="center" vertical="center"/>
    </xf>
    <xf numFmtId="0" fontId="113" fillId="0" borderId="0" xfId="9" applyFont="1" applyFill="1">
      <alignment vertical="center"/>
    </xf>
    <xf numFmtId="0" fontId="109" fillId="0" borderId="0" xfId="10" applyFont="1" applyFill="1" applyAlignment="1" applyProtection="1">
      <alignment horizontal="center" vertical="center"/>
    </xf>
    <xf numFmtId="0" fontId="27" fillId="0" borderId="0" xfId="10" applyFont="1" applyFill="1" applyAlignment="1" applyProtection="1">
      <alignment horizontal="center" vertical="center"/>
    </xf>
    <xf numFmtId="0" fontId="113" fillId="0" borderId="122" xfId="9" applyFont="1" applyFill="1" applyBorder="1" applyAlignment="1">
      <alignment horizontal="center" vertical="center"/>
    </xf>
    <xf numFmtId="0" fontId="113" fillId="0" borderId="0" xfId="9" applyFont="1" applyFill="1" applyBorder="1" applyAlignment="1">
      <alignment horizontal="center" vertical="center"/>
    </xf>
    <xf numFmtId="0" fontId="113" fillId="0" borderId="0" xfId="9" applyFont="1" applyFill="1" applyAlignment="1">
      <alignment horizontal="center" vertical="center"/>
    </xf>
    <xf numFmtId="0" fontId="110" fillId="0" borderId="0" xfId="9" applyFont="1" applyAlignment="1">
      <alignment horizontal="center" vertical="center"/>
    </xf>
    <xf numFmtId="10" fontId="110" fillId="0" borderId="0" xfId="9" applyNumberFormat="1" applyFont="1" applyAlignment="1">
      <alignment horizontal="center" vertical="center"/>
    </xf>
    <xf numFmtId="49" fontId="61" fillId="6" borderId="1" xfId="9" applyNumberFormat="1" applyFont="1" applyFill="1" applyBorder="1" applyAlignment="1" applyProtection="1">
      <alignment horizontal="center" vertical="center" wrapText="1"/>
    </xf>
    <xf numFmtId="0" fontId="157" fillId="12" borderId="124" xfId="9" applyFont="1" applyFill="1" applyBorder="1" applyAlignment="1" applyProtection="1">
      <alignment horizontal="center" vertical="center" wrapText="1"/>
    </xf>
    <xf numFmtId="0" fontId="157" fillId="12" borderId="125" xfId="9" applyFont="1" applyFill="1" applyBorder="1" applyAlignment="1" applyProtection="1">
      <alignment horizontal="center" vertical="center" wrapText="1"/>
    </xf>
    <xf numFmtId="0" fontId="157" fillId="13" borderId="127" xfId="9" applyFont="1" applyFill="1" applyBorder="1" applyAlignment="1" applyProtection="1">
      <alignment horizontal="center" vertical="center" wrapText="1"/>
    </xf>
    <xf numFmtId="0" fontId="157" fillId="12" borderId="127" xfId="9" applyFont="1" applyFill="1" applyBorder="1" applyAlignment="1" applyProtection="1">
      <alignment horizontal="center" vertical="center" wrapText="1"/>
    </xf>
    <xf numFmtId="0" fontId="158" fillId="14" borderId="0" xfId="9" applyFont="1" applyFill="1">
      <alignment vertical="center"/>
    </xf>
    <xf numFmtId="10" fontId="158" fillId="14" borderId="129" xfId="9" applyNumberFormat="1" applyFont="1" applyFill="1" applyBorder="1" applyAlignment="1">
      <alignment vertical="center"/>
    </xf>
    <xf numFmtId="10" fontId="110" fillId="14" borderId="0" xfId="9" applyNumberFormat="1" applyFont="1" applyFill="1" applyAlignment="1">
      <alignment horizontal="center" vertical="center"/>
    </xf>
    <xf numFmtId="186" fontId="113" fillId="12" borderId="124" xfId="9" applyNumberFormat="1" applyFont="1" applyFill="1" applyBorder="1" applyAlignment="1">
      <alignment horizontal="center" vertical="center" wrapText="1"/>
    </xf>
    <xf numFmtId="186" fontId="113" fillId="12" borderId="130" xfId="9" applyNumberFormat="1" applyFont="1" applyFill="1" applyBorder="1" applyAlignment="1">
      <alignment horizontal="center" vertical="center" wrapText="1"/>
    </xf>
    <xf numFmtId="0" fontId="110" fillId="0" borderId="0" xfId="9" applyFont="1">
      <alignment vertical="center"/>
    </xf>
    <xf numFmtId="10" fontId="110" fillId="0" borderId="122" xfId="9" applyNumberFormat="1" applyFont="1" applyBorder="1">
      <alignment vertical="center"/>
    </xf>
    <xf numFmtId="10" fontId="110" fillId="0" borderId="0" xfId="9" applyNumberFormat="1" applyFont="1">
      <alignment vertical="center"/>
    </xf>
    <xf numFmtId="177" fontId="110" fillId="0" borderId="0" xfId="9" applyNumberFormat="1" applyFont="1">
      <alignment vertical="center"/>
    </xf>
    <xf numFmtId="181" fontId="110" fillId="0" borderId="122" xfId="9" applyNumberFormat="1" applyFont="1" applyBorder="1">
      <alignment vertical="center"/>
    </xf>
    <xf numFmtId="181" fontId="110" fillId="0" borderId="0" xfId="9" applyNumberFormat="1" applyFont="1">
      <alignment vertical="center"/>
    </xf>
    <xf numFmtId="186" fontId="110" fillId="0" borderId="0" xfId="9" applyNumberFormat="1" applyFont="1" applyAlignment="1">
      <alignment horizontal="center" vertical="center"/>
    </xf>
    <xf numFmtId="0" fontId="157" fillId="13" borderId="131" xfId="9" applyFont="1" applyFill="1" applyBorder="1" applyAlignment="1" applyProtection="1">
      <alignment horizontal="center" vertical="center" wrapText="1"/>
    </xf>
    <xf numFmtId="0" fontId="157" fillId="12" borderId="131" xfId="9" applyFont="1" applyFill="1" applyBorder="1" applyAlignment="1" applyProtection="1">
      <alignment horizontal="center" vertical="center" wrapText="1"/>
    </xf>
    <xf numFmtId="10" fontId="110" fillId="0" borderId="129" xfId="9" applyNumberFormat="1" applyFont="1" applyBorder="1">
      <alignment vertical="center"/>
    </xf>
    <xf numFmtId="10" fontId="110" fillId="0" borderId="60" xfId="9" applyNumberFormat="1" applyFont="1" applyBorder="1">
      <alignment vertical="center"/>
    </xf>
    <xf numFmtId="0" fontId="157" fillId="12" borderId="133" xfId="9" applyFont="1" applyFill="1" applyBorder="1" applyAlignment="1" applyProtection="1">
      <alignment horizontal="center" vertical="center" wrapText="1"/>
    </xf>
    <xf numFmtId="0" fontId="157" fillId="12" borderId="134" xfId="9" applyFont="1" applyFill="1" applyBorder="1" applyAlignment="1" applyProtection="1">
      <alignment horizontal="center" vertical="center" wrapText="1"/>
    </xf>
    <xf numFmtId="10" fontId="110" fillId="0" borderId="135" xfId="9" applyNumberFormat="1" applyFont="1" applyBorder="1">
      <alignment vertical="center"/>
    </xf>
    <xf numFmtId="10" fontId="110" fillId="0" borderId="36" xfId="9" applyNumberFormat="1" applyFont="1" applyBorder="1">
      <alignment vertical="center"/>
    </xf>
    <xf numFmtId="0" fontId="110" fillId="0" borderId="122" xfId="9" applyFont="1" applyBorder="1">
      <alignment vertical="center"/>
    </xf>
    <xf numFmtId="0" fontId="157" fillId="13" borderId="124" xfId="9" applyFont="1" applyFill="1" applyBorder="1" applyAlignment="1" applyProtection="1">
      <alignment horizontal="center" vertical="center" wrapText="1"/>
    </xf>
    <xf numFmtId="0" fontId="157" fillId="13" borderId="125" xfId="9" applyFont="1" applyFill="1" applyBorder="1" applyAlignment="1" applyProtection="1">
      <alignment horizontal="center" vertical="center" wrapText="1"/>
    </xf>
    <xf numFmtId="10" fontId="110" fillId="0" borderId="0" xfId="9" applyNumberFormat="1" applyFont="1" applyBorder="1">
      <alignment vertical="center"/>
    </xf>
    <xf numFmtId="186" fontId="113" fillId="12" borderId="127" xfId="9" applyNumberFormat="1" applyFont="1" applyFill="1" applyBorder="1" applyAlignment="1">
      <alignment horizontal="center" vertical="center" wrapText="1"/>
    </xf>
    <xf numFmtId="186" fontId="113" fillId="12" borderId="136" xfId="9" applyNumberFormat="1" applyFont="1" applyFill="1" applyBorder="1" applyAlignment="1">
      <alignment horizontal="center" vertical="center" wrapText="1"/>
    </xf>
    <xf numFmtId="0" fontId="110" fillId="13" borderId="124" xfId="9" applyFont="1" applyFill="1" applyBorder="1" applyAlignment="1" applyProtection="1">
      <alignment horizontal="center" vertical="center" wrapText="1"/>
    </xf>
    <xf numFmtId="0" fontId="110" fillId="13" borderId="125" xfId="9" applyFont="1" applyFill="1" applyBorder="1" applyAlignment="1" applyProtection="1">
      <alignment horizontal="center" vertical="center" wrapText="1"/>
    </xf>
    <xf numFmtId="49" fontId="61" fillId="5" borderId="1" xfId="9" applyNumberFormat="1" applyFont="1" applyFill="1" applyBorder="1" applyAlignment="1" applyProtection="1">
      <alignment horizontal="center" vertical="center" wrapText="1"/>
    </xf>
    <xf numFmtId="186" fontId="110" fillId="5" borderId="0" xfId="9" applyNumberFormat="1" applyFont="1" applyFill="1" applyAlignment="1">
      <alignment horizontal="center" vertical="center"/>
    </xf>
    <xf numFmtId="0" fontId="110" fillId="5" borderId="127" xfId="9" applyFont="1" applyFill="1" applyBorder="1" applyAlignment="1" applyProtection="1">
      <alignment horizontal="center" vertical="center" wrapText="1"/>
    </xf>
    <xf numFmtId="0" fontId="110" fillId="5" borderId="131" xfId="9" applyFont="1" applyFill="1" applyBorder="1" applyAlignment="1" applyProtection="1">
      <alignment horizontal="center" vertical="center" wrapText="1"/>
    </xf>
    <xf numFmtId="0" fontId="110" fillId="5" borderId="0" xfId="9" applyFont="1" applyFill="1">
      <alignment vertical="center"/>
    </xf>
    <xf numFmtId="10" fontId="110" fillId="5" borderId="122" xfId="9" applyNumberFormat="1" applyFont="1" applyFill="1" applyBorder="1">
      <alignment vertical="center"/>
    </xf>
    <xf numFmtId="10" fontId="110" fillId="5" borderId="0" xfId="9" applyNumberFormat="1" applyFont="1" applyFill="1">
      <alignment vertical="center"/>
    </xf>
    <xf numFmtId="177" fontId="110" fillId="5" borderId="0" xfId="9" applyNumberFormat="1" applyFont="1" applyFill="1">
      <alignment vertical="center"/>
    </xf>
    <xf numFmtId="10" fontId="110" fillId="5" borderId="129" xfId="9" applyNumberFormat="1" applyFont="1" applyFill="1" applyBorder="1">
      <alignment vertical="center"/>
    </xf>
    <xf numFmtId="10" fontId="110" fillId="5" borderId="60" xfId="9" applyNumberFormat="1" applyFont="1" applyFill="1" applyBorder="1">
      <alignment vertical="center"/>
    </xf>
    <xf numFmtId="0" fontId="135" fillId="5" borderId="0" xfId="9" applyFont="1" applyFill="1">
      <alignment vertical="center"/>
    </xf>
    <xf numFmtId="0" fontId="110" fillId="5" borderId="0" xfId="9" applyNumberFormat="1" applyFont="1" applyFill="1" applyAlignment="1">
      <alignment horizontal="center" vertical="center"/>
    </xf>
    <xf numFmtId="0" fontId="110" fillId="12" borderId="133" xfId="9" applyFont="1" applyFill="1" applyBorder="1" applyAlignment="1" applyProtection="1">
      <alignment horizontal="center" vertical="center" wrapText="1"/>
    </xf>
    <xf numFmtId="0" fontId="110" fillId="12" borderId="134" xfId="9" applyFont="1" applyFill="1" applyBorder="1" applyAlignment="1" applyProtection="1">
      <alignment horizontal="center" vertical="center" wrapText="1"/>
    </xf>
    <xf numFmtId="14" fontId="110" fillId="0" borderId="0" xfId="9" applyNumberFormat="1" applyFont="1">
      <alignment vertical="center"/>
    </xf>
    <xf numFmtId="0" fontId="135" fillId="0" borderId="0" xfId="9" applyFont="1">
      <alignment vertical="center"/>
    </xf>
    <xf numFmtId="0" fontId="110" fillId="0" borderId="0" xfId="9" applyNumberFormat="1" applyFont="1" applyAlignment="1">
      <alignment horizontal="center" vertical="center"/>
    </xf>
    <xf numFmtId="186" fontId="113" fillId="12" borderId="133" xfId="9" applyNumberFormat="1" applyFont="1" applyFill="1" applyBorder="1" applyAlignment="1">
      <alignment horizontal="center" vertical="center" wrapText="1"/>
    </xf>
    <xf numFmtId="186" fontId="113" fillId="12" borderId="137" xfId="9" applyNumberFormat="1" applyFont="1" applyFill="1" applyBorder="1" applyAlignment="1">
      <alignment horizontal="center" vertical="center" wrapText="1"/>
    </xf>
    <xf numFmtId="186" fontId="110" fillId="14" borderId="0" xfId="9" applyNumberFormat="1" applyFont="1" applyFill="1" applyAlignment="1">
      <alignment horizontal="center" vertical="center"/>
    </xf>
    <xf numFmtId="186" fontId="110" fillId="0" borderId="47" xfId="9" applyNumberFormat="1" applyFont="1" applyBorder="1" applyAlignment="1">
      <alignment horizontal="center" vertical="center"/>
    </xf>
    <xf numFmtId="0" fontId="157" fillId="13" borderId="138" xfId="9" applyFont="1" applyFill="1" applyBorder="1" applyAlignment="1" applyProtection="1">
      <alignment horizontal="center" vertical="center" wrapText="1"/>
    </xf>
    <xf numFmtId="0" fontId="157" fillId="13" borderId="139" xfId="9" applyFont="1" applyFill="1" applyBorder="1" applyAlignment="1" applyProtection="1">
      <alignment horizontal="center" vertical="center" wrapText="1"/>
    </xf>
    <xf numFmtId="0" fontId="110" fillId="0" borderId="47" xfId="9" applyFont="1" applyBorder="1">
      <alignment vertical="center"/>
    </xf>
    <xf numFmtId="10" fontId="110" fillId="0" borderId="140" xfId="9" applyNumberFormat="1" applyFont="1" applyBorder="1">
      <alignment vertical="center"/>
    </xf>
    <xf numFmtId="10" fontId="110" fillId="0" borderId="47" xfId="9" applyNumberFormat="1" applyFont="1" applyBorder="1">
      <alignment vertical="center"/>
    </xf>
    <xf numFmtId="177" fontId="110" fillId="0" borderId="47" xfId="9" applyNumberFormat="1" applyFont="1" applyBorder="1">
      <alignment vertical="center"/>
    </xf>
    <xf numFmtId="10" fontId="110" fillId="0" borderId="47" xfId="9" applyNumberFormat="1" applyFont="1" applyBorder="1" applyAlignment="1">
      <alignment horizontal="center" vertical="center"/>
    </xf>
    <xf numFmtId="0" fontId="157" fillId="12" borderId="141" xfId="9" applyFont="1" applyFill="1" applyBorder="1" applyAlignment="1" applyProtection="1">
      <alignment horizontal="center" vertical="center" wrapText="1"/>
    </xf>
    <xf numFmtId="0" fontId="157" fillId="12" borderId="142" xfId="9" applyFont="1" applyFill="1" applyBorder="1" applyAlignment="1" applyProtection="1">
      <alignment horizontal="center" vertical="center" wrapText="1"/>
    </xf>
    <xf numFmtId="10" fontId="110" fillId="15" borderId="122" xfId="9" applyNumberFormat="1" applyFont="1" applyFill="1" applyBorder="1">
      <alignment vertical="center"/>
    </xf>
    <xf numFmtId="10" fontId="110" fillId="15" borderId="0" xfId="9" applyNumberFormat="1" applyFont="1" applyFill="1">
      <alignment vertical="center"/>
    </xf>
    <xf numFmtId="178" fontId="110" fillId="0" borderId="0" xfId="9" applyNumberFormat="1" applyFont="1" applyAlignment="1">
      <alignment horizontal="center" vertical="center"/>
    </xf>
    <xf numFmtId="10" fontId="110" fillId="15" borderId="129" xfId="9" applyNumberFormat="1" applyFont="1" applyFill="1" applyBorder="1">
      <alignment vertical="center"/>
    </xf>
    <xf numFmtId="10" fontId="110" fillId="15" borderId="60" xfId="9" applyNumberFormat="1" applyFont="1" applyFill="1" applyBorder="1">
      <alignment vertical="center"/>
    </xf>
    <xf numFmtId="10" fontId="110" fillId="15" borderId="140" xfId="9" applyNumberFormat="1" applyFont="1" applyFill="1" applyBorder="1">
      <alignment vertical="center"/>
    </xf>
    <xf numFmtId="10" fontId="110" fillId="15" borderId="47" xfId="9" applyNumberFormat="1" applyFont="1" applyFill="1" applyBorder="1">
      <alignment vertical="center"/>
    </xf>
    <xf numFmtId="178" fontId="110" fillId="0" borderId="47" xfId="9" applyNumberFormat="1" applyFont="1" applyBorder="1" applyAlignment="1">
      <alignment horizontal="center" vertical="center"/>
    </xf>
    <xf numFmtId="0" fontId="113" fillId="13" borderId="143" xfId="9" applyFont="1" applyFill="1" applyBorder="1" applyAlignment="1">
      <alignment horizontal="center" vertical="center" wrapText="1"/>
    </xf>
    <xf numFmtId="0" fontId="113" fillId="13" borderId="144" xfId="9" applyFont="1" applyFill="1" applyBorder="1" applyAlignment="1">
      <alignment horizontal="center" vertical="center" wrapText="1"/>
    </xf>
    <xf numFmtId="180" fontId="110" fillId="0" borderId="0" xfId="9" applyNumberFormat="1" applyFont="1" applyAlignment="1">
      <alignment horizontal="center" vertical="center"/>
    </xf>
    <xf numFmtId="180" fontId="110" fillId="0" borderId="122" xfId="9" applyNumberFormat="1" applyFont="1" applyBorder="1" applyAlignment="1">
      <alignment horizontal="center" vertical="center"/>
    </xf>
    <xf numFmtId="177" fontId="110" fillId="15" borderId="0" xfId="9" applyNumberFormat="1" applyFont="1" applyFill="1" applyAlignment="1">
      <alignment horizontal="center" vertical="center"/>
    </xf>
    <xf numFmtId="0" fontId="157" fillId="13" borderId="133" xfId="9" applyFont="1" applyFill="1" applyBorder="1" applyAlignment="1" applyProtection="1">
      <alignment horizontal="center" vertical="center" wrapText="1"/>
    </xf>
    <xf numFmtId="0" fontId="113" fillId="12" borderId="133" xfId="9" applyFont="1" applyFill="1" applyBorder="1" applyAlignment="1">
      <alignment horizontal="center" vertical="center" wrapText="1"/>
    </xf>
    <xf numFmtId="0" fontId="113" fillId="12" borderId="137" xfId="9" applyFont="1" applyFill="1" applyBorder="1" applyAlignment="1">
      <alignment horizontal="center" vertical="center" wrapText="1"/>
    </xf>
    <xf numFmtId="177" fontId="110" fillId="5" borderId="0" xfId="9" applyNumberFormat="1" applyFont="1" applyFill="1" applyAlignment="1">
      <alignment horizontal="center" vertical="center"/>
    </xf>
    <xf numFmtId="0" fontId="157" fillId="5" borderId="127" xfId="9" applyFont="1" applyFill="1" applyBorder="1" applyAlignment="1" applyProtection="1">
      <alignment horizontal="center" vertical="center" wrapText="1"/>
    </xf>
    <xf numFmtId="180" fontId="110" fillId="5" borderId="0" xfId="9" applyNumberFormat="1" applyFont="1" applyFill="1" applyAlignment="1">
      <alignment horizontal="center" vertical="center"/>
    </xf>
    <xf numFmtId="0" fontId="110" fillId="5" borderId="122" xfId="9" applyFont="1" applyFill="1" applyBorder="1">
      <alignment vertical="center"/>
    </xf>
    <xf numFmtId="178" fontId="110" fillId="5" borderId="0" xfId="9" applyNumberFormat="1" applyFont="1" applyFill="1" applyAlignment="1">
      <alignment horizontal="center" vertical="center"/>
    </xf>
    <xf numFmtId="0" fontId="113" fillId="12" borderId="145" xfId="9" applyFont="1" applyFill="1" applyBorder="1" applyAlignment="1">
      <alignment horizontal="center" vertical="center" wrapText="1"/>
    </xf>
    <xf numFmtId="0" fontId="113" fillId="12" borderId="146" xfId="9" applyFont="1" applyFill="1" applyBorder="1" applyAlignment="1">
      <alignment horizontal="center" vertical="center" wrapText="1"/>
    </xf>
    <xf numFmtId="0" fontId="113" fillId="12" borderId="147" xfId="9" applyFont="1" applyFill="1" applyBorder="1" applyAlignment="1">
      <alignment horizontal="center" vertical="center" wrapText="1"/>
    </xf>
    <xf numFmtId="0" fontId="143" fillId="0" borderId="0" xfId="9" applyFont="1">
      <alignment vertical="center"/>
    </xf>
    <xf numFmtId="0" fontId="125" fillId="0" borderId="0" xfId="9" applyFont="1">
      <alignment vertical="center"/>
    </xf>
    <xf numFmtId="0" fontId="125" fillId="0" borderId="122" xfId="9" applyFont="1" applyBorder="1">
      <alignment vertical="center"/>
    </xf>
    <xf numFmtId="180" fontId="125" fillId="0" borderId="0" xfId="9" applyNumberFormat="1" applyFont="1" applyAlignment="1">
      <alignment horizontal="center" vertical="center"/>
    </xf>
    <xf numFmtId="180" fontId="125" fillId="0" borderId="122" xfId="9" applyNumberFormat="1" applyFont="1" applyBorder="1" applyAlignment="1">
      <alignment horizontal="center" vertical="center"/>
    </xf>
    <xf numFmtId="0" fontId="157" fillId="13" borderId="148" xfId="9" applyFont="1" applyFill="1" applyBorder="1" applyAlignment="1">
      <alignment horizontal="center" vertical="center" wrapText="1"/>
    </xf>
    <xf numFmtId="0" fontId="157" fillId="13" borderId="124" xfId="9" applyFont="1" applyFill="1" applyBorder="1" applyAlignment="1">
      <alignment horizontal="center" vertical="center" wrapText="1"/>
    </xf>
    <xf numFmtId="0" fontId="157" fillId="12" borderId="149" xfId="9" applyFont="1" applyFill="1" applyBorder="1" applyAlignment="1">
      <alignment horizontal="center" vertical="center" wrapText="1"/>
    </xf>
    <xf numFmtId="0" fontId="157" fillId="12" borderId="127" xfId="9" applyFont="1" applyFill="1" applyBorder="1" applyAlignment="1">
      <alignment horizontal="center" vertical="center" wrapText="1"/>
    </xf>
    <xf numFmtId="0" fontId="157" fillId="13" borderId="149" xfId="9" applyFont="1" applyFill="1" applyBorder="1" applyAlignment="1">
      <alignment horizontal="center" vertical="center" wrapText="1"/>
    </xf>
    <xf numFmtId="0" fontId="157" fillId="13" borderId="127" xfId="9" applyFont="1" applyFill="1" applyBorder="1" applyAlignment="1">
      <alignment horizontal="center" vertical="center" wrapText="1"/>
    </xf>
    <xf numFmtId="0" fontId="157" fillId="12" borderId="150" xfId="9" applyFont="1" applyFill="1" applyBorder="1" applyAlignment="1">
      <alignment horizontal="center" vertical="center" wrapText="1"/>
    </xf>
    <xf numFmtId="0" fontId="157" fillId="12" borderId="133" xfId="9" applyFont="1" applyFill="1" applyBorder="1" applyAlignment="1">
      <alignment horizontal="center" vertical="center" wrapText="1"/>
    </xf>
    <xf numFmtId="10" fontId="59" fillId="0" borderId="3" xfId="8" applyNumberFormat="1" applyFont="1" applyFill="1" applyBorder="1" applyAlignment="1" applyProtection="1">
      <alignment horizontal="center" vertical="center" wrapText="1"/>
      <protection locked="0"/>
    </xf>
    <xf numFmtId="10" fontId="61" fillId="6" borderId="24" xfId="8" applyNumberFormat="1" applyFont="1" applyFill="1" applyBorder="1" applyAlignment="1" applyProtection="1">
      <alignment horizontal="center" vertical="center" wrapText="1"/>
    </xf>
    <xf numFmtId="10" fontId="59" fillId="0" borderId="66" xfId="8" applyNumberFormat="1" applyFont="1" applyFill="1" applyBorder="1" applyAlignment="1" applyProtection="1">
      <alignment horizontal="center" vertical="center" wrapText="1"/>
      <protection locked="0"/>
    </xf>
    <xf numFmtId="10" fontId="61" fillId="6" borderId="49" xfId="8" applyNumberFormat="1" applyFont="1" applyFill="1" applyBorder="1" applyAlignment="1" applyProtection="1">
      <alignment horizontal="center" vertical="center" wrapText="1"/>
    </xf>
    <xf numFmtId="0" fontId="59" fillId="6" borderId="47" xfId="8" applyFont="1" applyFill="1" applyBorder="1" applyAlignment="1" applyProtection="1">
      <alignment vertical="center" wrapText="1"/>
      <protection locked="0"/>
    </xf>
    <xf numFmtId="0" fontId="52" fillId="6" borderId="22"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center" vertical="center" wrapText="1"/>
      <protection locked="0"/>
    </xf>
    <xf numFmtId="0" fontId="52" fillId="0" borderId="24"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protection locked="0"/>
    </xf>
    <xf numFmtId="49" fontId="52" fillId="0" borderId="58" xfId="0" applyNumberFormat="1" applyFont="1" applyFill="1" applyBorder="1" applyAlignment="1" applyProtection="1">
      <alignment horizontal="center" vertical="center"/>
      <protection locked="0"/>
    </xf>
    <xf numFmtId="0" fontId="52" fillId="6" borderId="30"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protection locked="0"/>
    </xf>
    <xf numFmtId="190" fontId="52" fillId="6" borderId="30" xfId="0" applyNumberFormat="1" applyFont="1" applyFill="1" applyBorder="1" applyAlignment="1" applyProtection="1">
      <alignment horizontal="center" vertical="center" wrapText="1"/>
    </xf>
    <xf numFmtId="190" fontId="52" fillId="6" borderId="9" xfId="0" applyNumberFormat="1" applyFont="1" applyFill="1" applyBorder="1" applyAlignment="1" applyProtection="1">
      <alignment horizontal="center" vertical="center" wrapText="1"/>
    </xf>
    <xf numFmtId="190" fontId="52" fillId="6" borderId="39" xfId="0" applyNumberFormat="1" applyFont="1" applyFill="1" applyBorder="1" applyAlignment="1" applyProtection="1">
      <alignment horizontal="center" vertical="center" wrapText="1"/>
    </xf>
    <xf numFmtId="0" fontId="55" fillId="0" borderId="54" xfId="0" applyFont="1" applyFill="1" applyBorder="1" applyAlignment="1" applyProtection="1">
      <alignment vertical="center"/>
      <protection locked="0"/>
    </xf>
    <xf numFmtId="0" fontId="55" fillId="6" borderId="36" xfId="0" applyFont="1" applyFill="1" applyBorder="1" applyAlignment="1" applyProtection="1">
      <alignment vertical="center"/>
    </xf>
    <xf numFmtId="0" fontId="55" fillId="6" borderId="60" xfId="0" applyFont="1" applyFill="1" applyBorder="1" applyAlignment="1" applyProtection="1">
      <alignment horizontal="left" vertical="center"/>
    </xf>
    <xf numFmtId="0" fontId="53" fillId="5" borderId="3" xfId="1" applyFont="1" applyFill="1" applyBorder="1" applyAlignment="1" applyProtection="1">
      <alignment vertical="center"/>
    </xf>
    <xf numFmtId="0" fontId="55" fillId="6" borderId="0" xfId="0" applyFont="1" applyFill="1" applyAlignment="1" applyProtection="1">
      <alignment vertical="center"/>
      <protection locked="0"/>
    </xf>
    <xf numFmtId="0" fontId="53" fillId="5" borderId="5" xfId="1" applyFont="1" applyFill="1" applyBorder="1" applyAlignment="1" applyProtection="1">
      <alignment horizontal="left" vertical="center"/>
      <protection locked="0"/>
    </xf>
    <xf numFmtId="0" fontId="70" fillId="0" borderId="32" xfId="0" applyFont="1" applyFill="1" applyBorder="1" applyAlignment="1" applyProtection="1">
      <alignment vertical="center"/>
      <protection locked="0"/>
    </xf>
    <xf numFmtId="0" fontId="161" fillId="0" borderId="0" xfId="11" applyFont="1" applyBorder="1" applyAlignment="1" applyProtection="1">
      <alignment vertical="center" wrapText="1"/>
    </xf>
    <xf numFmtId="0" fontId="137" fillId="0" borderId="78" xfId="0" applyFont="1" applyBorder="1" applyAlignment="1" applyProtection="1">
      <alignment horizontal="left" vertical="center"/>
    </xf>
    <xf numFmtId="0" fontId="161" fillId="0" borderId="78" xfId="11" applyFont="1" applyBorder="1" applyAlignment="1" applyProtection="1">
      <alignment horizontal="left" vertical="center" wrapText="1"/>
    </xf>
    <xf numFmtId="0" fontId="161" fillId="0" borderId="87" xfId="0" applyFont="1" applyBorder="1" applyProtection="1">
      <alignment vertical="center"/>
    </xf>
    <xf numFmtId="0" fontId="161" fillId="0" borderId="44" xfId="11" applyFont="1" applyBorder="1" applyAlignment="1" applyProtection="1">
      <alignment vertical="center" wrapText="1"/>
    </xf>
    <xf numFmtId="0" fontId="161" fillId="0" borderId="44" xfId="0" applyFont="1" applyBorder="1" applyAlignment="1" applyProtection="1">
      <alignment horizontal="left" vertical="center"/>
    </xf>
    <xf numFmtId="0" fontId="161" fillId="0" borderId="83" xfId="0" applyFont="1" applyBorder="1" applyProtection="1">
      <alignment vertical="center"/>
    </xf>
    <xf numFmtId="0" fontId="161" fillId="0" borderId="1" xfId="11" applyFont="1" applyBorder="1" applyAlignment="1" applyProtection="1">
      <alignment vertical="center" wrapText="1"/>
    </xf>
    <xf numFmtId="0" fontId="161" fillId="0" borderId="1" xfId="0" applyFont="1" applyBorder="1" applyAlignment="1" applyProtection="1">
      <alignment horizontal="left" vertical="center"/>
    </xf>
    <xf numFmtId="0" fontId="161" fillId="0" borderId="0" xfId="0" applyFont="1" applyBorder="1" applyProtection="1">
      <alignment vertical="center"/>
    </xf>
    <xf numFmtId="0" fontId="161" fillId="0" borderId="78" xfId="11" applyFont="1" applyBorder="1" applyAlignment="1" applyProtection="1">
      <alignment vertical="center" wrapText="1"/>
    </xf>
    <xf numFmtId="0" fontId="161" fillId="0" borderId="78" xfId="0" applyFont="1" applyBorder="1" applyAlignment="1" applyProtection="1">
      <alignment horizontal="left" vertical="center"/>
    </xf>
    <xf numFmtId="194" fontId="161" fillId="0" borderId="78" xfId="0" applyNumberFormat="1" applyFont="1" applyBorder="1" applyAlignment="1" applyProtection="1">
      <alignment horizontal="left" vertical="center"/>
    </xf>
    <xf numFmtId="0" fontId="161" fillId="0" borderId="2" xfId="11" applyFont="1" applyBorder="1" applyAlignment="1" applyProtection="1">
      <alignment vertical="center" wrapText="1"/>
    </xf>
    <xf numFmtId="14" fontId="161" fillId="0" borderId="2" xfId="0" applyNumberFormat="1" applyFont="1" applyBorder="1" applyAlignment="1" applyProtection="1">
      <alignment horizontal="left" vertical="center"/>
    </xf>
    <xf numFmtId="0" fontId="161" fillId="0" borderId="0" xfId="0" applyFont="1" applyProtection="1">
      <alignment vertical="center"/>
    </xf>
    <xf numFmtId="14" fontId="161" fillId="0" borderId="1" xfId="0" applyNumberFormat="1" applyFont="1" applyBorder="1" applyAlignment="1" applyProtection="1">
      <alignment horizontal="left" vertical="center"/>
    </xf>
    <xf numFmtId="0" fontId="161" fillId="0" borderId="0" xfId="0" applyFont="1" applyAlignment="1" applyProtection="1">
      <alignment horizontal="left" vertical="center"/>
    </xf>
    <xf numFmtId="0" fontId="66" fillId="6" borderId="1" xfId="8" applyFont="1" applyFill="1" applyBorder="1" applyAlignment="1" applyProtection="1">
      <alignment horizontal="center" vertical="center" wrapText="1"/>
    </xf>
    <xf numFmtId="0" fontId="66" fillId="0" borderId="1" xfId="8" applyFont="1" applyFill="1" applyBorder="1" applyAlignment="1" applyProtection="1">
      <alignment horizontal="center" vertical="center" wrapText="1"/>
      <protection locked="0"/>
    </xf>
    <xf numFmtId="0" fontId="61" fillId="6" borderId="1" xfId="8" applyFont="1" applyFill="1" applyBorder="1" applyAlignment="1" applyProtection="1">
      <alignment horizontal="center" vertical="center" wrapText="1"/>
      <protection locked="0"/>
    </xf>
    <xf numFmtId="179" fontId="61" fillId="6" borderId="1" xfId="8" applyNumberFormat="1" applyFont="1" applyFill="1" applyBorder="1" applyAlignment="1" applyProtection="1">
      <alignment horizontal="center" vertical="center" wrapText="1"/>
      <protection locked="0"/>
    </xf>
    <xf numFmtId="0" fontId="61" fillId="6" borderId="0" xfId="8" applyFont="1" applyFill="1" applyAlignment="1" applyProtection="1">
      <alignment vertical="center" wrapText="1"/>
      <protection locked="0"/>
    </xf>
    <xf numFmtId="0" fontId="61" fillId="6" borderId="0" xfId="8" applyFont="1" applyFill="1" applyAlignment="1" applyProtection="1">
      <alignment horizontal="center" vertical="center" wrapText="1"/>
      <protection locked="0"/>
    </xf>
    <xf numFmtId="0" fontId="61" fillId="7" borderId="0" xfId="8" applyFont="1" applyFill="1" applyAlignment="1" applyProtection="1">
      <alignment horizontal="center" vertical="center" wrapText="1"/>
    </xf>
    <xf numFmtId="0" fontId="61" fillId="0" borderId="0" xfId="8" applyFont="1" applyAlignment="1" applyProtection="1">
      <alignment horizontal="center" vertical="center" wrapText="1"/>
    </xf>
    <xf numFmtId="0" fontId="110" fillId="6" borderId="1" xfId="8" applyFont="1" applyFill="1" applyBorder="1" applyAlignment="1" applyProtection="1">
      <alignment horizontal="center" vertical="center"/>
    </xf>
    <xf numFmtId="186" fontId="110" fillId="6" borderId="1" xfId="8" applyNumberFormat="1" applyFont="1" applyFill="1" applyBorder="1" applyAlignment="1" applyProtection="1">
      <alignment horizontal="center" vertical="center"/>
    </xf>
    <xf numFmtId="177" fontId="125" fillId="6" borderId="1" xfId="8" applyNumberFormat="1" applyFont="1" applyFill="1" applyBorder="1" applyAlignment="1" applyProtection="1">
      <alignment horizontal="center" vertical="center"/>
    </xf>
    <xf numFmtId="187" fontId="125" fillId="6" borderId="1" xfId="8" applyNumberFormat="1" applyFont="1" applyFill="1" applyBorder="1" applyAlignment="1" applyProtection="1">
      <alignment horizontal="center" vertical="center" wrapText="1"/>
    </xf>
    <xf numFmtId="0" fontId="61" fillId="6" borderId="1" xfId="8" applyFont="1" applyFill="1" applyBorder="1" applyAlignment="1" applyProtection="1">
      <alignment horizontal="center" vertical="center" wrapText="1"/>
    </xf>
    <xf numFmtId="0" fontId="61" fillId="6" borderId="1" xfId="8" applyNumberFormat="1" applyFont="1" applyFill="1" applyBorder="1" applyAlignment="1" applyProtection="1">
      <alignment horizontal="center" vertical="center" wrapText="1"/>
    </xf>
    <xf numFmtId="0" fontId="110" fillId="6" borderId="1" xfId="8" applyFont="1" applyFill="1" applyBorder="1" applyAlignment="1" applyProtection="1">
      <alignment vertical="center" wrapText="1"/>
    </xf>
    <xf numFmtId="0" fontId="65" fillId="6" borderId="2" xfId="1" applyFont="1" applyFill="1" applyBorder="1" applyAlignment="1" applyProtection="1">
      <alignment vertical="center"/>
    </xf>
    <xf numFmtId="0" fontId="112" fillId="6" borderId="85" xfId="0" applyFont="1" applyFill="1" applyBorder="1" applyAlignment="1" applyProtection="1">
      <alignment vertical="center"/>
    </xf>
    <xf numFmtId="0" fontId="70" fillId="2" borderId="88" xfId="0" applyFont="1" applyFill="1" applyBorder="1" applyAlignment="1" applyProtection="1">
      <alignment horizontal="right" vertical="center"/>
      <protection locked="0"/>
    </xf>
    <xf numFmtId="0" fontId="70" fillId="6" borderId="87" xfId="0" applyFont="1" applyFill="1" applyBorder="1" applyAlignment="1" applyProtection="1">
      <alignment horizontal="center" vertical="center"/>
    </xf>
    <xf numFmtId="0" fontId="70" fillId="2"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0" fontId="73" fillId="6" borderId="88" xfId="0" applyFont="1" applyFill="1" applyBorder="1" applyAlignment="1" applyProtection="1">
      <alignment vertical="center"/>
      <protection locked="0"/>
    </xf>
    <xf numFmtId="189" fontId="70" fillId="6" borderId="88" xfId="0" applyNumberFormat="1" applyFont="1" applyFill="1" applyBorder="1" applyAlignment="1" applyProtection="1">
      <alignment horizontal="center" vertical="center"/>
      <protection locked="0"/>
    </xf>
    <xf numFmtId="181" fontId="70" fillId="6" borderId="88" xfId="0" applyNumberFormat="1" applyFont="1" applyFill="1" applyBorder="1" applyAlignment="1" applyProtection="1">
      <alignment vertical="center"/>
      <protection locked="0"/>
    </xf>
    <xf numFmtId="0" fontId="70" fillId="6" borderId="88" xfId="0" applyFont="1" applyFill="1" applyBorder="1" applyAlignment="1" applyProtection="1">
      <alignment horizontal="center" vertical="center"/>
      <protection locked="0"/>
    </xf>
    <xf numFmtId="0" fontId="70" fillId="6" borderId="104" xfId="0" applyFont="1" applyFill="1" applyBorder="1" applyAlignment="1" applyProtection="1">
      <alignment horizontal="center" vertical="center"/>
    </xf>
    <xf numFmtId="0" fontId="71" fillId="6" borderId="87" xfId="0" applyFont="1" applyFill="1" applyBorder="1" applyAlignment="1" applyProtection="1">
      <alignment horizontal="center" vertical="center"/>
    </xf>
    <xf numFmtId="0" fontId="71" fillId="0" borderId="87" xfId="0" applyFont="1" applyFill="1" applyBorder="1" applyAlignment="1" applyProtection="1">
      <alignment horizontal="center" vertical="center"/>
      <protection locked="0"/>
    </xf>
    <xf numFmtId="0" fontId="70" fillId="6" borderId="88" xfId="0" applyFont="1" applyFill="1" applyBorder="1" applyAlignment="1" applyProtection="1">
      <alignment vertical="center"/>
    </xf>
    <xf numFmtId="0" fontId="73" fillId="6" borderId="88" xfId="0" applyFont="1" applyFill="1" applyBorder="1" applyAlignment="1" applyProtection="1">
      <alignment vertical="center"/>
    </xf>
    <xf numFmtId="189" fontId="70" fillId="6" borderId="88" xfId="0" applyNumberFormat="1" applyFont="1" applyFill="1" applyBorder="1" applyAlignment="1" applyProtection="1">
      <alignment horizontal="center" vertical="center"/>
    </xf>
    <xf numFmtId="181" fontId="70" fillId="6" borderId="88" xfId="0" applyNumberFormat="1" applyFont="1" applyFill="1" applyBorder="1" applyAlignment="1" applyProtection="1">
      <alignment vertical="center"/>
    </xf>
    <xf numFmtId="0" fontId="70" fillId="6" borderId="88" xfId="0" applyFont="1" applyFill="1" applyBorder="1" applyAlignment="1" applyProtection="1">
      <alignment horizontal="center" vertical="center"/>
    </xf>
    <xf numFmtId="0" fontId="0" fillId="0" borderId="0" xfId="0" applyAlignment="1"/>
    <xf numFmtId="0" fontId="105" fillId="6" borderId="0" xfId="0" applyFont="1" applyFill="1" applyAlignment="1"/>
    <xf numFmtId="0" fontId="89" fillId="6" borderId="0" xfId="2" applyFont="1" applyFill="1"/>
    <xf numFmtId="0" fontId="24" fillId="6" borderId="0" xfId="2" applyFont="1" applyFill="1"/>
    <xf numFmtId="0" fontId="24" fillId="6" borderId="6" xfId="2" applyFont="1" applyFill="1" applyBorder="1"/>
    <xf numFmtId="0" fontId="135" fillId="6" borderId="9" xfId="2" applyFont="1" applyFill="1" applyBorder="1" applyAlignment="1">
      <alignment horizontal="center" vertical="center" wrapText="1"/>
    </xf>
    <xf numFmtId="0" fontId="24" fillId="6" borderId="10" xfId="2" applyFont="1" applyFill="1" applyBorder="1" applyAlignment="1">
      <alignment horizontal="center"/>
    </xf>
    <xf numFmtId="0" fontId="135" fillId="6" borderId="6" xfId="2" applyFont="1" applyFill="1" applyBorder="1" applyAlignment="1">
      <alignment horizontal="center" vertical="center" wrapText="1"/>
    </xf>
    <xf numFmtId="0" fontId="24" fillId="6" borderId="9" xfId="2" applyNumberFormat="1" applyFont="1" applyFill="1" applyBorder="1" applyAlignment="1">
      <alignment horizontal="center"/>
    </xf>
    <xf numFmtId="0" fontId="24" fillId="0" borderId="0" xfId="2" applyFont="1"/>
    <xf numFmtId="0" fontId="24" fillId="6" borderId="23" xfId="2" applyFont="1" applyFill="1" applyBorder="1"/>
    <xf numFmtId="0" fontId="135" fillId="6" borderId="1" xfId="2" applyFont="1" applyFill="1" applyBorder="1" applyAlignment="1">
      <alignment horizontal="center" vertical="center" wrapText="1"/>
    </xf>
    <xf numFmtId="0" fontId="24" fillId="6" borderId="24" xfId="2" applyFont="1" applyFill="1" applyBorder="1" applyAlignment="1">
      <alignment horizontal="center"/>
    </xf>
    <xf numFmtId="0" fontId="135" fillId="6" borderId="23" xfId="2" applyFont="1" applyFill="1" applyBorder="1" applyAlignment="1">
      <alignment horizontal="center" vertical="center" wrapText="1"/>
    </xf>
    <xf numFmtId="0" fontId="24" fillId="6" borderId="1" xfId="2" applyNumberFormat="1" applyFont="1" applyFill="1" applyBorder="1" applyAlignment="1">
      <alignment horizontal="center"/>
    </xf>
    <xf numFmtId="0" fontId="24" fillId="6" borderId="25" xfId="2" applyFont="1" applyFill="1" applyBorder="1"/>
    <xf numFmtId="0" fontId="135" fillId="6" borderId="32" xfId="2" applyFont="1" applyFill="1" applyBorder="1" applyAlignment="1">
      <alignment horizontal="center" vertical="center" wrapText="1"/>
    </xf>
    <xf numFmtId="0" fontId="24" fillId="6" borderId="49" xfId="2" applyFont="1" applyFill="1" applyBorder="1" applyAlignment="1">
      <alignment horizontal="center"/>
    </xf>
    <xf numFmtId="0" fontId="135" fillId="6" borderId="25" xfId="2" applyFont="1" applyFill="1" applyBorder="1" applyAlignment="1">
      <alignment horizontal="center" vertical="center" wrapText="1"/>
    </xf>
    <xf numFmtId="0" fontId="24" fillId="6" borderId="32" xfId="2" applyNumberFormat="1" applyFont="1" applyFill="1" applyBorder="1" applyAlignment="1">
      <alignment horizontal="center"/>
    </xf>
    <xf numFmtId="0" fontId="24" fillId="6" borderId="0" xfId="2" applyNumberFormat="1" applyFont="1" applyFill="1" applyAlignment="1">
      <alignment horizontal="center"/>
    </xf>
    <xf numFmtId="0" fontId="24" fillId="6" borderId="0" xfId="2" applyFont="1" applyFill="1" applyAlignment="1">
      <alignment horizontal="right"/>
    </xf>
    <xf numFmtId="14" fontId="24" fillId="6" borderId="0" xfId="2" applyNumberFormat="1" applyFont="1" applyFill="1" applyAlignment="1">
      <alignment horizontal="center"/>
    </xf>
    <xf numFmtId="0" fontId="166" fillId="6" borderId="0" xfId="2" applyNumberFormat="1" applyFont="1" applyFill="1" applyAlignment="1">
      <alignment horizontal="center"/>
    </xf>
    <xf numFmtId="0" fontId="167" fillId="6" borderId="0" xfId="2" applyFont="1" applyFill="1" applyAlignment="1">
      <alignment horizontal="left"/>
    </xf>
    <xf numFmtId="14" fontId="166" fillId="6" borderId="0" xfId="2" applyNumberFormat="1" applyFont="1" applyFill="1" applyAlignment="1">
      <alignment horizontal="center"/>
    </xf>
    <xf numFmtId="0" fontId="166" fillId="6" borderId="0" xfId="2" applyFont="1" applyFill="1"/>
    <xf numFmtId="0" fontId="166" fillId="0" borderId="0" xfId="2" applyFont="1"/>
    <xf numFmtId="0" fontId="166" fillId="0" borderId="0" xfId="0" applyFont="1" applyAlignment="1"/>
    <xf numFmtId="0" fontId="168" fillId="6" borderId="0" xfId="2" applyFont="1" applyFill="1"/>
    <xf numFmtId="0" fontId="169" fillId="6" borderId="0" xfId="2" applyFont="1" applyFill="1"/>
    <xf numFmtId="0" fontId="168" fillId="0" borderId="0" xfId="2" applyFont="1"/>
    <xf numFmtId="0" fontId="135" fillId="6" borderId="0" xfId="2" applyFont="1" applyFill="1" applyAlignment="1"/>
    <xf numFmtId="0" fontId="150" fillId="6" borderId="13" xfId="2" applyFont="1" applyFill="1" applyBorder="1" applyAlignment="1">
      <alignment horizontal="center" vertical="center"/>
    </xf>
    <xf numFmtId="0" fontId="150" fillId="6" borderId="13" xfId="2" applyFont="1" applyFill="1" applyBorder="1" applyAlignment="1">
      <alignment vertical="center"/>
    </xf>
    <xf numFmtId="0" fontId="150" fillId="6" borderId="5" xfId="2" applyFont="1" applyFill="1" applyBorder="1" applyAlignment="1">
      <alignment vertical="center"/>
    </xf>
    <xf numFmtId="0" fontId="150" fillId="6" borderId="3" xfId="2" applyFont="1" applyFill="1" applyBorder="1" applyAlignment="1">
      <alignment vertical="center"/>
    </xf>
    <xf numFmtId="0" fontId="150" fillId="6" borderId="54" xfId="2" applyFont="1" applyFill="1" applyBorder="1" applyAlignment="1">
      <alignment vertical="center"/>
    </xf>
    <xf numFmtId="0" fontId="135" fillId="0" borderId="0" xfId="2" applyFont="1" applyAlignment="1"/>
    <xf numFmtId="0" fontId="135" fillId="6" borderId="0" xfId="2" applyFont="1" applyFill="1"/>
    <xf numFmtId="0" fontId="150" fillId="6" borderId="2" xfId="2" applyFont="1" applyFill="1" applyBorder="1" applyAlignment="1">
      <alignment horizontal="center" vertical="center" wrapText="1"/>
    </xf>
    <xf numFmtId="0" fontId="150" fillId="6" borderId="2" xfId="2" applyFont="1" applyFill="1" applyBorder="1" applyAlignment="1">
      <alignment vertical="center" wrapText="1"/>
    </xf>
    <xf numFmtId="0" fontId="24" fillId="6" borderId="1" xfId="2" applyFont="1" applyFill="1" applyBorder="1"/>
    <xf numFmtId="0" fontId="150" fillId="6" borderId="1" xfId="2" applyFont="1" applyFill="1" applyBorder="1" applyAlignment="1">
      <alignment horizontal="center" vertical="center" wrapText="1"/>
    </xf>
    <xf numFmtId="0" fontId="135" fillId="0" borderId="0" xfId="2" applyFont="1"/>
    <xf numFmtId="0" fontId="171" fillId="6" borderId="0" xfId="2" applyFont="1" applyFill="1" applyAlignment="1">
      <alignment vertical="center"/>
    </xf>
    <xf numFmtId="0" fontId="171" fillId="6" borderId="1" xfId="2" applyFont="1" applyFill="1" applyBorder="1" applyAlignment="1">
      <alignment horizontal="left" vertical="center" wrapText="1"/>
    </xf>
    <xf numFmtId="196" fontId="171" fillId="6" borderId="1" xfId="2" applyNumberFormat="1" applyFont="1" applyFill="1" applyBorder="1" applyAlignment="1">
      <alignment horizontal="center" vertical="center" wrapText="1"/>
    </xf>
    <xf numFmtId="0" fontId="171" fillId="6" borderId="1" xfId="2" applyFont="1" applyFill="1" applyBorder="1" applyAlignment="1">
      <alignment horizontal="center" vertical="center" wrapText="1"/>
    </xf>
    <xf numFmtId="14" fontId="171" fillId="6" borderId="1" xfId="2" applyNumberFormat="1" applyFont="1" applyFill="1" applyBorder="1" applyAlignment="1">
      <alignment horizontal="center" vertical="center" wrapText="1"/>
    </xf>
    <xf numFmtId="0" fontId="171" fillId="5" borderId="0" xfId="2" applyFont="1" applyFill="1" applyAlignment="1">
      <alignment vertical="center"/>
    </xf>
    <xf numFmtId="0" fontId="172" fillId="0" borderId="0" xfId="0" applyFont="1" applyAlignment="1"/>
    <xf numFmtId="0" fontId="24" fillId="6" borderId="1" xfId="2" applyFont="1" applyFill="1" applyBorder="1" applyAlignment="1">
      <alignment horizontal="center" wrapText="1"/>
    </xf>
    <xf numFmtId="14" fontId="24" fillId="6" borderId="1" xfId="2" applyNumberFormat="1" applyFont="1" applyFill="1" applyBorder="1" applyAlignment="1">
      <alignment horizontal="center" wrapText="1"/>
    </xf>
    <xf numFmtId="179" fontId="173" fillId="6" borderId="1" xfId="2" applyNumberFormat="1" applyFont="1" applyFill="1" applyBorder="1" applyAlignment="1">
      <alignment horizontal="center"/>
    </xf>
    <xf numFmtId="14" fontId="143" fillId="6" borderId="1" xfId="2" applyNumberFormat="1" applyFont="1" applyFill="1" applyBorder="1" applyAlignment="1">
      <alignment horizontal="center" wrapText="1"/>
    </xf>
    <xf numFmtId="0" fontId="24" fillId="6" borderId="0" xfId="2" applyFont="1" applyFill="1" applyBorder="1" applyAlignment="1">
      <alignment horizontal="center" wrapText="1"/>
    </xf>
    <xf numFmtId="14" fontId="24" fillId="6" borderId="0" xfId="2" applyNumberFormat="1" applyFont="1" applyFill="1" applyBorder="1" applyAlignment="1">
      <alignment horizontal="center" wrapText="1"/>
    </xf>
    <xf numFmtId="0" fontId="152" fillId="6" borderId="87" xfId="2" applyFont="1" applyFill="1" applyBorder="1"/>
    <xf numFmtId="14" fontId="152" fillId="6" borderId="78" xfId="2" applyNumberFormat="1" applyFont="1" applyFill="1" applyBorder="1" applyAlignment="1" applyProtection="1">
      <alignment horizontal="center"/>
    </xf>
    <xf numFmtId="0" fontId="152" fillId="6" borderId="78" xfId="2" applyFont="1" applyFill="1" applyBorder="1" applyAlignment="1" applyProtection="1">
      <alignment horizontal="center"/>
    </xf>
    <xf numFmtId="10" fontId="152" fillId="6" borderId="78" xfId="2" applyNumberFormat="1" applyFont="1" applyFill="1" applyBorder="1" applyAlignment="1">
      <alignment horizontal="center"/>
    </xf>
    <xf numFmtId="0" fontId="152" fillId="0" borderId="87" xfId="2" applyFont="1" applyBorder="1"/>
    <xf numFmtId="0" fontId="119" fillId="0" borderId="87" xfId="0" applyFont="1" applyBorder="1" applyAlignment="1"/>
    <xf numFmtId="0" fontId="119" fillId="0" borderId="0" xfId="0" applyFont="1" applyAlignment="1"/>
    <xf numFmtId="0" fontId="150" fillId="6" borderId="78" xfId="2" applyFont="1" applyFill="1" applyBorder="1" applyAlignment="1">
      <alignment horizontal="center"/>
    </xf>
    <xf numFmtId="177" fontId="150" fillId="6" borderId="87" xfId="2" applyNumberFormat="1" applyFont="1" applyFill="1" applyBorder="1" applyAlignment="1">
      <alignment horizontal="center"/>
    </xf>
    <xf numFmtId="0" fontId="131" fillId="0" borderId="1" xfId="5" applyFont="1" applyFill="1" applyBorder="1">
      <alignment vertical="center"/>
    </xf>
    <xf numFmtId="0" fontId="131" fillId="0" borderId="1" xfId="5" applyFont="1" applyFill="1" applyBorder="1" applyAlignment="1">
      <alignment horizontal="left" vertical="center"/>
    </xf>
    <xf numFmtId="0" fontId="110" fillId="0" borderId="1" xfId="0" applyNumberFormat="1" applyFont="1" applyFill="1" applyBorder="1" applyAlignment="1" applyProtection="1">
      <alignment horizontal="center" vertical="center" wrapText="1"/>
      <protection locked="0"/>
    </xf>
    <xf numFmtId="0" fontId="110" fillId="0" borderId="1" xfId="0" applyNumberFormat="1" applyFont="1" applyFill="1" applyBorder="1" applyAlignment="1" applyProtection="1">
      <alignment horizontal="left" vertical="center" wrapText="1"/>
      <protection locked="0"/>
    </xf>
    <xf numFmtId="0" fontId="110" fillId="0" borderId="5" xfId="0" applyNumberFormat="1" applyFont="1" applyFill="1" applyBorder="1" applyAlignment="1" applyProtection="1">
      <alignment horizontal="center" vertical="center" wrapText="1"/>
      <protection locked="0"/>
    </xf>
    <xf numFmtId="0" fontId="110" fillId="0" borderId="48" xfId="0" applyNumberFormat="1" applyFont="1" applyFill="1" applyBorder="1" applyAlignment="1" applyProtection="1">
      <alignment horizontal="center" vertical="center" wrapText="1"/>
      <protection locked="0"/>
    </xf>
    <xf numFmtId="0" fontId="110" fillId="0" borderId="13" xfId="0" applyNumberFormat="1" applyFont="1" applyFill="1" applyBorder="1" applyAlignment="1" applyProtection="1">
      <alignment horizontal="center" vertical="center" wrapText="1"/>
      <protection locked="0"/>
    </xf>
    <xf numFmtId="0" fontId="110" fillId="0" borderId="46" xfId="0" applyNumberFormat="1" applyFont="1" applyFill="1" applyBorder="1" applyAlignment="1" applyProtection="1">
      <alignment horizontal="center" vertical="center" wrapText="1"/>
      <protection locked="0"/>
    </xf>
    <xf numFmtId="0" fontId="110" fillId="0" borderId="59" xfId="0" applyNumberFormat="1" applyFont="1" applyFill="1" applyBorder="1" applyAlignment="1" applyProtection="1">
      <alignment horizontal="center" vertical="center" wrapText="1"/>
      <protection locked="0"/>
    </xf>
    <xf numFmtId="0" fontId="110" fillId="0" borderId="111" xfId="0" applyNumberFormat="1" applyFont="1" applyFill="1" applyBorder="1" applyAlignment="1" applyProtection="1">
      <alignment horizontal="center" vertical="center" wrapText="1"/>
      <protection locked="0"/>
    </xf>
    <xf numFmtId="0" fontId="110" fillId="0" borderId="111" xfId="0" applyNumberFormat="1" applyFont="1" applyFill="1" applyBorder="1" applyAlignment="1" applyProtection="1">
      <alignment horizontal="left" vertical="center" wrapText="1"/>
      <protection locked="0"/>
    </xf>
    <xf numFmtId="0" fontId="110" fillId="0" borderId="112" xfId="0" applyNumberFormat="1" applyFont="1" applyFill="1" applyBorder="1" applyAlignment="1" applyProtection="1">
      <alignment horizontal="center" vertical="center" wrapText="1"/>
      <protection locked="0"/>
    </xf>
    <xf numFmtId="0" fontId="110" fillId="0" borderId="113" xfId="0" applyNumberFormat="1" applyFont="1" applyFill="1" applyBorder="1" applyAlignment="1" applyProtection="1">
      <alignment horizontal="center" vertical="center" wrapText="1"/>
      <protection locked="0"/>
    </xf>
    <xf numFmtId="0" fontId="110" fillId="6" borderId="99"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4" xfId="0" applyNumberFormat="1" applyFont="1" applyFill="1" applyBorder="1" applyAlignment="1" applyProtection="1">
      <alignment horizontal="center" vertical="center" wrapText="1"/>
      <protection locked="0"/>
    </xf>
    <xf numFmtId="0" fontId="110" fillId="0" borderId="58" xfId="0" applyFont="1" applyFill="1" applyBorder="1" applyAlignment="1" applyProtection="1">
      <alignment horizontal="center" vertical="center"/>
      <protection locked="0"/>
    </xf>
    <xf numFmtId="0" fontId="110" fillId="0" borderId="15" xfId="0" applyNumberFormat="1" applyFont="1" applyFill="1" applyBorder="1" applyAlignment="1" applyProtection="1">
      <alignment horizontal="center" vertical="center" wrapText="1"/>
      <protection locked="0"/>
    </xf>
    <xf numFmtId="0" fontId="110" fillId="0" borderId="15" xfId="0" applyFont="1" applyFill="1" applyBorder="1" applyAlignment="1" applyProtection="1">
      <alignment horizontal="center" vertical="center" wrapText="1"/>
      <protection locked="0"/>
    </xf>
    <xf numFmtId="9" fontId="110" fillId="0" borderId="15" xfId="0" applyNumberFormat="1" applyFont="1" applyFill="1" applyBorder="1" applyAlignment="1" applyProtection="1">
      <alignment horizontal="center" vertical="center" wrapText="1"/>
      <protection locked="0"/>
    </xf>
    <xf numFmtId="0" fontId="110" fillId="0" borderId="15" xfId="0" applyFont="1" applyFill="1" applyBorder="1" applyAlignment="1" applyProtection="1">
      <alignment horizontal="center" vertical="center"/>
      <protection locked="0"/>
    </xf>
    <xf numFmtId="0" fontId="110" fillId="0" borderId="56" xfId="0" applyFont="1" applyFill="1" applyBorder="1" applyAlignment="1" applyProtection="1">
      <alignment horizontal="center" vertical="center"/>
      <protection locked="0"/>
    </xf>
    <xf numFmtId="0" fontId="110" fillId="0" borderId="2" xfId="0" applyNumberFormat="1" applyFont="1" applyFill="1" applyBorder="1" applyAlignment="1" applyProtection="1">
      <alignment horizontal="left" vertical="center" wrapText="1"/>
      <protection locked="0"/>
    </xf>
    <xf numFmtId="0" fontId="110" fillId="6" borderId="13" xfId="0" applyNumberFormat="1" applyFont="1" applyFill="1" applyBorder="1" applyAlignment="1" applyProtection="1">
      <alignment horizontal="center" vertical="center" wrapText="1"/>
    </xf>
    <xf numFmtId="0" fontId="110" fillId="14" borderId="0" xfId="9" applyFont="1" applyFill="1" applyAlignment="1">
      <alignment horizontal="center" vertical="center"/>
    </xf>
    <xf numFmtId="10" fontId="110" fillId="5" borderId="0" xfId="9" applyNumberFormat="1" applyFont="1" applyFill="1" applyAlignment="1">
      <alignment horizontal="center" vertical="center"/>
    </xf>
    <xf numFmtId="0" fontId="62" fillId="6" borderId="1" xfId="0" applyNumberFormat="1" applyFont="1" applyFill="1" applyBorder="1" applyAlignment="1" applyProtection="1">
      <alignment horizontal="right" vertical="center"/>
    </xf>
    <xf numFmtId="49" fontId="61" fillId="14" borderId="1" xfId="9" applyNumberFormat="1" applyFont="1" applyFill="1" applyBorder="1" applyAlignment="1" applyProtection="1">
      <alignment horizontal="center" vertical="center" wrapText="1"/>
    </xf>
    <xf numFmtId="0" fontId="157" fillId="14" borderId="127" xfId="9" applyFont="1" applyFill="1" applyBorder="1" applyAlignment="1" applyProtection="1">
      <alignment horizontal="center" vertical="center" wrapText="1"/>
    </xf>
    <xf numFmtId="0" fontId="113" fillId="14" borderId="0" xfId="9" applyFont="1" applyFill="1">
      <alignment vertical="center"/>
    </xf>
    <xf numFmtId="0" fontId="113" fillId="14" borderId="0" xfId="9" applyFont="1" applyFill="1" applyAlignment="1">
      <alignment horizontal="center" vertical="center"/>
    </xf>
    <xf numFmtId="0" fontId="113" fillId="14" borderId="122" xfId="9" applyFont="1" applyFill="1" applyBorder="1" applyAlignment="1">
      <alignment horizontal="center" vertical="center"/>
    </xf>
    <xf numFmtId="0" fontId="66" fillId="6" borderId="10" xfId="0" applyFont="1" applyFill="1" applyBorder="1" applyAlignment="1" applyProtection="1">
      <alignment horizontal="center" vertical="center" wrapText="1"/>
    </xf>
    <xf numFmtId="0" fontId="66" fillId="6" borderId="49" xfId="0" applyFont="1" applyFill="1" applyBorder="1" applyAlignment="1" applyProtection="1">
      <alignment horizontal="center" vertical="center" wrapText="1"/>
    </xf>
    <xf numFmtId="0" fontId="55" fillId="0" borderId="24" xfId="0" applyFont="1" applyBorder="1" applyProtection="1">
      <alignment vertical="center"/>
      <protection locked="0"/>
    </xf>
    <xf numFmtId="0" fontId="174" fillId="0" borderId="0" xfId="0" applyFont="1">
      <alignment vertical="center"/>
    </xf>
    <xf numFmtId="0" fontId="175" fillId="0" borderId="0" xfId="12"/>
    <xf numFmtId="0" fontId="104" fillId="6" borderId="1" xfId="12" applyFont="1" applyFill="1" applyBorder="1"/>
    <xf numFmtId="0" fontId="175" fillId="0" borderId="0" xfId="12" applyBorder="1"/>
    <xf numFmtId="0" fontId="176" fillId="6" borderId="13" xfId="12" applyFont="1" applyFill="1" applyBorder="1" applyAlignment="1">
      <alignment horizontal="center" vertical="center" wrapText="1"/>
    </xf>
    <xf numFmtId="0" fontId="176" fillId="0" borderId="0" xfId="12" applyFont="1" applyBorder="1" applyAlignment="1">
      <alignment horizontal="left" vertical="center" wrapText="1"/>
    </xf>
    <xf numFmtId="0" fontId="176" fillId="6" borderId="1" xfId="12" applyFont="1" applyFill="1" applyBorder="1" applyAlignment="1">
      <alignment horizontal="center" vertical="center" wrapText="1"/>
    </xf>
    <xf numFmtId="14" fontId="176" fillId="6" borderId="1" xfId="12" applyNumberFormat="1" applyFont="1" applyFill="1" applyBorder="1" applyAlignment="1">
      <alignment horizontal="center" vertical="center" wrapText="1"/>
    </xf>
    <xf numFmtId="0" fontId="176" fillId="13" borderId="1" xfId="12" applyFont="1" applyFill="1" applyBorder="1" applyAlignment="1" applyProtection="1">
      <alignment horizontal="center" vertical="center" wrapText="1"/>
      <protection locked="0"/>
    </xf>
    <xf numFmtId="0" fontId="175" fillId="0" borderId="1" xfId="12" applyBorder="1" applyProtection="1">
      <protection locked="0"/>
    </xf>
    <xf numFmtId="0" fontId="176" fillId="0" borderId="1" xfId="12" applyFont="1" applyBorder="1" applyAlignment="1" applyProtection="1">
      <alignment horizontal="left" vertical="center" wrapText="1"/>
      <protection locked="0"/>
    </xf>
    <xf numFmtId="0" fontId="175" fillId="6" borderId="1" xfId="12" applyFill="1" applyBorder="1" applyAlignment="1">
      <alignment vertical="center"/>
    </xf>
    <xf numFmtId="0" fontId="180" fillId="6" borderId="1" xfId="0" applyFont="1" applyFill="1" applyBorder="1" applyAlignment="1">
      <alignment horizontal="left" vertical="center" wrapText="1"/>
    </xf>
    <xf numFmtId="181" fontId="55" fillId="6" borderId="0" xfId="0" applyNumberFormat="1" applyFont="1" applyFill="1" applyProtection="1">
      <alignment vertical="center"/>
    </xf>
    <xf numFmtId="0" fontId="117" fillId="6" borderId="1" xfId="0" applyFont="1" applyFill="1" applyBorder="1" applyAlignment="1" applyProtection="1">
      <alignment horizontal="center" vertical="center" wrapText="1"/>
    </xf>
    <xf numFmtId="10" fontId="117" fillId="6" borderId="1" xfId="0" applyNumberFormat="1" applyFont="1" applyFill="1" applyBorder="1" applyAlignment="1" applyProtection="1">
      <alignment horizontal="center" vertical="center"/>
    </xf>
    <xf numFmtId="9" fontId="117" fillId="6" borderId="1" xfId="0" applyNumberFormat="1" applyFont="1" applyFill="1" applyBorder="1" applyAlignment="1" applyProtection="1">
      <alignment horizontal="center" vertical="center"/>
    </xf>
    <xf numFmtId="0" fontId="117" fillId="6" borderId="13" xfId="0" applyFont="1" applyFill="1" applyBorder="1" applyAlignment="1" applyProtection="1">
      <alignment horizontal="center" vertical="center" wrapText="1"/>
    </xf>
    <xf numFmtId="9" fontId="117" fillId="6" borderId="13" xfId="0" applyNumberFormat="1" applyFont="1" applyFill="1" applyBorder="1" applyAlignment="1" applyProtection="1">
      <alignment horizontal="center" vertical="center"/>
    </xf>
    <xf numFmtId="0" fontId="117" fillId="6" borderId="46" xfId="0" applyFont="1" applyFill="1" applyBorder="1" applyAlignment="1" applyProtection="1">
      <alignment vertical="center" wrapText="1"/>
    </xf>
    <xf numFmtId="0" fontId="117" fillId="6" borderId="36" xfId="0" applyFont="1" applyFill="1" applyBorder="1" applyAlignment="1" applyProtection="1">
      <alignment horizontal="center" vertical="center" wrapText="1"/>
    </xf>
    <xf numFmtId="0" fontId="117" fillId="6" borderId="5" xfId="0" applyFont="1" applyFill="1" applyBorder="1" applyAlignment="1" applyProtection="1">
      <alignment vertical="center" wrapText="1"/>
    </xf>
    <xf numFmtId="0" fontId="117" fillId="6" borderId="58" xfId="0" applyFont="1" applyFill="1" applyBorder="1" applyAlignment="1" applyProtection="1">
      <alignment vertical="center" wrapText="1"/>
    </xf>
    <xf numFmtId="0" fontId="117" fillId="6" borderId="0" xfId="0" applyFont="1" applyFill="1" applyBorder="1" applyAlignment="1" applyProtection="1">
      <alignment horizontal="center" vertical="center" wrapText="1"/>
    </xf>
    <xf numFmtId="0" fontId="117" fillId="6" borderId="4" xfId="0" applyFont="1" applyFill="1" applyBorder="1" applyAlignment="1" applyProtection="1">
      <alignment vertical="center" wrapText="1"/>
    </xf>
    <xf numFmtId="0" fontId="117" fillId="6" borderId="60" xfId="0" applyFont="1" applyFill="1" applyBorder="1" applyAlignment="1" applyProtection="1">
      <alignment horizontal="center" vertical="center" wrapText="1"/>
    </xf>
    <xf numFmtId="0" fontId="110" fillId="6" borderId="0" xfId="0" applyFont="1" applyFill="1" applyAlignment="1" applyProtection="1">
      <alignment vertical="center"/>
      <protection locked="0"/>
    </xf>
    <xf numFmtId="0" fontId="109" fillId="6" borderId="0" xfId="0" applyFont="1" applyFill="1" applyAlignment="1" applyProtection="1">
      <alignment horizontal="left" vertical="center"/>
      <protection locked="0"/>
    </xf>
    <xf numFmtId="9" fontId="182" fillId="0" borderId="1" xfId="0" applyNumberFormat="1" applyFont="1" applyFill="1" applyBorder="1" applyAlignment="1">
      <alignment horizontal="center" vertical="center"/>
    </xf>
    <xf numFmtId="0" fontId="109" fillId="6" borderId="9" xfId="0" applyNumberFormat="1" applyFont="1" applyFill="1" applyBorder="1" applyAlignment="1" applyProtection="1">
      <alignment horizontal="center" vertical="center" wrapText="1"/>
    </xf>
    <xf numFmtId="0" fontId="109" fillId="6" borderId="10" xfId="0" applyNumberFormat="1" applyFont="1" applyFill="1" applyBorder="1" applyAlignment="1" applyProtection="1">
      <alignment horizontal="center" vertical="center" wrapText="1"/>
    </xf>
    <xf numFmtId="10" fontId="61" fillId="6" borderId="17" xfId="0" applyNumberFormat="1" applyFont="1" applyFill="1" applyBorder="1" applyAlignment="1" applyProtection="1">
      <alignment horizontal="center" vertical="center" wrapText="1"/>
    </xf>
    <xf numFmtId="0" fontId="185" fillId="0" borderId="109" xfId="0" applyNumberFormat="1" applyFont="1" applyFill="1" applyBorder="1" applyAlignment="1" applyProtection="1">
      <alignment horizontal="center" vertical="center" wrapText="1"/>
      <protection locked="0"/>
    </xf>
    <xf numFmtId="0" fontId="185" fillId="0" borderId="18"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left" vertical="center"/>
      <protection locked="0"/>
    </xf>
    <xf numFmtId="177" fontId="125" fillId="0" borderId="1" xfId="8" applyNumberFormat="1" applyFont="1" applyFill="1" applyBorder="1" applyAlignment="1" applyProtection="1">
      <alignment horizontal="center" vertical="center"/>
      <protection locked="0"/>
    </xf>
    <xf numFmtId="0" fontId="125" fillId="6" borderId="24" xfId="0" applyFont="1" applyFill="1" applyBorder="1" applyAlignment="1" applyProtection="1">
      <alignment horizontal="left" vertical="center"/>
    </xf>
    <xf numFmtId="0" fontId="189" fillId="0" borderId="1" xfId="0" applyFont="1" applyBorder="1" applyAlignment="1">
      <alignment horizontal="right" vertical="center"/>
    </xf>
    <xf numFmtId="0" fontId="189" fillId="0" borderId="1" xfId="0" applyFont="1" applyBorder="1" applyAlignment="1">
      <alignment horizontal="left" vertical="center" wrapText="1"/>
    </xf>
    <xf numFmtId="0" fontId="189" fillId="0" borderId="1" xfId="0" applyFont="1" applyBorder="1" applyAlignment="1">
      <alignment vertical="center"/>
    </xf>
    <xf numFmtId="0" fontId="189" fillId="0" borderId="1" xfId="0" applyFont="1" applyBorder="1" applyAlignment="1">
      <alignment horizontal="center" vertical="center"/>
    </xf>
    <xf numFmtId="0" fontId="189" fillId="0" borderId="1" xfId="0" applyFont="1" applyBorder="1" applyAlignment="1">
      <alignment vertical="center" wrapText="1"/>
    </xf>
    <xf numFmtId="0" fontId="189" fillId="0" borderId="5" xfId="0" applyFont="1" applyBorder="1" applyAlignment="1">
      <alignment vertical="center"/>
    </xf>
    <xf numFmtId="0" fontId="189" fillId="0" borderId="54" xfId="0" applyFont="1" applyBorder="1" applyAlignment="1">
      <alignment vertical="center"/>
    </xf>
    <xf numFmtId="0" fontId="189" fillId="0" borderId="3" xfId="0" applyFont="1" applyBorder="1" applyAlignment="1">
      <alignment vertical="center"/>
    </xf>
    <xf numFmtId="0" fontId="186" fillId="0" borderId="0" xfId="0" applyFont="1" applyAlignment="1">
      <alignment vertical="center"/>
    </xf>
    <xf numFmtId="0" fontId="187" fillId="0" borderId="0" xfId="0" applyFont="1" applyAlignment="1">
      <alignment vertical="center"/>
    </xf>
    <xf numFmtId="0" fontId="188" fillId="0" borderId="0" xfId="0" applyFont="1" applyAlignment="1">
      <alignment vertical="center"/>
    </xf>
    <xf numFmtId="0" fontId="180" fillId="0" borderId="1" xfId="0" applyFont="1" applyBorder="1" applyAlignment="1">
      <alignment horizontal="right" vertical="center" wrapText="1"/>
    </xf>
    <xf numFmtId="0" fontId="110" fillId="0" borderId="1" xfId="0" applyFont="1" applyBorder="1" applyAlignment="1">
      <alignment horizontal="right" vertical="center"/>
    </xf>
    <xf numFmtId="0" fontId="190" fillId="6" borderId="32" xfId="0" applyFont="1" applyFill="1" applyBorder="1" applyAlignment="1" applyProtection="1">
      <alignment horizontal="center" vertical="center"/>
    </xf>
    <xf numFmtId="0" fontId="110" fillId="0" borderId="0" xfId="9" applyFont="1" applyFill="1" applyAlignment="1">
      <alignment horizontal="center" vertical="center"/>
    </xf>
    <xf numFmtId="10" fontId="110" fillId="0" borderId="0" xfId="9" applyNumberFormat="1" applyFont="1" applyFill="1" applyAlignment="1">
      <alignment horizontal="center" vertical="center"/>
    </xf>
    <xf numFmtId="0" fontId="110" fillId="0" borderId="0" xfId="9" applyFont="1" applyFill="1">
      <alignment vertical="center"/>
    </xf>
    <xf numFmtId="186" fontId="158" fillId="14" borderId="0" xfId="9" applyNumberFormat="1" applyFont="1" applyFill="1" applyAlignment="1">
      <alignment horizontal="center" vertical="center"/>
    </xf>
    <xf numFmtId="0" fontId="55" fillId="6" borderId="19" xfId="0" applyFont="1" applyFill="1" applyBorder="1" applyAlignment="1" applyProtection="1">
      <alignment horizontal="center" vertical="center"/>
      <protection locked="0"/>
    </xf>
    <xf numFmtId="0" fontId="55" fillId="5" borderId="66" xfId="0" applyFont="1" applyFill="1" applyBorder="1" applyAlignment="1" applyProtection="1">
      <alignment horizontal="center" vertical="center"/>
      <protection locked="0"/>
    </xf>
    <xf numFmtId="0" fontId="55"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10" fontId="55" fillId="6" borderId="5" xfId="0" applyNumberFormat="1" applyFont="1" applyFill="1" applyBorder="1" applyAlignment="1" applyProtection="1">
      <alignment horizontal="left" vertical="center" wrapText="1"/>
    </xf>
    <xf numFmtId="10" fontId="55" fillId="6" borderId="54"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0" fontId="55" fillId="6" borderId="48"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0" fontId="62" fillId="6" borderId="9"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54" xfId="0" applyFont="1" applyFill="1" applyBorder="1" applyAlignment="1" applyProtection="1">
      <alignment horizontal="center" vertical="center" wrapText="1"/>
    </xf>
    <xf numFmtId="0" fontId="52" fillId="0" borderId="1" xfId="0" applyFont="1" applyBorder="1" applyAlignment="1" applyProtection="1">
      <alignment horizontal="center" vertical="center"/>
      <protection locked="0"/>
    </xf>
    <xf numFmtId="0" fontId="55" fillId="6" borderId="48" xfId="0" applyFont="1" applyFill="1" applyBorder="1" applyAlignment="1" applyProtection="1">
      <alignment horizontal="left" vertical="center" wrapText="1"/>
    </xf>
    <xf numFmtId="0" fontId="55" fillId="6" borderId="3"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2"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9" fillId="6" borderId="1" xfId="0" applyNumberFormat="1" applyFont="1" applyFill="1" applyBorder="1" applyAlignment="1" applyProtection="1">
      <alignment horizontal="center" vertical="center"/>
    </xf>
    <xf numFmtId="0" fontId="59" fillId="6" borderId="5"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1" fillId="6" borderId="3" xfId="8" applyFont="1" applyFill="1" applyBorder="1" applyAlignment="1" applyProtection="1">
      <alignment horizontal="center" vertical="center" wrapText="1"/>
      <protection locked="0"/>
    </xf>
    <xf numFmtId="0" fontId="55" fillId="6" borderId="5" xfId="0" applyFont="1" applyFill="1" applyBorder="1" applyAlignment="1" applyProtection="1">
      <alignment horizontal="center" vertical="center"/>
    </xf>
    <xf numFmtId="0" fontId="55" fillId="6" borderId="54" xfId="0" applyFont="1" applyFill="1" applyBorder="1" applyAlignment="1" applyProtection="1">
      <alignment horizontal="center" vertical="center"/>
    </xf>
    <xf numFmtId="0" fontId="55" fillId="6" borderId="3" xfId="0" applyFont="1" applyFill="1" applyBorder="1" applyAlignment="1" applyProtection="1">
      <alignment horizontal="center" vertical="center"/>
    </xf>
    <xf numFmtId="0" fontId="66" fillId="5" borderId="0" xfId="0" applyFont="1" applyFill="1" applyAlignment="1" applyProtection="1">
      <alignment horizontal="right" vertical="center"/>
      <protection locked="0"/>
    </xf>
    <xf numFmtId="49" fontId="66" fillId="6" borderId="0" xfId="0" applyNumberFormat="1" applyFont="1" applyFill="1" applyBorder="1" applyAlignment="1" applyProtection="1">
      <alignment horizontal="center"/>
    </xf>
    <xf numFmtId="0" fontId="61" fillId="6" borderId="13" xfId="0" applyFont="1" applyFill="1" applyBorder="1" applyAlignment="1" applyProtection="1">
      <alignment vertical="center"/>
    </xf>
    <xf numFmtId="0" fontId="55" fillId="6" borderId="22" xfId="0" applyFont="1" applyFill="1" applyBorder="1" applyAlignment="1" applyProtection="1">
      <alignment vertical="center" wrapText="1"/>
    </xf>
    <xf numFmtId="0" fontId="55" fillId="6" borderId="22" xfId="0" applyFont="1" applyFill="1" applyBorder="1" applyAlignment="1" applyProtection="1">
      <alignment vertical="center"/>
    </xf>
    <xf numFmtId="0" fontId="192" fillId="6" borderId="1" xfId="0" applyFont="1" applyFill="1" applyBorder="1" applyAlignment="1" applyProtection="1">
      <alignment horizontal="right" vertical="center" wrapText="1"/>
    </xf>
    <xf numFmtId="0" fontId="125" fillId="6" borderId="15" xfId="0" applyFont="1" applyFill="1" applyBorder="1" applyAlignment="1" applyProtection="1">
      <alignment vertical="center"/>
    </xf>
    <xf numFmtId="0" fontId="55" fillId="6" borderId="119" xfId="0" applyFont="1" applyFill="1" applyBorder="1" applyAlignment="1" applyProtection="1">
      <alignment vertical="center" wrapText="1"/>
    </xf>
    <xf numFmtId="0" fontId="55" fillId="2" borderId="1" xfId="0" applyFont="1" applyFill="1" applyBorder="1" applyAlignment="1" applyProtection="1">
      <alignment horizontal="left" vertical="center" wrapText="1"/>
      <protection locked="0"/>
    </xf>
    <xf numFmtId="0" fontId="60" fillId="6" borderId="46" xfId="0" applyFont="1" applyFill="1" applyBorder="1" applyAlignment="1" applyProtection="1">
      <alignment vertical="center" wrapText="1"/>
      <protection locked="0"/>
    </xf>
    <xf numFmtId="0" fontId="55" fillId="6" borderId="1" xfId="0" applyFont="1" applyFill="1" applyBorder="1" applyAlignment="1" applyProtection="1">
      <protection locked="0"/>
    </xf>
    <xf numFmtId="0" fontId="55" fillId="6" borderId="3" xfId="0" applyFont="1" applyFill="1" applyBorder="1" applyAlignment="1" applyProtection="1">
      <alignment vertical="center" wrapText="1"/>
    </xf>
    <xf numFmtId="0" fontId="55" fillId="6" borderId="36" xfId="0" applyFont="1" applyFill="1" applyBorder="1" applyAlignment="1" applyProtection="1">
      <alignment horizontal="left" vertical="center"/>
    </xf>
    <xf numFmtId="49" fontId="72" fillId="6" borderId="60" xfId="0" applyNumberFormat="1" applyFont="1" applyFill="1" applyBorder="1" applyAlignment="1" applyProtection="1"/>
    <xf numFmtId="0" fontId="85" fillId="6" borderId="13" xfId="0" applyFont="1" applyFill="1" applyBorder="1" applyAlignment="1" applyProtection="1">
      <alignment vertical="center"/>
    </xf>
    <xf numFmtId="0" fontId="85" fillId="6" borderId="22" xfId="0" applyFont="1" applyFill="1" applyBorder="1" applyAlignment="1" applyProtection="1">
      <alignment vertical="center"/>
    </xf>
    <xf numFmtId="177" fontId="65" fillId="6" borderId="60" xfId="0" applyNumberFormat="1" applyFont="1" applyFill="1" applyBorder="1" applyAlignment="1" applyProtection="1"/>
    <xf numFmtId="49" fontId="65" fillId="2" borderId="27" xfId="0" applyNumberFormat="1" applyFont="1" applyFill="1" applyBorder="1" applyAlignment="1" applyProtection="1">
      <alignment horizontal="right"/>
      <protection locked="0"/>
    </xf>
    <xf numFmtId="0" fontId="61" fillId="6" borderId="0" xfId="0" applyFont="1" applyFill="1" applyAlignment="1" applyProtection="1">
      <alignment horizontal="center" vertical="center"/>
    </xf>
    <xf numFmtId="0" fontId="61" fillId="6" borderId="0" xfId="0" applyFont="1" applyFill="1" applyAlignment="1" applyProtection="1">
      <alignment vertical="center"/>
    </xf>
    <xf numFmtId="49" fontId="62" fillId="6" borderId="0" xfId="0" applyNumberFormat="1" applyFont="1" applyFill="1" applyBorder="1" applyAlignment="1" applyProtection="1">
      <alignment horizontal="center"/>
    </xf>
    <xf numFmtId="49" fontId="62" fillId="6" borderId="0" xfId="0" applyNumberFormat="1" applyFont="1" applyFill="1" applyBorder="1" applyAlignment="1" applyProtection="1">
      <alignment horizontal="left"/>
    </xf>
    <xf numFmtId="0" fontId="61" fillId="7" borderId="0" xfId="0" applyFont="1" applyFill="1" applyAlignment="1" applyProtection="1">
      <alignment vertical="center"/>
      <protection locked="0"/>
    </xf>
    <xf numFmtId="0" fontId="62" fillId="6" borderId="1" xfId="1" applyFont="1" applyFill="1" applyBorder="1" applyAlignment="1" applyProtection="1">
      <alignment vertical="center"/>
    </xf>
    <xf numFmtId="0" fontId="60" fillId="6" borderId="1" xfId="0" applyFont="1" applyFill="1" applyBorder="1" applyAlignment="1" applyProtection="1">
      <alignment horizontal="right" vertical="center"/>
    </xf>
    <xf numFmtId="0" fontId="61" fillId="6" borderId="0" xfId="0" applyFont="1" applyFill="1" applyBorder="1" applyAlignment="1" applyProtection="1">
      <alignment vertical="center"/>
    </xf>
    <xf numFmtId="49" fontId="61" fillId="6" borderId="0" xfId="0" applyNumberFormat="1" applyFont="1" applyFill="1" applyBorder="1" applyAlignment="1" applyProtection="1"/>
    <xf numFmtId="49" fontId="62" fillId="6" borderId="0" xfId="0" applyNumberFormat="1" applyFont="1" applyFill="1" applyBorder="1" applyAlignment="1" applyProtection="1"/>
    <xf numFmtId="177" fontId="62" fillId="7" borderId="0" xfId="0" applyNumberFormat="1" applyFont="1" applyFill="1" applyBorder="1" applyAlignment="1" applyProtection="1"/>
    <xf numFmtId="0" fontId="62" fillId="6" borderId="32" xfId="1" applyFont="1" applyFill="1" applyBorder="1" applyAlignment="1" applyProtection="1">
      <alignment vertical="center"/>
    </xf>
    <xf numFmtId="0" fontId="60" fillId="6" borderId="32" xfId="0" applyFont="1" applyFill="1" applyBorder="1" applyAlignment="1" applyProtection="1">
      <alignment horizontal="right" vertical="center"/>
    </xf>
    <xf numFmtId="0" fontId="61" fillId="7" borderId="0" xfId="0" applyFont="1" applyFill="1" applyAlignment="1" applyProtection="1">
      <alignment vertical="center"/>
    </xf>
    <xf numFmtId="0" fontId="55" fillId="6" borderId="60" xfId="0" applyFont="1" applyFill="1" applyBorder="1" applyAlignment="1" applyProtection="1">
      <alignment vertical="center"/>
    </xf>
    <xf numFmtId="0" fontId="55" fillId="6" borderId="71" xfId="0" applyFont="1" applyFill="1" applyBorder="1" applyAlignment="1" applyProtection="1">
      <alignment vertical="center"/>
    </xf>
    <xf numFmtId="0" fontId="56" fillId="7" borderId="0" xfId="0" applyFont="1" applyFill="1" applyAlignment="1" applyProtection="1">
      <alignment vertical="center"/>
    </xf>
    <xf numFmtId="0" fontId="55" fillId="6" borderId="88" xfId="0" applyFont="1" applyFill="1" applyBorder="1" applyAlignment="1" applyProtection="1">
      <alignment vertical="center"/>
    </xf>
    <xf numFmtId="0" fontId="55" fillId="6" borderId="90" xfId="0" applyFont="1" applyFill="1" applyBorder="1" applyAlignment="1" applyProtection="1">
      <alignment vertical="center"/>
    </xf>
    <xf numFmtId="0" fontId="56" fillId="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110" fillId="6" borderId="0" xfId="0" applyFont="1" applyFill="1" applyAlignment="1" applyProtection="1"/>
    <xf numFmtId="0" fontId="62" fillId="6" borderId="0" xfId="0" applyFont="1" applyFill="1" applyBorder="1" applyAlignment="1" applyProtection="1">
      <alignment horizontal="left" vertical="center"/>
      <protection locked="0"/>
    </xf>
    <xf numFmtId="0" fontId="68" fillId="6" borderId="0" xfId="0" applyFont="1" applyFill="1" applyBorder="1" applyAlignment="1" applyProtection="1">
      <alignment horizontal="center" vertical="center"/>
      <protection locked="0"/>
    </xf>
    <xf numFmtId="0" fontId="110" fillId="6" borderId="0" xfId="0" applyFont="1" applyFill="1" applyAlignment="1" applyProtection="1">
      <alignment horizontal="left"/>
    </xf>
    <xf numFmtId="0" fontId="60" fillId="6" borderId="0" xfId="0" applyFont="1" applyFill="1" applyAlignment="1" applyProtection="1">
      <alignment horizontal="left"/>
    </xf>
    <xf numFmtId="0" fontId="60" fillId="6" borderId="0" xfId="0" applyFont="1" applyFill="1" applyAlignment="1" applyProtection="1"/>
    <xf numFmtId="0" fontId="61" fillId="6" borderId="0" xfId="0" applyFont="1" applyFill="1" applyAlignment="1" applyProtection="1">
      <alignment horizontal="left" vertical="center"/>
    </xf>
    <xf numFmtId="0" fontId="55" fillId="7" borderId="0" xfId="0" applyFont="1" applyFill="1" applyAlignment="1" applyProtection="1">
      <protection locked="0"/>
    </xf>
    <xf numFmtId="0" fontId="55" fillId="7" borderId="0" xfId="0" applyFont="1" applyFill="1" applyAlignment="1" applyProtection="1">
      <alignment horizontal="center"/>
      <protection locked="0"/>
    </xf>
    <xf numFmtId="0" fontId="61" fillId="7" borderId="0" xfId="0" applyFont="1" applyFill="1" applyAlignment="1" applyProtection="1">
      <alignment horizontal="left" vertical="center"/>
      <protection locked="0"/>
    </xf>
    <xf numFmtId="0" fontId="153" fillId="6" borderId="0" xfId="0" applyFont="1" applyFill="1" applyAlignment="1" applyProtection="1">
      <alignment vertical="center"/>
    </xf>
    <xf numFmtId="0" fontId="153" fillId="7" borderId="0" xfId="0" applyFont="1" applyFill="1" applyAlignment="1" applyProtection="1">
      <protection locked="0"/>
    </xf>
    <xf numFmtId="0" fontId="61" fillId="6" borderId="16" xfId="0" applyFont="1" applyFill="1" applyBorder="1" applyAlignment="1" applyProtection="1">
      <alignment horizontal="center" vertical="center"/>
    </xf>
    <xf numFmtId="0" fontId="55" fillId="6" borderId="31" xfId="0" applyFont="1" applyFill="1" applyBorder="1" applyAlignment="1" applyProtection="1"/>
    <xf numFmtId="0" fontId="153" fillId="7" borderId="63" xfId="0" applyFont="1" applyFill="1" applyBorder="1" applyAlignment="1" applyProtection="1">
      <alignment vertical="center"/>
      <protection locked="0"/>
    </xf>
    <xf numFmtId="0" fontId="61" fillId="7" borderId="64" xfId="0" applyFont="1" applyFill="1" applyBorder="1" applyAlignment="1" applyProtection="1">
      <alignment vertical="center"/>
      <protection locked="0"/>
    </xf>
    <xf numFmtId="0" fontId="61" fillId="7" borderId="65" xfId="0" applyFont="1" applyFill="1" applyBorder="1" applyAlignment="1" applyProtection="1">
      <alignment horizontal="left" vertical="center"/>
      <protection locked="0"/>
    </xf>
    <xf numFmtId="0" fontId="113" fillId="6" borderId="82" xfId="0" applyFont="1" applyFill="1" applyBorder="1" applyAlignment="1" applyProtection="1">
      <alignment horizontal="center" vertical="center"/>
    </xf>
    <xf numFmtId="0" fontId="110" fillId="6" borderId="82" xfId="0" applyFont="1" applyFill="1" applyBorder="1" applyAlignment="1" applyProtection="1">
      <alignment vertical="center" wrapText="1"/>
    </xf>
    <xf numFmtId="0" fontId="110" fillId="6" borderId="65" xfId="0" applyFont="1" applyFill="1" applyBorder="1" applyAlignment="1" applyProtection="1">
      <alignment vertical="center"/>
    </xf>
    <xf numFmtId="0" fontId="110" fillId="6" borderId="65" xfId="0" applyFont="1" applyFill="1" applyBorder="1" applyAlignment="1" applyProtection="1">
      <alignment vertical="center" wrapText="1"/>
    </xf>
    <xf numFmtId="0" fontId="61" fillId="6" borderId="6" xfId="0" applyFont="1" applyFill="1" applyBorder="1" applyAlignment="1" applyProtection="1">
      <alignment vertical="center"/>
    </xf>
    <xf numFmtId="0" fontId="61" fillId="5" borderId="10" xfId="0" applyFont="1" applyFill="1" applyBorder="1" applyAlignment="1" applyProtection="1">
      <alignment horizontal="center" vertical="center"/>
      <protection locked="0"/>
    </xf>
    <xf numFmtId="0" fontId="61" fillId="6" borderId="6" xfId="0" applyFont="1" applyFill="1" applyBorder="1" applyAlignment="1" applyProtection="1">
      <alignment horizontal="left" vertical="center"/>
      <protection locked="0"/>
    </xf>
    <xf numFmtId="0" fontId="61" fillId="6" borderId="10" xfId="0" applyFont="1" applyFill="1" applyBorder="1" applyAlignment="1" applyProtection="1">
      <alignment horizontal="center" vertical="center"/>
    </xf>
    <xf numFmtId="0" fontId="110" fillId="6" borderId="81" xfId="0" applyFont="1" applyFill="1" applyBorder="1" applyAlignment="1" applyProtection="1">
      <alignment vertical="center" wrapText="1"/>
    </xf>
    <xf numFmtId="0" fontId="110" fillId="6" borderId="43" xfId="0" applyFont="1" applyFill="1" applyBorder="1" applyAlignment="1" applyProtection="1">
      <alignment vertical="center"/>
    </xf>
    <xf numFmtId="0" fontId="110" fillId="6" borderId="43" xfId="0" applyFont="1" applyFill="1" applyBorder="1" applyAlignment="1" applyProtection="1">
      <alignment vertical="center" wrapText="1"/>
    </xf>
    <xf numFmtId="0" fontId="61" fillId="6" borderId="23" xfId="0" applyFont="1" applyFill="1" applyBorder="1" applyAlignment="1" applyProtection="1">
      <alignment vertical="center"/>
    </xf>
    <xf numFmtId="0" fontId="110" fillId="5" borderId="24" xfId="0" applyFont="1" applyFill="1" applyBorder="1" applyAlignment="1" applyProtection="1">
      <alignment horizontal="center"/>
      <protection locked="0"/>
    </xf>
    <xf numFmtId="0" fontId="110" fillId="6" borderId="23" xfId="0" applyFont="1" applyFill="1" applyBorder="1" applyAlignment="1" applyProtection="1">
      <alignment horizontal="left"/>
      <protection locked="0"/>
    </xf>
    <xf numFmtId="0" fontId="61" fillId="6" borderId="24" xfId="0" applyFont="1" applyFill="1" applyBorder="1" applyAlignment="1" applyProtection="1">
      <alignment horizontal="center" vertical="center"/>
    </xf>
    <xf numFmtId="0" fontId="61" fillId="7" borderId="0" xfId="0" applyFont="1" applyFill="1" applyBorder="1" applyAlignment="1" applyProtection="1">
      <alignment vertical="center"/>
      <protection locked="0"/>
    </xf>
    <xf numFmtId="0" fontId="61" fillId="7" borderId="24"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110" fillId="6" borderId="81" xfId="0" applyFont="1" applyFill="1" applyBorder="1" applyAlignment="1" applyProtection="1">
      <alignment horizontal="right" vertical="center" wrapText="1"/>
    </xf>
    <xf numFmtId="0" fontId="110" fillId="6" borderId="24" xfId="0" applyFont="1" applyFill="1" applyBorder="1" applyAlignment="1" applyProtection="1">
      <alignment horizontal="center"/>
    </xf>
    <xf numFmtId="0" fontId="61" fillId="7" borderId="35" xfId="0" applyFont="1" applyFill="1" applyBorder="1" applyAlignment="1" applyProtection="1">
      <alignment vertical="center" wrapText="1"/>
      <protection locked="0"/>
    </xf>
    <xf numFmtId="10" fontId="110" fillId="6" borderId="43" xfId="0" applyNumberFormat="1" applyFont="1" applyFill="1" applyBorder="1" applyAlignment="1" applyProtection="1">
      <alignment vertical="center" wrapText="1"/>
    </xf>
    <xf numFmtId="49" fontId="61" fillId="6" borderId="23" xfId="0" applyNumberFormat="1" applyFont="1" applyFill="1" applyBorder="1" applyAlignment="1" applyProtection="1">
      <alignment horizontal="left" vertical="center"/>
    </xf>
    <xf numFmtId="0" fontId="61" fillId="6" borderId="24" xfId="0" applyNumberFormat="1" applyFont="1" applyFill="1" applyBorder="1" applyAlignment="1" applyProtection="1">
      <alignment horizontal="center" vertical="center"/>
    </xf>
    <xf numFmtId="0" fontId="61" fillId="6" borderId="23" xfId="0" applyFont="1" applyFill="1" applyBorder="1" applyAlignment="1" applyProtection="1">
      <alignment vertical="center"/>
      <protection locked="0"/>
    </xf>
    <xf numFmtId="195" fontId="61" fillId="6" borderId="24" xfId="0" applyNumberFormat="1" applyFont="1" applyFill="1" applyBorder="1" applyAlignment="1" applyProtection="1">
      <alignment horizontal="center" vertical="center"/>
    </xf>
    <xf numFmtId="0" fontId="61" fillId="7" borderId="7" xfId="0" applyFont="1" applyFill="1" applyBorder="1" applyAlignment="1" applyProtection="1">
      <alignment vertical="center" wrapText="1"/>
      <protection locked="0"/>
    </xf>
    <xf numFmtId="0" fontId="61" fillId="6" borderId="25" xfId="0" applyFont="1" applyFill="1" applyBorder="1" applyAlignment="1" applyProtection="1">
      <alignment vertical="center"/>
    </xf>
    <xf numFmtId="10" fontId="61" fillId="0" borderId="49" xfId="0" applyNumberFormat="1" applyFont="1" applyFill="1" applyBorder="1" applyAlignment="1" applyProtection="1">
      <alignment horizontal="center" vertical="center"/>
      <protection locked="0"/>
    </xf>
    <xf numFmtId="0" fontId="61" fillId="6" borderId="26" xfId="0" applyFont="1" applyFill="1" applyBorder="1" applyAlignment="1" applyProtection="1">
      <alignment vertical="center" wrapText="1"/>
    </xf>
    <xf numFmtId="0" fontId="61" fillId="6" borderId="48" xfId="0" applyFont="1" applyFill="1" applyBorder="1" applyAlignment="1" applyProtection="1">
      <alignment vertical="center"/>
      <protection locked="0"/>
    </xf>
    <xf numFmtId="0" fontId="125" fillId="6" borderId="0" xfId="0" applyFont="1" applyFill="1" applyAlignment="1" applyProtection="1">
      <alignment vertical="center"/>
      <protection locked="0"/>
    </xf>
    <xf numFmtId="0" fontId="125" fillId="6" borderId="47" xfId="0" applyFont="1" applyFill="1" applyBorder="1" applyAlignment="1" applyProtection="1">
      <alignment vertical="center" wrapText="1"/>
    </xf>
    <xf numFmtId="0" fontId="62" fillId="6" borderId="51" xfId="0" applyFont="1" applyFill="1" applyBorder="1" applyAlignment="1" applyProtection="1">
      <alignment horizontal="left" vertical="center" wrapText="1"/>
    </xf>
    <xf numFmtId="181" fontId="61" fillId="6" borderId="9" xfId="0" applyNumberFormat="1" applyFont="1" applyFill="1" applyBorder="1" applyAlignment="1" applyProtection="1">
      <alignment horizontal="center" vertical="center"/>
    </xf>
    <xf numFmtId="0" fontId="62" fillId="6" borderId="16" xfId="0" applyFont="1" applyFill="1" applyBorder="1" applyAlignment="1" applyProtection="1">
      <alignment horizontal="center" vertical="center"/>
    </xf>
    <xf numFmtId="0" fontId="61" fillId="5" borderId="21" xfId="0" applyFont="1" applyFill="1" applyBorder="1" applyAlignment="1" applyProtection="1">
      <alignment horizontal="center" vertical="center"/>
      <protection locked="0"/>
    </xf>
    <xf numFmtId="0" fontId="61" fillId="6" borderId="1" xfId="0" applyFont="1" applyFill="1" applyBorder="1" applyAlignment="1" applyProtection="1">
      <alignment vertical="center"/>
      <protection locked="0"/>
    </xf>
    <xf numFmtId="0" fontId="61" fillId="6" borderId="54" xfId="0" applyFont="1" applyFill="1" applyBorder="1" applyAlignment="1" applyProtection="1">
      <alignment vertical="center"/>
      <protection locked="0"/>
    </xf>
    <xf numFmtId="0" fontId="61" fillId="6" borderId="41" xfId="0" applyFont="1" applyFill="1" applyBorder="1" applyAlignment="1" applyProtection="1">
      <alignment vertical="center" wrapText="1"/>
    </xf>
    <xf numFmtId="0" fontId="61" fillId="5" borderId="0" xfId="0" applyFont="1" applyFill="1" applyBorder="1" applyAlignment="1" applyProtection="1">
      <alignment horizontal="center" vertical="center"/>
      <protection locked="0"/>
    </xf>
    <xf numFmtId="0" fontId="61" fillId="6" borderId="18" xfId="0" applyFont="1" applyFill="1" applyBorder="1" applyAlignment="1" applyProtection="1">
      <alignment vertical="center"/>
      <protection locked="0"/>
    </xf>
    <xf numFmtId="0" fontId="61" fillId="6" borderId="4" xfId="0" applyFont="1" applyFill="1" applyBorder="1" applyAlignment="1" applyProtection="1">
      <alignment vertical="center"/>
      <protection locked="0"/>
    </xf>
    <xf numFmtId="0" fontId="61" fillId="6" borderId="60" xfId="0" applyFont="1" applyFill="1" applyBorder="1" applyAlignment="1" applyProtection="1">
      <alignment vertical="center"/>
      <protection locked="0"/>
    </xf>
    <xf numFmtId="0" fontId="61" fillId="6" borderId="71" xfId="0" applyFont="1" applyFill="1" applyBorder="1" applyAlignment="1" applyProtection="1">
      <alignment vertical="center"/>
      <protection locked="0"/>
    </xf>
    <xf numFmtId="0" fontId="61" fillId="6" borderId="23" xfId="0" applyFont="1" applyFill="1" applyBorder="1" applyAlignment="1" applyProtection="1">
      <alignment vertical="center" wrapText="1"/>
    </xf>
    <xf numFmtId="0" fontId="61" fillId="6" borderId="5" xfId="0" applyFont="1" applyFill="1" applyBorder="1" applyAlignment="1" applyProtection="1">
      <alignment horizontal="center" vertical="center"/>
    </xf>
    <xf numFmtId="181" fontId="61" fillId="6" borderId="5" xfId="0" applyNumberFormat="1" applyFont="1" applyFill="1" applyBorder="1" applyAlignment="1" applyProtection="1">
      <alignment horizontal="center" vertical="center"/>
    </xf>
    <xf numFmtId="49" fontId="62" fillId="6" borderId="25" xfId="0" applyNumberFormat="1" applyFont="1" applyFill="1" applyBorder="1" applyAlignment="1" applyProtection="1">
      <alignment horizontal="left" vertical="center"/>
    </xf>
    <xf numFmtId="0" fontId="61" fillId="6" borderId="49" xfId="0" applyFont="1" applyFill="1" applyBorder="1" applyAlignment="1" applyProtection="1">
      <alignment horizontal="center" vertical="center"/>
    </xf>
    <xf numFmtId="0" fontId="62" fillId="6" borderId="25" xfId="0" applyFont="1" applyFill="1" applyBorder="1" applyAlignment="1" applyProtection="1">
      <alignment horizontal="center" vertical="center"/>
    </xf>
    <xf numFmtId="0" fontId="61" fillId="6" borderId="0" xfId="0" applyFont="1" applyFill="1" applyAlignment="1" applyProtection="1">
      <alignment vertical="center"/>
      <protection locked="0"/>
    </xf>
    <xf numFmtId="0" fontId="61" fillId="6" borderId="1" xfId="0" applyFont="1" applyFill="1" applyBorder="1" applyAlignment="1"/>
    <xf numFmtId="0" fontId="61" fillId="6" borderId="1" xfId="0" applyFont="1" applyFill="1" applyBorder="1" applyAlignment="1">
      <alignment horizontal="center"/>
    </xf>
    <xf numFmtId="0" fontId="61" fillId="6" borderId="1" xfId="0" applyFont="1" applyFill="1" applyBorder="1" applyAlignment="1" applyProtection="1">
      <alignment horizontal="center" vertical="center"/>
      <protection locked="0"/>
    </xf>
    <xf numFmtId="9" fontId="61" fillId="6" borderId="1" xfId="0" applyNumberFormat="1" applyFont="1" applyFill="1" applyBorder="1" applyAlignment="1" applyProtection="1">
      <alignment horizontal="center" vertical="center"/>
      <protection locked="0"/>
    </xf>
    <xf numFmtId="195" fontId="110" fillId="6" borderId="43" xfId="0" applyNumberFormat="1" applyFont="1" applyFill="1" applyBorder="1" applyAlignment="1" applyProtection="1">
      <alignment vertical="center" wrapText="1"/>
    </xf>
    <xf numFmtId="0" fontId="180" fillId="6" borderId="43" xfId="0" applyFont="1" applyFill="1" applyBorder="1" applyAlignment="1" applyProtection="1">
      <alignment vertical="center"/>
    </xf>
    <xf numFmtId="0" fontId="61" fillId="0" borderId="0" xfId="0" applyFont="1" applyFill="1" applyAlignment="1" applyProtection="1">
      <alignment horizontal="left" vertical="center"/>
      <protection locked="0"/>
    </xf>
    <xf numFmtId="0" fontId="55" fillId="6" borderId="1" xfId="0" applyFont="1" applyFill="1" applyBorder="1" applyAlignment="1" applyProtection="1">
      <alignment horizontal="center"/>
    </xf>
    <xf numFmtId="49" fontId="70" fillId="2" borderId="27" xfId="0" applyNumberFormat="1" applyFont="1" applyFill="1" applyBorder="1" applyAlignment="1" applyProtection="1">
      <alignment horizontal="right"/>
      <protection locked="0"/>
    </xf>
    <xf numFmtId="0" fontId="62" fillId="6" borderId="0" xfId="0" applyFont="1" applyFill="1" applyBorder="1" applyAlignment="1" applyProtection="1">
      <alignment vertical="center"/>
    </xf>
    <xf numFmtId="0" fontId="55" fillId="6" borderId="0" xfId="0" applyFont="1" applyFill="1" applyAlignment="1" applyProtection="1"/>
    <xf numFmtId="0" fontId="55" fillId="6" borderId="0" xfId="0" applyFont="1" applyFill="1" applyAlignment="1" applyProtection="1">
      <protection locked="0"/>
    </xf>
    <xf numFmtId="0" fontId="192" fillId="6" borderId="3" xfId="0" applyFont="1" applyFill="1" applyBorder="1" applyAlignment="1" applyProtection="1">
      <alignment horizontal="right" vertical="center" wrapText="1"/>
    </xf>
    <xf numFmtId="0" fontId="208" fillId="0" borderId="0" xfId="5" applyFont="1">
      <alignment vertical="center"/>
    </xf>
    <xf numFmtId="0" fontId="104" fillId="0" borderId="0" xfId="0" applyFont="1" applyProtection="1">
      <alignment vertical="center"/>
      <protection locked="0"/>
    </xf>
    <xf numFmtId="0" fontId="217" fillId="0" borderId="0" xfId="0" applyFont="1" applyBorder="1" applyAlignment="1">
      <alignment horizontal="center" vertical="center"/>
    </xf>
    <xf numFmtId="0" fontId="109" fillId="0" borderId="0" xfId="0" applyFont="1">
      <alignment vertical="center"/>
    </xf>
    <xf numFmtId="0" fontId="109" fillId="0" borderId="0" xfId="0" applyFont="1" applyBorder="1">
      <alignment vertical="center"/>
    </xf>
    <xf numFmtId="0" fontId="218" fillId="0" borderId="0" xfId="0" applyFont="1" applyAlignment="1">
      <alignment vertical="center"/>
    </xf>
    <xf numFmtId="0" fontId="144" fillId="0" borderId="0" xfId="0" applyFont="1" applyAlignment="1">
      <alignment vertical="center" wrapText="1"/>
    </xf>
    <xf numFmtId="0" fontId="219" fillId="0" borderId="0" xfId="0" applyFont="1">
      <alignment vertical="center"/>
    </xf>
    <xf numFmtId="0" fontId="220" fillId="0" borderId="0" xfId="0" applyFont="1">
      <alignment vertical="center"/>
    </xf>
    <xf numFmtId="0" fontId="221" fillId="0" borderId="0" xfId="0" applyFont="1" applyAlignment="1" applyProtection="1">
      <alignment vertical="center" wrapText="1"/>
      <protection locked="0"/>
    </xf>
    <xf numFmtId="0" fontId="144" fillId="0" borderId="0" xfId="0" applyFont="1" applyFill="1" applyAlignment="1">
      <alignment vertical="center" wrapText="1"/>
    </xf>
    <xf numFmtId="0" fontId="218" fillId="0" borderId="0" xfId="0" applyFont="1">
      <alignment vertical="center"/>
    </xf>
    <xf numFmtId="184" fontId="144" fillId="0" borderId="0" xfId="0" applyNumberFormat="1" applyFont="1" applyAlignment="1">
      <alignment horizontal="left" vertical="center"/>
    </xf>
    <xf numFmtId="0" fontId="144" fillId="0" borderId="0" xfId="0" applyFont="1">
      <alignment vertical="center"/>
    </xf>
    <xf numFmtId="0" fontId="222" fillId="5" borderId="0" xfId="0" applyFont="1" applyFill="1" applyProtection="1">
      <alignment vertical="center"/>
      <protection locked="0"/>
    </xf>
    <xf numFmtId="0" fontId="109" fillId="0" borderId="0" xfId="0" applyFont="1" applyProtection="1">
      <alignment vertical="center"/>
      <protection locked="0"/>
    </xf>
    <xf numFmtId="0" fontId="218" fillId="0" borderId="0" xfId="7" applyFont="1" applyProtection="1">
      <alignment vertical="center"/>
    </xf>
    <xf numFmtId="0" fontId="109" fillId="0" borderId="0" xfId="7" applyFont="1" applyProtection="1">
      <alignment vertical="center"/>
    </xf>
    <xf numFmtId="0" fontId="109" fillId="0" borderId="0" xfId="7" applyFont="1">
      <alignment vertical="center"/>
    </xf>
    <xf numFmtId="0" fontId="218" fillId="0" borderId="0" xfId="7" applyFont="1" applyAlignment="1" applyProtection="1">
      <alignment horizontal="center" vertical="center"/>
    </xf>
    <xf numFmtId="0" fontId="137" fillId="0" borderId="2" xfId="7" applyFont="1" applyFill="1" applyBorder="1" applyAlignment="1" applyProtection="1">
      <alignment horizontal="left" vertical="center" wrapText="1"/>
    </xf>
    <xf numFmtId="0" fontId="138" fillId="0" borderId="1" xfId="7" applyFont="1" applyFill="1" applyBorder="1" applyAlignment="1" applyProtection="1">
      <alignment horizontal="left" vertical="center" wrapText="1"/>
    </xf>
    <xf numFmtId="0" fontId="225" fillId="0" borderId="1" xfId="7" applyFont="1" applyFill="1" applyBorder="1" applyAlignment="1" applyProtection="1">
      <alignment horizontal="left" vertical="center" wrapText="1"/>
    </xf>
    <xf numFmtId="0" fontId="69" fillId="0" borderId="5" xfId="7" applyFont="1" applyFill="1" applyBorder="1" applyAlignment="1" applyProtection="1">
      <alignment vertical="center" wrapText="1"/>
    </xf>
    <xf numFmtId="0" fontId="115" fillId="0" borderId="1" xfId="7" applyFont="1" applyFill="1" applyBorder="1" applyAlignment="1" applyProtection="1">
      <alignment horizontal="left" vertical="center" wrapText="1"/>
    </xf>
    <xf numFmtId="0" fontId="137" fillId="0" borderId="1" xfId="7" applyFont="1" applyFill="1" applyBorder="1" applyAlignment="1" applyProtection="1">
      <alignment horizontal="left" vertical="center" wrapText="1"/>
    </xf>
    <xf numFmtId="0" fontId="226" fillId="0" borderId="1" xfId="7" applyFont="1" applyBorder="1" applyAlignment="1">
      <alignment horizontal="center" vertical="center"/>
    </xf>
    <xf numFmtId="0" fontId="138" fillId="0" borderId="78" xfId="7" applyFont="1" applyFill="1" applyBorder="1" applyAlignment="1" applyProtection="1">
      <alignment horizontal="left" vertical="center" wrapText="1"/>
    </xf>
    <xf numFmtId="0" fontId="110" fillId="0" borderId="0" xfId="7" applyFont="1" applyProtection="1">
      <alignment vertical="center"/>
    </xf>
    <xf numFmtId="0" fontId="109" fillId="0" borderId="0" xfId="7" applyFont="1" applyProtection="1">
      <alignment vertical="center"/>
      <protection locked="0"/>
    </xf>
    <xf numFmtId="0" fontId="144" fillId="0" borderId="0" xfId="7" applyFont="1" applyProtection="1">
      <alignment vertical="center"/>
      <protection locked="0"/>
    </xf>
    <xf numFmtId="0" fontId="69" fillId="0" borderId="1" xfId="0" applyFont="1" applyFill="1" applyBorder="1" applyAlignment="1" applyProtection="1">
      <alignment horizontal="left" vertical="center" wrapText="1"/>
    </xf>
    <xf numFmtId="0" fontId="144" fillId="0" borderId="0" xfId="0" applyFont="1" applyProtection="1">
      <alignment vertical="center"/>
      <protection locked="0"/>
    </xf>
    <xf numFmtId="0" fontId="104" fillId="0" borderId="0" xfId="0" applyFont="1" applyProtection="1">
      <alignment vertical="center"/>
    </xf>
    <xf numFmtId="0" fontId="215" fillId="0" borderId="0" xfId="0" applyFont="1" applyBorder="1" applyAlignment="1" applyProtection="1">
      <alignment horizontal="left" vertical="center"/>
    </xf>
    <xf numFmtId="0" fontId="23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233" fillId="0" borderId="60" xfId="0" applyFont="1" applyBorder="1" applyAlignment="1" applyProtection="1">
      <alignment horizontal="justify" vertical="center" wrapText="1"/>
    </xf>
    <xf numFmtId="0" fontId="233" fillId="0" borderId="0" xfId="0" applyFont="1" applyBorder="1" applyAlignment="1" applyProtection="1">
      <alignment horizontal="right" vertical="center" wrapText="1"/>
    </xf>
    <xf numFmtId="0" fontId="233" fillId="0" borderId="54" xfId="0" applyFont="1" applyBorder="1" applyAlignment="1" applyProtection="1">
      <alignment horizontal="justify" vertical="center" wrapText="1"/>
    </xf>
    <xf numFmtId="0" fontId="234" fillId="0" borderId="0" xfId="0" applyFont="1" applyBorder="1" applyAlignment="1" applyProtection="1">
      <alignment horizontal="center" vertical="center" wrapText="1"/>
      <protection locked="0"/>
    </xf>
    <xf numFmtId="0" fontId="218" fillId="0" borderId="0" xfId="0" applyFont="1" applyBorder="1" applyAlignment="1" applyProtection="1">
      <alignment horizontal="left" vertical="center"/>
    </xf>
    <xf numFmtId="0" fontId="109" fillId="0" borderId="0" xfId="0" applyFont="1" applyAlignment="1" applyProtection="1">
      <alignment vertical="center" wrapText="1"/>
      <protection locked="0"/>
    </xf>
    <xf numFmtId="0" fontId="144" fillId="0" borderId="0" xfId="0" applyFont="1" applyAlignment="1">
      <alignment horizontal="right" vertical="center"/>
    </xf>
    <xf numFmtId="0" fontId="104" fillId="0" borderId="0" xfId="0" applyFont="1" applyBorder="1" applyProtection="1">
      <alignment vertical="center"/>
      <protection locked="0"/>
    </xf>
    <xf numFmtId="0" fontId="216" fillId="0" borderId="0" xfId="0" applyFont="1" applyBorder="1" applyProtection="1">
      <alignment vertical="center"/>
      <protection locked="0"/>
    </xf>
    <xf numFmtId="0" fontId="237" fillId="0" borderId="0" xfId="0" applyFont="1" applyProtection="1">
      <alignment vertical="center"/>
    </xf>
    <xf numFmtId="0" fontId="216" fillId="0" borderId="0" xfId="0" applyFont="1" applyProtection="1">
      <alignment vertical="center"/>
    </xf>
    <xf numFmtId="0" fontId="224"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224" fillId="0" borderId="0" xfId="0" applyFont="1" applyProtection="1">
      <alignment vertical="center"/>
    </xf>
    <xf numFmtId="0" fontId="224" fillId="2" borderId="1" xfId="0" applyFont="1" applyFill="1" applyBorder="1" applyAlignment="1" applyProtection="1">
      <alignment horizontal="center" vertical="center" wrapText="1"/>
    </xf>
    <xf numFmtId="0" fontId="224" fillId="6" borderId="1" xfId="0" applyFont="1" applyFill="1" applyBorder="1" applyAlignment="1" applyProtection="1">
      <alignment horizontal="center" vertical="center" wrapText="1"/>
    </xf>
    <xf numFmtId="0" fontId="240" fillId="4" borderId="1" xfId="0" applyFont="1" applyFill="1" applyBorder="1" applyAlignment="1" applyProtection="1">
      <alignment horizontal="center" vertical="center"/>
    </xf>
    <xf numFmtId="0" fontId="241" fillId="0" borderId="1" xfId="0" applyFont="1" applyFill="1" applyBorder="1" applyAlignment="1" applyProtection="1">
      <alignment horizontal="center" vertical="center"/>
    </xf>
    <xf numFmtId="0" fontId="239" fillId="0" borderId="0" xfId="0" applyFont="1" applyProtection="1">
      <alignment vertical="center"/>
    </xf>
    <xf numFmtId="0" fontId="129"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8" borderId="5" xfId="0" applyFont="1" applyFill="1" applyBorder="1" applyAlignment="1" applyProtection="1">
      <alignment vertical="center"/>
    </xf>
    <xf numFmtId="0" fontId="104" fillId="7" borderId="54" xfId="0" applyFont="1" applyFill="1" applyBorder="1" applyAlignment="1" applyProtection="1">
      <alignment vertical="center"/>
    </xf>
    <xf numFmtId="0" fontId="104" fillId="7" borderId="3" xfId="0" applyFont="1" applyFill="1" applyBorder="1" applyAlignment="1" applyProtection="1">
      <alignment vertical="center"/>
    </xf>
    <xf numFmtId="0" fontId="242" fillId="0" borderId="0" xfId="0" applyFont="1" applyProtection="1">
      <alignment vertical="center"/>
    </xf>
    <xf numFmtId="0" fontId="239" fillId="0" borderId="0" xfId="0" applyFont="1" applyAlignment="1" applyProtection="1">
      <alignment horizontal="left" vertical="center"/>
    </xf>
    <xf numFmtId="176" fontId="239" fillId="0" borderId="0" xfId="0" applyNumberFormat="1" applyFont="1" applyAlignment="1" applyProtection="1">
      <alignment horizontal="left" vertical="center"/>
    </xf>
    <xf numFmtId="0" fontId="239" fillId="6" borderId="35" xfId="0" applyFont="1" applyFill="1" applyBorder="1" applyAlignment="1" applyProtection="1">
      <alignment horizontal="center" vertical="center" wrapText="1"/>
    </xf>
    <xf numFmtId="0" fontId="104" fillId="6" borderId="15" xfId="0" applyFont="1" applyFill="1" applyBorder="1" applyAlignment="1" applyProtection="1">
      <alignment horizontal="center" vertical="center" wrapText="1"/>
    </xf>
    <xf numFmtId="0" fontId="104" fillId="6" borderId="0" xfId="0" applyFont="1" applyFill="1" applyBorder="1" applyAlignment="1" applyProtection="1">
      <alignment horizontal="center" vertical="center" wrapText="1"/>
    </xf>
    <xf numFmtId="0" fontId="104" fillId="6" borderId="0" xfId="0" applyFont="1" applyFill="1" applyAlignment="1" applyProtection="1">
      <alignment horizontal="center" vertical="center" wrapText="1"/>
    </xf>
    <xf numFmtId="0" fontId="239" fillId="6" borderId="0" xfId="0" applyFont="1" applyFill="1" applyAlignment="1" applyProtection="1">
      <alignment horizontal="center" vertical="center" wrapText="1"/>
    </xf>
    <xf numFmtId="0" fontId="239" fillId="6" borderId="0" xfId="0" applyNumberFormat="1" applyFont="1" applyFill="1" applyBorder="1" applyAlignment="1" applyProtection="1">
      <alignment horizontal="center" vertical="center" wrapText="1"/>
    </xf>
    <xf numFmtId="0" fontId="104" fillId="0" borderId="0" xfId="0" applyFont="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xf>
    <xf numFmtId="0" fontId="239" fillId="0" borderId="1" xfId="0" applyFont="1" applyBorder="1" applyAlignment="1" applyProtection="1">
      <alignment horizontal="left" vertical="center"/>
      <protection locked="0"/>
    </xf>
    <xf numFmtId="0" fontId="104" fillId="6" borderId="0" xfId="0" applyFont="1" applyFill="1" applyAlignment="1" applyProtection="1">
      <alignment horizontal="center" vertical="center"/>
      <protection locked="0"/>
    </xf>
    <xf numFmtId="0" fontId="104" fillId="6" borderId="0" xfId="0" applyFont="1" applyFill="1" applyProtection="1">
      <alignment vertical="center"/>
    </xf>
    <xf numFmtId="0" fontId="239" fillId="6" borderId="0" xfId="0" applyFont="1" applyFill="1" applyBorder="1" applyAlignment="1" applyProtection="1">
      <alignment horizontal="center" vertical="center"/>
      <protection locked="0"/>
    </xf>
    <xf numFmtId="0" fontId="104" fillId="6" borderId="0" xfId="0" applyFont="1" applyFill="1" applyBorder="1" applyAlignment="1" applyProtection="1">
      <alignment horizontal="left" vertical="center"/>
    </xf>
    <xf numFmtId="0" fontId="104" fillId="6" borderId="0" xfId="0" applyFont="1" applyFill="1" applyAlignment="1" applyProtection="1">
      <alignment horizontal="left" vertical="center"/>
    </xf>
    <xf numFmtId="0" fontId="104" fillId="6" borderId="0" xfId="0"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69" fillId="6" borderId="26" xfId="0" applyFont="1" applyFill="1" applyBorder="1" applyAlignment="1" applyProtection="1">
      <alignment vertical="center" wrapText="1"/>
    </xf>
    <xf numFmtId="0" fontId="69" fillId="6" borderId="0" xfId="0" applyFont="1" applyFill="1" applyBorder="1" applyAlignment="1" applyProtection="1">
      <alignment vertical="center" wrapText="1"/>
    </xf>
    <xf numFmtId="0" fontId="69" fillId="6" borderId="58" xfId="0" applyFont="1" applyFill="1" applyBorder="1" applyAlignment="1" applyProtection="1">
      <alignment vertical="center" wrapText="1"/>
    </xf>
    <xf numFmtId="49" fontId="52" fillId="6" borderId="0" xfId="0" applyNumberFormat="1" applyFont="1" applyFill="1" applyAlignment="1" applyProtection="1">
      <alignment horizontal="center" vertical="center" wrapText="1"/>
    </xf>
    <xf numFmtId="0" fontId="52" fillId="6" borderId="0" xfId="0" applyFont="1" applyFill="1" applyAlignment="1" applyProtection="1">
      <alignment vertical="center" wrapText="1"/>
    </xf>
    <xf numFmtId="0" fontId="52" fillId="6" borderId="0" xfId="0" applyFont="1" applyFill="1" applyAlignment="1" applyProtection="1">
      <alignment horizontal="center" vertical="center" wrapText="1"/>
    </xf>
    <xf numFmtId="0" fontId="52" fillId="0" borderId="0" xfId="0" applyFont="1" applyAlignment="1" applyProtection="1">
      <alignment vertical="center"/>
    </xf>
    <xf numFmtId="0" fontId="52" fillId="0" borderId="0" xfId="0" applyFont="1" applyAlignment="1" applyProtection="1">
      <alignment vertical="center" wrapText="1"/>
    </xf>
    <xf numFmtId="0" fontId="69" fillId="0" borderId="0" xfId="0" applyFont="1" applyFill="1" applyBorder="1" applyAlignment="1" applyProtection="1">
      <alignment vertical="center" wrapText="1"/>
    </xf>
    <xf numFmtId="0" fontId="69" fillId="6" borderId="0"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xf>
    <xf numFmtId="14" fontId="69" fillId="0" borderId="13" xfId="0" applyNumberFormat="1" applyFont="1" applyFill="1" applyBorder="1" applyAlignment="1" applyProtection="1">
      <alignment horizontal="left" vertical="center"/>
      <protection locked="0"/>
    </xf>
    <xf numFmtId="0" fontId="69" fillId="6" borderId="1" xfId="0" applyFont="1" applyFill="1" applyBorder="1" applyAlignment="1" applyProtection="1">
      <alignment vertical="center" wrapText="1"/>
    </xf>
    <xf numFmtId="0" fontId="69" fillId="6" borderId="78" xfId="0" applyFont="1" applyFill="1" applyBorder="1" applyAlignment="1" applyProtection="1">
      <alignment horizontal="left" vertical="center"/>
    </xf>
    <xf numFmtId="14" fontId="69" fillId="5" borderId="78" xfId="0" applyNumberFormat="1" applyFont="1" applyFill="1" applyBorder="1" applyAlignment="1" applyProtection="1">
      <alignment horizontal="center" vertical="center"/>
      <protection locked="0"/>
    </xf>
    <xf numFmtId="0" fontId="69" fillId="6" borderId="85" xfId="0" applyFont="1" applyFill="1" applyBorder="1" applyAlignment="1" applyProtection="1">
      <alignment vertical="center" wrapText="1"/>
    </xf>
    <xf numFmtId="0" fontId="69" fillId="6" borderId="119" xfId="0" applyFont="1" applyFill="1" applyBorder="1" applyAlignment="1" applyProtection="1">
      <alignment vertical="center" wrapText="1"/>
    </xf>
    <xf numFmtId="0" fontId="69" fillId="6" borderId="0" xfId="0" applyFont="1" applyFill="1" applyAlignment="1" applyProtection="1">
      <alignment vertical="center" wrapText="1"/>
    </xf>
    <xf numFmtId="0" fontId="69" fillId="6" borderId="58" xfId="0" applyNumberFormat="1" applyFont="1" applyFill="1" applyBorder="1" applyAlignment="1" applyProtection="1">
      <alignment horizontal="left" vertical="center"/>
    </xf>
    <xf numFmtId="0" fontId="69" fillId="6" borderId="4" xfId="0" applyFont="1" applyFill="1" applyBorder="1" applyAlignment="1" applyProtection="1">
      <alignment vertical="center" wrapText="1"/>
    </xf>
    <xf numFmtId="0" fontId="69" fillId="7" borderId="151" xfId="0" applyFont="1" applyFill="1" applyBorder="1" applyAlignment="1" applyProtection="1">
      <alignment vertical="center" wrapText="1"/>
      <protection locked="0"/>
    </xf>
    <xf numFmtId="0" fontId="69" fillId="7" borderId="60" xfId="0" applyFont="1" applyFill="1" applyBorder="1" applyAlignment="1" applyProtection="1">
      <alignment vertical="center" wrapText="1"/>
    </xf>
    <xf numFmtId="0" fontId="69" fillId="7" borderId="7" xfId="0" applyFont="1" applyFill="1" applyBorder="1" applyAlignment="1" applyProtection="1">
      <alignment vertical="center" wrapText="1"/>
    </xf>
    <xf numFmtId="0" fontId="69" fillId="6" borderId="46" xfId="0" applyFont="1" applyFill="1" applyBorder="1" applyAlignment="1" applyProtection="1">
      <alignment vertical="center" wrapText="1"/>
    </xf>
    <xf numFmtId="0" fontId="69" fillId="7" borderId="54" xfId="0" applyFont="1" applyFill="1" applyBorder="1" applyAlignment="1" applyProtection="1">
      <alignment vertical="center" wrapText="1"/>
    </xf>
    <xf numFmtId="0" fontId="69" fillId="7" borderId="22" xfId="0" applyFont="1" applyFill="1" applyBorder="1" applyAlignment="1" applyProtection="1">
      <alignment vertical="center" wrapText="1"/>
    </xf>
    <xf numFmtId="0" fontId="69" fillId="6" borderId="58" xfId="0" applyNumberFormat="1" applyFont="1" applyFill="1" applyBorder="1" applyAlignment="1" applyProtection="1">
      <alignment horizontal="center" vertical="center" wrapText="1"/>
    </xf>
    <xf numFmtId="0" fontId="69" fillId="7" borderId="5" xfId="0" applyFont="1" applyFill="1" applyBorder="1" applyAlignment="1" applyProtection="1">
      <alignment vertical="center" wrapText="1"/>
      <protection locked="0"/>
    </xf>
    <xf numFmtId="49" fontId="69" fillId="6" borderId="58" xfId="0" applyNumberFormat="1" applyFont="1" applyFill="1" applyBorder="1" applyAlignment="1" applyProtection="1">
      <alignment horizontal="center" vertical="center" wrapText="1"/>
    </xf>
    <xf numFmtId="0" fontId="69" fillId="5" borderId="5" xfId="0" applyFont="1" applyFill="1" applyBorder="1" applyAlignment="1" applyProtection="1">
      <alignment horizontal="left" vertical="center" wrapText="1"/>
      <protection locked="0"/>
    </xf>
    <xf numFmtId="0" fontId="69" fillId="5" borderId="54" xfId="0" applyFont="1" applyFill="1" applyBorder="1" applyAlignment="1" applyProtection="1">
      <alignment vertical="center" wrapText="1"/>
    </xf>
    <xf numFmtId="0" fontId="69" fillId="5" borderId="13" xfId="0" applyFont="1" applyFill="1" applyBorder="1" applyAlignment="1" applyProtection="1">
      <alignment horizontal="left" vertical="center"/>
      <protection locked="0"/>
    </xf>
    <xf numFmtId="0" fontId="69" fillId="5" borderId="22" xfId="0" applyFont="1" applyFill="1" applyBorder="1" applyAlignment="1" applyProtection="1">
      <alignment vertical="center" wrapText="1"/>
    </xf>
    <xf numFmtId="0" fontId="69" fillId="5" borderId="85" xfId="0" applyFont="1" applyFill="1" applyBorder="1" applyAlignment="1" applyProtection="1">
      <alignment horizontal="left" vertical="center"/>
      <protection locked="0"/>
    </xf>
    <xf numFmtId="0" fontId="69" fillId="5" borderId="88" xfId="0" applyFont="1" applyFill="1" applyBorder="1" applyAlignment="1" applyProtection="1">
      <alignment vertical="center" wrapText="1"/>
    </xf>
    <xf numFmtId="0" fontId="69" fillId="5" borderId="119" xfId="0" applyFont="1" applyFill="1" applyBorder="1" applyAlignment="1" applyProtection="1">
      <alignment vertical="center" wrapText="1"/>
    </xf>
    <xf numFmtId="0" fontId="69" fillId="6" borderId="87" xfId="0" applyFont="1" applyFill="1" applyBorder="1" applyAlignment="1" applyProtection="1">
      <alignment vertical="center" wrapText="1"/>
    </xf>
    <xf numFmtId="0" fontId="69" fillId="6" borderId="2"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protection locked="0"/>
    </xf>
    <xf numFmtId="49" fontId="69" fillId="6" borderId="2" xfId="0" applyNumberFormat="1" applyFont="1" applyFill="1" applyBorder="1" applyAlignment="1" applyProtection="1">
      <alignment horizontal="left" vertical="center" wrapText="1"/>
    </xf>
    <xf numFmtId="0" fontId="69" fillId="0" borderId="60" xfId="0" applyFont="1" applyFill="1" applyBorder="1" applyAlignment="1" applyProtection="1">
      <alignment vertical="center" wrapText="1"/>
    </xf>
    <xf numFmtId="0" fontId="69" fillId="7" borderId="60" xfId="0" applyFont="1" applyFill="1" applyBorder="1" applyAlignment="1" applyProtection="1">
      <alignment horizontal="center" vertical="center" wrapText="1"/>
    </xf>
    <xf numFmtId="0" fontId="69" fillId="6" borderId="46" xfId="0" applyFont="1" applyFill="1" applyBorder="1" applyAlignment="1" applyProtection="1">
      <alignment horizontal="left" vertical="center"/>
    </xf>
    <xf numFmtId="0" fontId="69" fillId="5" borderId="13" xfId="0" applyFont="1" applyFill="1" applyBorder="1" applyAlignment="1" applyProtection="1">
      <alignment horizontal="center" vertical="center" wrapText="1"/>
      <protection locked="0"/>
    </xf>
    <xf numFmtId="0" fontId="69" fillId="7" borderId="54" xfId="0" applyFont="1" applyFill="1" applyBorder="1" applyAlignment="1" applyProtection="1">
      <alignment vertical="center" wrapText="1"/>
      <protection locked="0"/>
    </xf>
    <xf numFmtId="0" fontId="69" fillId="7" borderId="3" xfId="0" applyFont="1" applyFill="1" applyBorder="1" applyAlignment="1" applyProtection="1">
      <alignment vertical="center" wrapText="1"/>
    </xf>
    <xf numFmtId="49" fontId="69" fillId="6" borderId="13" xfId="0" applyNumberFormat="1" applyFont="1" applyFill="1" applyBorder="1" applyAlignment="1" applyProtection="1">
      <alignment horizontal="left" vertical="center" wrapText="1"/>
    </xf>
    <xf numFmtId="0" fontId="52" fillId="6" borderId="1" xfId="0" applyFont="1" applyFill="1" applyBorder="1" applyAlignment="1" applyProtection="1">
      <alignment vertical="center" wrapText="1"/>
    </xf>
    <xf numFmtId="49" fontId="52" fillId="6" borderId="1" xfId="0" applyNumberFormat="1" applyFont="1" applyFill="1" applyBorder="1" applyAlignment="1" applyProtection="1">
      <alignment horizontal="center" vertical="center" wrapText="1"/>
    </xf>
    <xf numFmtId="0" fontId="69" fillId="6" borderId="15" xfId="0" applyFont="1" applyFill="1" applyBorder="1" applyAlignment="1" applyProtection="1">
      <alignment horizontal="left" vertical="center"/>
    </xf>
    <xf numFmtId="0" fontId="69" fillId="2" borderId="15" xfId="0" applyFont="1" applyFill="1" applyBorder="1" applyAlignment="1" applyProtection="1">
      <alignment horizontal="left" vertical="center" wrapText="1"/>
    </xf>
    <xf numFmtId="0" fontId="69" fillId="6" borderId="60" xfId="0" applyFont="1" applyFill="1" applyBorder="1" applyAlignment="1" applyProtection="1">
      <alignment vertical="center" wrapText="1"/>
    </xf>
    <xf numFmtId="184" fontId="69" fillId="0" borderId="1" xfId="0" applyNumberFormat="1" applyFont="1" applyFill="1" applyBorder="1" applyAlignment="1" applyProtection="1">
      <alignment horizontal="center" vertical="center" shrinkToFit="1"/>
      <protection locked="0"/>
    </xf>
    <xf numFmtId="177" fontId="69" fillId="6" borderId="58" xfId="0" applyNumberFormat="1" applyFont="1" applyFill="1" applyBorder="1" applyAlignment="1" applyProtection="1">
      <alignment horizontal="center" vertical="center" wrapText="1"/>
    </xf>
    <xf numFmtId="0" fontId="69" fillId="2" borderId="2" xfId="0" applyFont="1" applyFill="1" applyBorder="1" applyAlignment="1" applyProtection="1">
      <alignment horizontal="left" vertical="center" wrapText="1"/>
    </xf>
    <xf numFmtId="179" fontId="69" fillId="6" borderId="58" xfId="0" applyNumberFormat="1" applyFont="1" applyFill="1" applyBorder="1" applyAlignment="1" applyProtection="1">
      <alignment horizontal="center" vertical="center" wrapText="1"/>
    </xf>
    <xf numFmtId="0" fontId="52" fillId="6" borderId="0" xfId="0" applyNumberFormat="1" applyFont="1" applyFill="1" applyAlignment="1" applyProtection="1">
      <alignment horizontal="center" vertical="center" wrapText="1"/>
    </xf>
    <xf numFmtId="0" fontId="52" fillId="6" borderId="0" xfId="0" applyNumberFormat="1" applyFont="1" applyFill="1" applyAlignment="1" applyProtection="1">
      <alignment vertical="center" wrapText="1"/>
    </xf>
    <xf numFmtId="49" fontId="69" fillId="6" borderId="15" xfId="0" applyNumberFormat="1" applyFont="1" applyFill="1" applyBorder="1" applyAlignment="1" applyProtection="1">
      <alignment horizontal="left" vertical="center" wrapText="1"/>
    </xf>
    <xf numFmtId="0" fontId="69" fillId="6" borderId="13" xfId="0" applyFont="1" applyFill="1" applyBorder="1" applyAlignment="1" applyProtection="1">
      <alignment horizontal="left" vertical="center"/>
    </xf>
    <xf numFmtId="0" fontId="69" fillId="6" borderId="1" xfId="0" applyFont="1" applyFill="1" applyBorder="1" applyAlignment="1" applyProtection="1">
      <alignment horizontal="left" vertical="center" wrapText="1"/>
    </xf>
    <xf numFmtId="179" fontId="69" fillId="6" borderId="58" xfId="0" applyNumberFormat="1" applyFont="1" applyFill="1" applyBorder="1" applyAlignment="1" applyProtection="1">
      <alignment horizontal="left" vertical="center"/>
    </xf>
    <xf numFmtId="0" fontId="69" fillId="5" borderId="77" xfId="0" applyFont="1" applyFill="1" applyBorder="1" applyAlignment="1" applyProtection="1">
      <alignment horizontal="left" vertical="center" wrapText="1"/>
      <protection locked="0"/>
    </xf>
    <xf numFmtId="0" fontId="69" fillId="6" borderId="78" xfId="0" applyFont="1" applyFill="1" applyBorder="1" applyAlignment="1" applyProtection="1">
      <alignment horizontal="left" vertical="center" wrapText="1"/>
    </xf>
    <xf numFmtId="0" fontId="55" fillId="5" borderId="15" xfId="0" applyFont="1" applyFill="1" applyBorder="1" applyAlignment="1" applyProtection="1">
      <alignment horizontal="center" vertical="center" wrapText="1"/>
      <protection locked="0"/>
    </xf>
    <xf numFmtId="0" fontId="55" fillId="6" borderId="74" xfId="0" applyFont="1" applyFill="1" applyBorder="1" applyAlignment="1" applyProtection="1">
      <alignment horizontal="center" vertical="center" wrapText="1"/>
    </xf>
    <xf numFmtId="0" fontId="55" fillId="5" borderId="74" xfId="0" applyFont="1" applyFill="1" applyBorder="1" applyAlignment="1" applyProtection="1">
      <alignment horizontal="center" vertical="center" wrapText="1"/>
      <protection locked="0"/>
    </xf>
    <xf numFmtId="0" fontId="125" fillId="6" borderId="74" xfId="0" applyFont="1" applyFill="1" applyBorder="1" applyAlignment="1" applyProtection="1">
      <alignment vertical="center" wrapText="1"/>
    </xf>
    <xf numFmtId="0" fontId="55" fillId="5" borderId="76" xfId="0" applyFont="1" applyFill="1" applyBorder="1" applyAlignment="1" applyProtection="1">
      <alignment horizontal="center" vertical="center" wrapText="1"/>
      <protection locked="0"/>
    </xf>
    <xf numFmtId="0" fontId="55" fillId="6" borderId="5" xfId="0" applyFont="1" applyFill="1" applyBorder="1" applyAlignment="1" applyProtection="1">
      <alignment horizontal="right" vertical="center" wrapText="1"/>
    </xf>
    <xf numFmtId="0" fontId="55" fillId="6" borderId="27" xfId="0" applyFont="1" applyFill="1" applyBorder="1" applyAlignment="1" applyProtection="1">
      <alignment vertical="center"/>
    </xf>
    <xf numFmtId="0" fontId="63" fillId="5" borderId="23" xfId="0" applyFont="1" applyFill="1" applyBorder="1" applyAlignment="1" applyProtection="1">
      <alignment horizontal="center" vertical="center" wrapText="1"/>
      <protection locked="0"/>
    </xf>
    <xf numFmtId="0" fontId="55" fillId="5" borderId="24" xfId="0" applyFont="1" applyFill="1" applyBorder="1" applyAlignment="1" applyProtection="1">
      <alignment horizontal="center" vertical="center" wrapText="1"/>
      <protection locked="0"/>
    </xf>
    <xf numFmtId="0" fontId="185" fillId="0" borderId="23" xfId="0" applyFont="1" applyBorder="1" applyAlignment="1" applyProtection="1">
      <alignment vertical="center" wrapText="1"/>
      <protection locked="0"/>
    </xf>
    <xf numFmtId="0" fontId="55" fillId="5" borderId="5" xfId="0" applyFont="1" applyFill="1" applyBorder="1" applyAlignment="1" applyProtection="1">
      <alignment horizontal="center" vertical="center" wrapText="1"/>
      <protection locked="0"/>
    </xf>
    <xf numFmtId="0" fontId="55" fillId="0" borderId="86" xfId="0" applyFont="1" applyBorder="1" applyAlignment="1" applyProtection="1">
      <alignment vertical="center" wrapText="1"/>
      <protection locked="0"/>
    </xf>
    <xf numFmtId="0" fontId="63" fillId="5" borderId="23" xfId="0" applyFont="1" applyFill="1" applyBorder="1" applyAlignment="1" applyProtection="1">
      <alignment horizontal="center" vertical="center" wrapText="1" shrinkToFit="1"/>
      <protection locked="0"/>
    </xf>
    <xf numFmtId="0" fontId="69" fillId="6" borderId="56" xfId="0" applyFont="1" applyFill="1" applyBorder="1" applyAlignment="1" applyProtection="1">
      <alignment vertical="center" wrapText="1"/>
    </xf>
    <xf numFmtId="0" fontId="55" fillId="6" borderId="18" xfId="0" applyFont="1" applyFill="1" applyBorder="1" applyAlignment="1" applyProtection="1">
      <alignment horizontal="right" vertical="center" wrapText="1"/>
    </xf>
    <xf numFmtId="184" fontId="185" fillId="0" borderId="24" xfId="0" applyNumberFormat="1" applyFont="1" applyFill="1" applyBorder="1" applyAlignment="1" applyProtection="1">
      <alignment horizontal="left" vertical="center" shrinkToFit="1"/>
      <protection locked="0"/>
    </xf>
    <xf numFmtId="0" fontId="55" fillId="6" borderId="16" xfId="0" applyFont="1" applyFill="1" applyBorder="1" applyAlignment="1" applyProtection="1">
      <alignment horizontal="right" vertical="center" wrapText="1"/>
    </xf>
    <xf numFmtId="184" fontId="185" fillId="0" borderId="21" xfId="0" applyNumberFormat="1" applyFont="1" applyFill="1" applyBorder="1" applyAlignment="1" applyProtection="1">
      <alignment horizontal="left" vertical="center" shrinkToFit="1"/>
      <protection locked="0"/>
    </xf>
    <xf numFmtId="0" fontId="55" fillId="6" borderId="58" xfId="0" applyFont="1" applyFill="1" applyBorder="1" applyAlignment="1" applyProtection="1">
      <alignment horizontal="center" vertical="center" wrapText="1"/>
    </xf>
    <xf numFmtId="0" fontId="55" fillId="6" borderId="18" xfId="0" applyFont="1" applyFill="1" applyBorder="1" applyAlignment="1" applyProtection="1">
      <alignment horizontal="left" vertical="center" wrapText="1"/>
    </xf>
    <xf numFmtId="0" fontId="185" fillId="0" borderId="24" xfId="0" applyFont="1" applyFill="1" applyBorder="1" applyAlignment="1" applyProtection="1">
      <alignment horizontal="left" vertical="center" wrapText="1"/>
      <protection locked="0"/>
    </xf>
    <xf numFmtId="0" fontId="185" fillId="0" borderId="48" xfId="0" applyFont="1" applyFill="1" applyBorder="1" applyAlignment="1" applyProtection="1">
      <alignment horizontal="left" vertical="center" wrapText="1"/>
      <protection locked="0"/>
    </xf>
    <xf numFmtId="0" fontId="55" fillId="6" borderId="89" xfId="0" applyFont="1" applyFill="1" applyBorder="1" applyAlignment="1" applyProtection="1">
      <alignment horizontal="left" vertical="center" wrapText="1"/>
    </xf>
    <xf numFmtId="0" fontId="55" fillId="6" borderId="91" xfId="0" applyFont="1" applyFill="1" applyBorder="1" applyAlignment="1" applyProtection="1">
      <alignment horizontal="right" vertical="center" wrapText="1"/>
    </xf>
    <xf numFmtId="0" fontId="185" fillId="0" borderId="79" xfId="0" applyFont="1" applyFill="1" applyBorder="1" applyAlignment="1" applyProtection="1">
      <alignment horizontal="left" vertical="center" wrapText="1"/>
      <protection locked="0"/>
    </xf>
    <xf numFmtId="0" fontId="55" fillId="6" borderId="89" xfId="0" applyFont="1" applyFill="1" applyBorder="1" applyAlignment="1" applyProtection="1">
      <alignment horizontal="right" vertical="center" wrapText="1"/>
    </xf>
    <xf numFmtId="0" fontId="185" fillId="0" borderId="90" xfId="0" applyFont="1" applyFill="1" applyBorder="1" applyAlignment="1" applyProtection="1">
      <alignment horizontal="left" vertical="center" wrapText="1"/>
      <protection locked="0"/>
    </xf>
    <xf numFmtId="0" fontId="69" fillId="6" borderId="92" xfId="0" applyFont="1" applyFill="1" applyBorder="1" applyAlignment="1" applyProtection="1">
      <alignment vertical="center" wrapText="1"/>
    </xf>
    <xf numFmtId="0" fontId="69" fillId="2" borderId="4" xfId="0" applyFont="1" applyFill="1" applyBorder="1" applyAlignment="1" applyProtection="1">
      <alignment vertical="center"/>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left" vertical="center"/>
      <protection locked="0"/>
    </xf>
    <xf numFmtId="0" fontId="69" fillId="0" borderId="2" xfId="0" applyFont="1" applyBorder="1" applyAlignment="1" applyProtection="1">
      <alignment horizontal="left" vertical="center" wrapText="1"/>
      <protection locked="0"/>
    </xf>
    <xf numFmtId="49" fontId="52" fillId="6" borderId="58" xfId="0" applyNumberFormat="1" applyFont="1" applyFill="1" applyBorder="1" applyAlignment="1" applyProtection="1">
      <alignment horizontal="center" vertical="center" wrapText="1"/>
    </xf>
    <xf numFmtId="0" fontId="69" fillId="2" borderId="5" xfId="0" applyFont="1" applyFill="1" applyBorder="1" applyAlignment="1" applyProtection="1">
      <alignment vertical="center"/>
      <protection locked="0"/>
    </xf>
    <xf numFmtId="0" fontId="69" fillId="2" borderId="3" xfId="0" applyFont="1" applyFill="1" applyBorder="1" applyAlignment="1" applyProtection="1">
      <alignment vertical="center"/>
    </xf>
    <xf numFmtId="0" fontId="69" fillId="5" borderId="3"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vertical="center" wrapText="1"/>
    </xf>
    <xf numFmtId="0" fontId="69" fillId="0" borderId="1" xfId="0" applyFont="1" applyBorder="1" applyAlignment="1" applyProtection="1">
      <alignment horizontal="left" vertical="center"/>
      <protection locked="0"/>
    </xf>
    <xf numFmtId="0" fontId="69" fillId="5" borderId="22" xfId="0" applyFont="1" applyFill="1" applyBorder="1" applyAlignment="1" applyProtection="1">
      <alignment horizontal="center" vertical="center" wrapText="1"/>
      <protection locked="0"/>
    </xf>
    <xf numFmtId="0" fontId="69" fillId="6" borderId="22" xfId="0" applyFont="1" applyFill="1" applyBorder="1" applyAlignment="1" applyProtection="1">
      <alignment vertical="center" wrapText="1"/>
    </xf>
    <xf numFmtId="0" fontId="69" fillId="0" borderId="13" xfId="0" applyFont="1" applyBorder="1" applyAlignment="1" applyProtection="1">
      <alignment horizontal="left" vertical="center"/>
      <protection locked="0"/>
    </xf>
    <xf numFmtId="0" fontId="66" fillId="5" borderId="1" xfId="0" applyFont="1" applyFill="1" applyBorder="1" applyAlignment="1" applyProtection="1">
      <alignment horizontal="center" vertical="center" wrapText="1"/>
      <protection locked="0"/>
    </xf>
    <xf numFmtId="193" fontId="52" fillId="6" borderId="1" xfId="0" applyNumberFormat="1" applyFont="1" applyFill="1" applyBorder="1" applyAlignment="1" applyProtection="1">
      <alignment vertical="center" wrapText="1"/>
    </xf>
    <xf numFmtId="0" fontId="69" fillId="6" borderId="13" xfId="0" applyNumberFormat="1" applyFont="1" applyFill="1" applyBorder="1" applyAlignment="1" applyProtection="1">
      <alignment vertical="center" wrapText="1"/>
    </xf>
    <xf numFmtId="0" fontId="69" fillId="6" borderId="1"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vertical="center" wrapText="1"/>
    </xf>
    <xf numFmtId="0" fontId="69" fillId="0" borderId="1" xfId="0" applyNumberFormat="1" applyFont="1" applyFill="1" applyBorder="1" applyAlignment="1" applyProtection="1">
      <alignment horizontal="center" vertical="center" wrapText="1"/>
      <protection locked="0"/>
    </xf>
    <xf numFmtId="0" fontId="69" fillId="6" borderId="15" xfId="0" applyNumberFormat="1" applyFont="1" applyFill="1" applyBorder="1" applyAlignment="1" applyProtection="1">
      <alignment vertical="center" wrapText="1"/>
    </xf>
    <xf numFmtId="0" fontId="69" fillId="5" borderId="1"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vertical="center" wrapText="1"/>
    </xf>
    <xf numFmtId="0" fontId="69" fillId="5"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112" fillId="6" borderId="152" xfId="0" applyFont="1" applyFill="1" applyBorder="1" applyAlignment="1" applyProtection="1">
      <alignment vertical="center"/>
    </xf>
    <xf numFmtId="0" fontId="54" fillId="6" borderId="152" xfId="0" applyFont="1" applyFill="1" applyBorder="1" applyAlignment="1" applyProtection="1">
      <alignment vertical="center" wrapText="1"/>
    </xf>
    <xf numFmtId="0" fontId="54" fillId="6" borderId="153" xfId="0" applyFont="1" applyFill="1" applyBorder="1" applyAlignment="1" applyProtection="1">
      <alignment vertical="center" wrapText="1"/>
    </xf>
    <xf numFmtId="0" fontId="54" fillId="6" borderId="152" xfId="0" applyFont="1" applyFill="1" applyBorder="1" applyAlignment="1" applyProtection="1">
      <alignment horizontal="center" vertical="center" wrapText="1"/>
    </xf>
    <xf numFmtId="0" fontId="54" fillId="0" borderId="152" xfId="0" applyFont="1" applyBorder="1" applyAlignment="1" applyProtection="1">
      <alignment vertical="center" wrapText="1"/>
    </xf>
    <xf numFmtId="0" fontId="52" fillId="6" borderId="0" xfId="0" applyFont="1" applyFill="1" applyBorder="1" applyAlignment="1" applyProtection="1">
      <alignment horizontal="center" vertical="center" wrapText="1"/>
    </xf>
    <xf numFmtId="0" fontId="52" fillId="6" borderId="54" xfId="0" applyFont="1" applyFill="1" applyBorder="1" applyAlignment="1" applyProtection="1">
      <alignment vertical="center" wrapText="1"/>
    </xf>
    <xf numFmtId="0" fontId="52" fillId="6" borderId="3" xfId="0" applyFont="1" applyFill="1" applyBorder="1" applyAlignment="1" applyProtection="1">
      <alignment vertical="center" wrapText="1"/>
    </xf>
    <xf numFmtId="49" fontId="52" fillId="6" borderId="5"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2" fillId="0" borderId="0" xfId="0" applyFont="1" applyAlignment="1" applyProtection="1">
      <alignment horizontal="center" vertical="center" wrapText="1"/>
    </xf>
    <xf numFmtId="49" fontId="52" fillId="0" borderId="58" xfId="0" applyNumberFormat="1" applyFont="1" applyBorder="1" applyAlignment="1" applyProtection="1">
      <alignment horizontal="center" vertical="center" wrapText="1"/>
    </xf>
    <xf numFmtId="49" fontId="52" fillId="0" borderId="0" xfId="0" applyNumberFormat="1" applyFont="1" applyAlignment="1" applyProtection="1">
      <alignment horizontal="center" vertical="center" wrapText="1"/>
    </xf>
    <xf numFmtId="0" fontId="114" fillId="6" borderId="0" xfId="0" applyFont="1" applyFill="1" applyAlignment="1" applyProtection="1">
      <alignment horizontal="left" vertical="center"/>
    </xf>
    <xf numFmtId="0" fontId="112" fillId="6" borderId="0" xfId="0" applyFont="1" applyFill="1" applyAlignment="1" applyProtection="1">
      <alignment horizontal="left" vertical="center"/>
    </xf>
    <xf numFmtId="0" fontId="55" fillId="6" borderId="0" xfId="0" applyFont="1" applyFill="1" applyAlignment="1" applyProtection="1">
      <alignment horizontal="center" vertical="center" wrapText="1"/>
    </xf>
    <xf numFmtId="0" fontId="55" fillId="6" borderId="0" xfId="0" applyFont="1" applyFill="1" applyBorder="1" applyAlignment="1" applyProtection="1">
      <alignment horizontal="center" vertical="center"/>
    </xf>
    <xf numFmtId="0" fontId="55" fillId="6" borderId="0"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0" fontId="55" fillId="2" borderId="1" xfId="0" applyFont="1" applyFill="1" applyBorder="1" applyAlignment="1" applyProtection="1">
      <alignment horizontal="center" vertical="center" wrapText="1"/>
      <protection locked="0"/>
    </xf>
    <xf numFmtId="0" fontId="56" fillId="6" borderId="4" xfId="0" applyFont="1" applyFill="1" applyBorder="1" applyAlignment="1" applyProtection="1">
      <alignment horizontal="left" vertical="center"/>
    </xf>
    <xf numFmtId="179" fontId="55" fillId="6" borderId="0" xfId="0" applyNumberFormat="1" applyFont="1" applyFill="1" applyBorder="1" applyAlignment="1" applyProtection="1">
      <alignment horizontal="center" vertical="center" wrapText="1"/>
    </xf>
    <xf numFmtId="179" fontId="56" fillId="6" borderId="0" xfId="0" applyNumberFormat="1" applyFont="1" applyFill="1" applyBorder="1" applyAlignment="1" applyProtection="1">
      <alignment horizontal="center" vertical="center" wrapText="1"/>
    </xf>
    <xf numFmtId="176" fontId="55" fillId="6" borderId="0" xfId="0" applyNumberFormat="1" applyFont="1" applyFill="1" applyAlignment="1" applyProtection="1">
      <alignment horizontal="center" vertical="center" wrapText="1"/>
    </xf>
    <xf numFmtId="0" fontId="55" fillId="0" borderId="0" xfId="0" applyFont="1" applyFill="1" applyAlignment="1" applyProtection="1">
      <alignment horizontal="center" vertical="center" wrapText="1"/>
    </xf>
    <xf numFmtId="176" fontId="55" fillId="6" borderId="54" xfId="0" applyNumberFormat="1" applyFont="1" applyFill="1" applyBorder="1" applyAlignment="1" applyProtection="1">
      <alignment horizontal="center" vertical="center" wrapText="1"/>
    </xf>
    <xf numFmtId="176" fontId="55" fillId="6" borderId="3" xfId="0" applyNumberFormat="1" applyFont="1" applyFill="1" applyBorder="1" applyAlignment="1" applyProtection="1">
      <alignment horizontal="center" vertical="center" wrapText="1"/>
    </xf>
    <xf numFmtId="176" fontId="55" fillId="6" borderId="5" xfId="0" applyNumberFormat="1" applyFont="1" applyFill="1" applyBorder="1" applyAlignment="1" applyProtection="1">
      <alignment horizontal="center" vertical="center" wrapText="1"/>
    </xf>
    <xf numFmtId="176" fontId="55" fillId="0" borderId="0" xfId="0" applyNumberFormat="1" applyFont="1" applyAlignment="1" applyProtection="1">
      <alignment horizontal="center" vertical="center" wrapText="1"/>
    </xf>
    <xf numFmtId="0" fontId="55" fillId="6" borderId="46" xfId="0" applyFont="1" applyFill="1" applyBorder="1" applyAlignment="1" applyProtection="1">
      <alignment horizontal="left" vertical="center"/>
    </xf>
    <xf numFmtId="0" fontId="55" fillId="6" borderId="36" xfId="0"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5" fillId="6" borderId="59"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179" fontId="55" fillId="6" borderId="5" xfId="0" applyNumberFormat="1" applyFont="1" applyFill="1" applyBorder="1" applyAlignment="1" applyProtection="1">
      <alignment horizontal="left" vertical="center"/>
    </xf>
    <xf numFmtId="0" fontId="56" fillId="6" borderId="54" xfId="0" applyFont="1" applyFill="1" applyBorder="1" applyAlignment="1" applyProtection="1">
      <alignment horizontal="center" vertical="center"/>
    </xf>
    <xf numFmtId="179" fontId="55" fillId="6" borderId="54" xfId="0" applyNumberFormat="1" applyFont="1" applyFill="1" applyBorder="1" applyAlignment="1" applyProtection="1">
      <alignment horizontal="center" vertical="center"/>
    </xf>
    <xf numFmtId="179" fontId="55" fillId="6" borderId="3" xfId="0" applyNumberFormat="1" applyFont="1" applyFill="1" applyBorder="1" applyAlignment="1" applyProtection="1">
      <alignment horizontal="center" vertical="center"/>
    </xf>
    <xf numFmtId="0" fontId="56" fillId="6" borderId="36" xfId="0" applyFont="1" applyFill="1" applyBorder="1" applyAlignment="1" applyProtection="1">
      <alignment horizontal="center" vertical="center"/>
    </xf>
    <xf numFmtId="0" fontId="55" fillId="0" borderId="0" xfId="0" applyFont="1" applyAlignment="1" applyProtection="1">
      <alignment horizontal="center" vertical="center"/>
    </xf>
    <xf numFmtId="179" fontId="55" fillId="6" borderId="0" xfId="0" applyNumberFormat="1" applyFont="1" applyFill="1" applyBorder="1" applyAlignment="1" applyProtection="1">
      <alignment horizontal="center" vertical="center"/>
    </xf>
    <xf numFmtId="0" fontId="55" fillId="2" borderId="4" xfId="0" applyFont="1" applyFill="1" applyBorder="1" applyAlignment="1" applyProtection="1">
      <alignment horizontal="left" vertical="center"/>
      <protection locked="0"/>
    </xf>
    <xf numFmtId="0" fontId="56" fillId="6" borderId="54" xfId="0" applyFont="1" applyFill="1" applyBorder="1" applyAlignment="1" applyProtection="1">
      <alignment horizontal="left" vertical="center"/>
    </xf>
    <xf numFmtId="0" fontId="55" fillId="6" borderId="7" xfId="0" applyFont="1" applyFill="1" applyBorder="1" applyAlignment="1" applyProtection="1">
      <alignment horizontal="left" vertical="center"/>
    </xf>
    <xf numFmtId="179" fontId="55" fillId="6" borderId="4" xfId="0" applyNumberFormat="1" applyFont="1" applyFill="1" applyBorder="1" applyAlignment="1" applyProtection="1">
      <alignment horizontal="center" vertical="center"/>
    </xf>
    <xf numFmtId="0" fontId="56" fillId="6" borderId="60" xfId="0" applyFont="1" applyFill="1" applyBorder="1" applyAlignment="1" applyProtection="1">
      <alignment horizontal="center" vertical="center"/>
    </xf>
    <xf numFmtId="179" fontId="55" fillId="6" borderId="7" xfId="0" applyNumberFormat="1" applyFont="1" applyFill="1" applyBorder="1" applyAlignment="1" applyProtection="1">
      <alignment horizontal="center" vertical="center"/>
    </xf>
    <xf numFmtId="0" fontId="55" fillId="2" borderId="5" xfId="0" applyFont="1" applyFill="1" applyBorder="1" applyAlignment="1" applyProtection="1">
      <alignment horizontal="left" vertical="center"/>
      <protection locked="0"/>
    </xf>
    <xf numFmtId="0" fontId="55" fillId="6" borderId="3" xfId="0" applyFont="1" applyFill="1" applyBorder="1" applyAlignment="1" applyProtection="1">
      <alignment horizontal="right" vertical="center"/>
    </xf>
    <xf numFmtId="179" fontId="55" fillId="6" borderId="35" xfId="0" applyNumberFormat="1"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2" borderId="54" xfId="0" applyFont="1" applyFill="1" applyBorder="1" applyAlignment="1" applyProtection="1">
      <alignment horizontal="left" vertical="center"/>
      <protection locked="0"/>
    </xf>
    <xf numFmtId="0" fontId="56" fillId="6" borderId="3" xfId="0" applyFont="1" applyFill="1" applyBorder="1" applyAlignment="1" applyProtection="1">
      <alignment horizontal="left" vertical="center"/>
    </xf>
    <xf numFmtId="0" fontId="125" fillId="6" borderId="5" xfId="0" applyFont="1" applyFill="1" applyBorder="1" applyAlignment="1" applyProtection="1">
      <alignment horizontal="left" vertical="center"/>
    </xf>
    <xf numFmtId="0" fontId="247" fillId="6" borderId="3" xfId="0" applyFont="1" applyFill="1" applyBorder="1" applyAlignment="1" applyProtection="1">
      <alignment horizontal="right" vertical="center"/>
    </xf>
    <xf numFmtId="0" fontId="55" fillId="6" borderId="61" xfId="0" applyFont="1" applyFill="1" applyBorder="1" applyAlignment="1" applyProtection="1">
      <alignment horizontal="center" vertical="center"/>
    </xf>
    <xf numFmtId="0" fontId="55" fillId="6" borderId="4" xfId="0" applyFont="1" applyFill="1" applyBorder="1" applyAlignment="1" applyProtection="1">
      <alignment horizontal="center" vertical="center" wrapText="1"/>
    </xf>
    <xf numFmtId="179" fontId="55" fillId="6" borderId="7" xfId="0" applyNumberFormat="1" applyFont="1" applyFill="1" applyBorder="1" applyAlignment="1" applyProtection="1">
      <alignment horizontal="center" vertical="center" wrapText="1"/>
    </xf>
    <xf numFmtId="179" fontId="55" fillId="6" borderId="2" xfId="0" applyNumberFormat="1" applyFont="1" applyFill="1" applyBorder="1" applyAlignment="1" applyProtection="1">
      <alignment horizontal="center" vertical="center" wrapText="1"/>
    </xf>
    <xf numFmtId="179" fontId="55" fillId="6" borderId="4" xfId="0" applyNumberFormat="1"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179" fontId="55" fillId="6"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protection locked="0"/>
    </xf>
    <xf numFmtId="176" fontId="55" fillId="0" borderId="1" xfId="0" applyNumberFormat="1" applyFont="1" applyBorder="1" applyAlignment="1" applyProtection="1">
      <alignment vertical="center" wrapText="1"/>
      <protection locked="0"/>
    </xf>
    <xf numFmtId="176" fontId="55" fillId="0" borderId="1" xfId="0" applyNumberFormat="1" applyFont="1" applyBorder="1" applyAlignment="1" applyProtection="1">
      <alignment horizontal="center" vertical="center" wrapText="1"/>
      <protection locked="0"/>
    </xf>
    <xf numFmtId="176" fontId="55" fillId="0" borderId="2" xfId="0" applyNumberFormat="1"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xf>
    <xf numFmtId="176" fontId="52" fillId="0" borderId="0"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center" vertical="center"/>
    </xf>
    <xf numFmtId="0" fontId="114" fillId="6" borderId="0" xfId="0" applyFont="1" applyFill="1" applyProtection="1">
      <alignment vertical="center"/>
    </xf>
    <xf numFmtId="0" fontId="52" fillId="0" borderId="0" xfId="0" applyFont="1" applyProtection="1">
      <alignment vertical="center"/>
      <protection locked="0"/>
    </xf>
    <xf numFmtId="176" fontId="58" fillId="6" borderId="1" xfId="1" applyNumberFormat="1" applyFont="1" applyFill="1" applyBorder="1" applyAlignment="1" applyProtection="1">
      <alignment horizontal="center" vertical="center"/>
    </xf>
    <xf numFmtId="0" fontId="52" fillId="6" borderId="5" xfId="0" applyFont="1" applyFill="1" applyBorder="1" applyProtection="1">
      <alignment vertical="center"/>
    </xf>
    <xf numFmtId="0" fontId="52" fillId="6" borderId="54" xfId="0" applyFont="1" applyFill="1" applyBorder="1" applyProtection="1">
      <alignment vertical="center"/>
    </xf>
    <xf numFmtId="0" fontId="54"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176" fontId="58" fillId="6" borderId="10" xfId="1" applyNumberFormat="1" applyFont="1" applyFill="1" applyBorder="1" applyAlignment="1" applyProtection="1">
      <alignment horizontal="center" vertical="center"/>
    </xf>
    <xf numFmtId="0" fontId="52" fillId="6" borderId="2" xfId="0" applyFont="1" applyFill="1" applyBorder="1" applyProtection="1">
      <alignment vertical="center"/>
    </xf>
    <xf numFmtId="0" fontId="52" fillId="6" borderId="12" xfId="0" applyFont="1" applyFill="1" applyBorder="1" applyAlignment="1" applyProtection="1">
      <alignment vertical="center"/>
    </xf>
    <xf numFmtId="0" fontId="52" fillId="6" borderId="15" xfId="0" applyFont="1" applyFill="1" applyBorder="1" applyProtection="1">
      <alignment vertical="center"/>
    </xf>
    <xf numFmtId="176" fontId="54" fillId="6" borderId="10" xfId="1" applyNumberFormat="1" applyFont="1" applyFill="1" applyBorder="1" applyAlignment="1" applyProtection="1">
      <alignment horizontal="center" vertical="center"/>
    </xf>
    <xf numFmtId="0" fontId="52" fillId="6" borderId="0" xfId="0" applyFont="1" applyFill="1" applyBorder="1" applyProtection="1">
      <alignment vertical="center"/>
      <protection locked="0"/>
    </xf>
    <xf numFmtId="0" fontId="52" fillId="6" borderId="14" xfId="0" applyFont="1" applyFill="1" applyBorder="1" applyAlignment="1" applyProtection="1">
      <alignment vertical="center"/>
    </xf>
    <xf numFmtId="0" fontId="52" fillId="6" borderId="15" xfId="0" applyFont="1" applyFill="1" applyBorder="1" applyAlignment="1" applyProtection="1">
      <alignment vertical="center"/>
    </xf>
    <xf numFmtId="0" fontId="54" fillId="6" borderId="51" xfId="0" applyFont="1" applyFill="1" applyBorder="1" applyProtection="1">
      <alignment vertical="center"/>
    </xf>
    <xf numFmtId="0" fontId="52" fillId="6" borderId="21" xfId="0" applyFont="1" applyFill="1" applyBorder="1" applyProtection="1">
      <alignment vertical="center"/>
    </xf>
    <xf numFmtId="0" fontId="52" fillId="6" borderId="16" xfId="0" applyFont="1" applyFill="1" applyBorder="1" applyAlignment="1" applyProtection="1">
      <alignment vertical="center"/>
    </xf>
    <xf numFmtId="0" fontId="52" fillId="6" borderId="17" xfId="0" applyFont="1" applyFill="1" applyBorder="1" applyProtection="1">
      <alignment vertical="center"/>
    </xf>
    <xf numFmtId="0" fontId="52" fillId="6" borderId="19" xfId="0" applyFont="1" applyFill="1" applyBorder="1" applyAlignment="1" applyProtection="1">
      <alignment vertical="center"/>
    </xf>
    <xf numFmtId="0" fontId="54" fillId="6" borderId="17" xfId="0" applyFont="1" applyFill="1" applyBorder="1" applyAlignment="1" applyProtection="1">
      <alignment horizontal="center" vertical="center"/>
    </xf>
    <xf numFmtId="176" fontId="58" fillId="6" borderId="29" xfId="1" applyNumberFormat="1" applyFont="1" applyFill="1" applyBorder="1" applyAlignment="1" applyProtection="1">
      <alignment horizontal="center" vertical="center"/>
    </xf>
    <xf numFmtId="176" fontId="58" fillId="6" borderId="20" xfId="1" applyNumberFormat="1" applyFont="1" applyFill="1" applyBorder="1" applyAlignment="1" applyProtection="1">
      <alignment horizontal="center" vertical="center"/>
    </xf>
    <xf numFmtId="176" fontId="58" fillId="6" borderId="21" xfId="1" applyNumberFormat="1" applyFont="1" applyFill="1" applyBorder="1" applyAlignment="1" applyProtection="1">
      <alignment horizontal="center" vertical="center"/>
    </xf>
    <xf numFmtId="0" fontId="54" fillId="6" borderId="55" xfId="0" applyFont="1" applyFill="1" applyBorder="1" applyAlignment="1" applyProtection="1">
      <alignment horizontal="right" vertical="center"/>
    </xf>
    <xf numFmtId="179" fontId="54" fillId="2" borderId="24" xfId="0" applyNumberFormat="1" applyFont="1" applyFill="1" applyBorder="1" applyAlignment="1" applyProtection="1">
      <alignment horizontal="center" vertical="center"/>
      <protection locked="0"/>
    </xf>
    <xf numFmtId="0" fontId="52" fillId="6" borderId="2" xfId="0" applyFont="1" applyFill="1" applyBorder="1" applyAlignment="1" applyProtection="1">
      <alignment vertical="center"/>
    </xf>
    <xf numFmtId="0" fontId="52" fillId="6" borderId="0" xfId="0" applyFont="1" applyFill="1" applyBorder="1" applyAlignment="1" applyProtection="1">
      <alignment vertical="center"/>
    </xf>
    <xf numFmtId="0" fontId="54" fillId="6" borderId="2" xfId="0" applyFont="1" applyFill="1" applyBorder="1" applyAlignment="1" applyProtection="1">
      <alignment horizontal="center" vertical="center"/>
    </xf>
    <xf numFmtId="176" fontId="59" fillId="6" borderId="2" xfId="1"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179" fontId="52"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2" fillId="6" borderId="18" xfId="0" applyFont="1" applyFill="1" applyBorder="1" applyProtection="1">
      <alignment vertical="center"/>
    </xf>
    <xf numFmtId="177" fontId="55" fillId="0" borderId="1" xfId="1" applyNumberFormat="1" applyFont="1" applyFill="1" applyBorder="1" applyAlignment="1" applyProtection="1">
      <alignment vertical="center"/>
      <protection locked="0" hidden="1"/>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6" borderId="18" xfId="0" applyFont="1" applyFill="1" applyBorder="1" applyAlignment="1" applyProtection="1">
      <alignment vertical="center"/>
    </xf>
    <xf numFmtId="0" fontId="52" fillId="0" borderId="11" xfId="0" applyFont="1" applyBorder="1" applyProtection="1">
      <alignment vertical="center"/>
      <protection locked="0"/>
    </xf>
    <xf numFmtId="0" fontId="52" fillId="0" borderId="13" xfId="0" applyFont="1" applyBorder="1" applyProtection="1">
      <alignment vertical="center"/>
      <protection locked="0"/>
    </xf>
    <xf numFmtId="0" fontId="54" fillId="6" borderId="3"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4" fillId="6" borderId="22" xfId="0" applyFont="1" applyFill="1" applyBorder="1" applyAlignment="1" applyProtection="1">
      <alignment horizontal="left" vertical="center"/>
    </xf>
    <xf numFmtId="0" fontId="52" fillId="6" borderId="42" xfId="0" applyFont="1" applyFill="1" applyBorder="1" applyAlignment="1" applyProtection="1">
      <alignment vertical="center"/>
    </xf>
    <xf numFmtId="0" fontId="52" fillId="6" borderId="33" xfId="0" applyFont="1" applyFill="1" applyBorder="1" applyProtection="1">
      <alignment vertical="center"/>
    </xf>
    <xf numFmtId="176" fontId="52" fillId="0" borderId="0" xfId="0" applyNumberFormat="1" applyFont="1" applyProtection="1">
      <alignment vertical="center"/>
      <protection locked="0"/>
    </xf>
    <xf numFmtId="0" fontId="114" fillId="6" borderId="0" xfId="0" applyFont="1" applyFill="1" applyAlignment="1" applyProtection="1">
      <alignment vertical="center" wrapText="1"/>
    </xf>
    <xf numFmtId="179" fontId="55" fillId="6" borderId="0" xfId="0" applyNumberFormat="1"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xf>
    <xf numFmtId="0" fontId="54" fillId="6" borderId="26" xfId="0" applyFont="1" applyFill="1" applyBorder="1" applyAlignment="1" applyProtection="1">
      <alignment vertical="center" wrapText="1"/>
    </xf>
    <xf numFmtId="0" fontId="52" fillId="6" borderId="0" xfId="0" applyFont="1" applyFill="1" applyAlignment="1" applyProtection="1">
      <alignment vertical="center"/>
      <protection locked="0"/>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6" borderId="0" xfId="0" applyFont="1" applyFill="1" applyAlignment="1" applyProtection="1">
      <alignment vertical="center"/>
    </xf>
    <xf numFmtId="0" fontId="52" fillId="6" borderId="63" xfId="0" applyFont="1" applyFill="1" applyBorder="1" applyAlignment="1" applyProtection="1">
      <alignment vertical="center"/>
    </xf>
    <xf numFmtId="0" fontId="52" fillId="6" borderId="64" xfId="0" applyFont="1" applyFill="1" applyBorder="1" applyAlignment="1" applyProtection="1">
      <alignment vertical="center"/>
    </xf>
    <xf numFmtId="179" fontId="52" fillId="6" borderId="64" xfId="0" applyNumberFormat="1" applyFont="1" applyFill="1" applyBorder="1" applyAlignment="1" applyProtection="1">
      <alignment vertical="center"/>
    </xf>
    <xf numFmtId="0" fontId="52" fillId="6" borderId="65" xfId="0" applyFont="1" applyFill="1" applyBorder="1" applyAlignment="1" applyProtection="1">
      <alignment vertical="center"/>
    </xf>
    <xf numFmtId="0" fontId="52" fillId="6" borderId="63" xfId="0" applyFont="1" applyFill="1" applyBorder="1" applyAlignment="1" applyProtection="1">
      <alignment horizontal="center" vertical="center"/>
    </xf>
    <xf numFmtId="0" fontId="52" fillId="6" borderId="64" xfId="0" applyFont="1" applyFill="1" applyBorder="1" applyAlignment="1" applyProtection="1">
      <alignment horizontal="center" vertical="center"/>
    </xf>
    <xf numFmtId="0" fontId="52" fillId="6" borderId="82" xfId="0" applyFont="1" applyFill="1" applyBorder="1" applyAlignment="1" applyProtection="1">
      <alignment horizontal="center" vertical="center"/>
    </xf>
    <xf numFmtId="0" fontId="52" fillId="6" borderId="31" xfId="0" applyFont="1" applyFill="1" applyBorder="1" applyAlignment="1" applyProtection="1">
      <alignment vertical="center"/>
    </xf>
    <xf numFmtId="0" fontId="52" fillId="6" borderId="6" xfId="1" applyFont="1" applyFill="1" applyBorder="1" applyAlignment="1" applyProtection="1">
      <alignment vertical="center" wrapText="1"/>
    </xf>
    <xf numFmtId="0" fontId="52" fillId="6" borderId="9" xfId="1" applyFont="1" applyFill="1" applyBorder="1" applyAlignment="1" applyProtection="1">
      <alignment vertical="center" wrapText="1"/>
    </xf>
    <xf numFmtId="0" fontId="52" fillId="6" borderId="28" xfId="1" applyFont="1" applyFill="1" applyBorder="1" applyAlignment="1" applyProtection="1">
      <alignment vertical="center" wrapText="1"/>
    </xf>
    <xf numFmtId="180" fontId="59" fillId="6" borderId="6" xfId="1" applyNumberFormat="1" applyFont="1" applyFill="1" applyBorder="1" applyAlignment="1" applyProtection="1">
      <alignment horizontal="center" vertical="center" wrapText="1"/>
    </xf>
    <xf numFmtId="179" fontId="52" fillId="6" borderId="9" xfId="0" applyNumberFormat="1" applyFont="1" applyFill="1" applyBorder="1" applyAlignment="1" applyProtection="1">
      <alignment horizontal="center" vertical="center" wrapText="1"/>
    </xf>
    <xf numFmtId="0" fontId="109" fillId="6" borderId="10" xfId="0" applyFont="1" applyFill="1" applyBorder="1" applyAlignment="1" applyProtection="1">
      <alignment horizontal="center" vertical="center" wrapText="1"/>
    </xf>
    <xf numFmtId="177" fontId="52" fillId="6" borderId="6" xfId="1" applyNumberFormat="1" applyFont="1" applyFill="1" applyBorder="1" applyAlignment="1" applyProtection="1">
      <alignment horizontal="center" vertical="center" wrapText="1"/>
    </xf>
    <xf numFmtId="0" fontId="52" fillId="6" borderId="9" xfId="1" applyFont="1" applyFill="1" applyBorder="1" applyAlignment="1" applyProtection="1">
      <alignment horizontal="center" vertical="center" wrapText="1"/>
    </xf>
    <xf numFmtId="179" fontId="52" fillId="6" borderId="9" xfId="1" applyNumberFormat="1" applyFont="1" applyFill="1" applyBorder="1" applyAlignment="1" applyProtection="1">
      <alignment horizontal="center" vertical="center" wrapText="1"/>
    </xf>
    <xf numFmtId="0" fontId="52" fillId="5" borderId="9" xfId="1" applyFont="1" applyFill="1" applyBorder="1" applyAlignment="1" applyProtection="1">
      <alignment horizontal="center" vertical="center" wrapText="1"/>
      <protection locked="0"/>
    </xf>
    <xf numFmtId="0" fontId="52" fillId="6" borderId="28" xfId="1" applyFont="1" applyFill="1" applyBorder="1" applyAlignment="1" applyProtection="1">
      <alignment horizontal="center" vertical="center" wrapText="1"/>
    </xf>
    <xf numFmtId="0" fontId="52" fillId="6" borderId="6" xfId="1" applyFont="1" applyFill="1" applyBorder="1" applyAlignment="1" applyProtection="1">
      <alignment horizontal="center" vertical="center" wrapText="1"/>
    </xf>
    <xf numFmtId="0" fontId="52" fillId="6" borderId="19" xfId="1" applyFont="1" applyFill="1" applyBorder="1" applyAlignment="1" applyProtection="1">
      <alignment horizontal="center" vertical="center" wrapText="1"/>
    </xf>
    <xf numFmtId="0" fontId="52" fillId="6" borderId="62" xfId="1"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protection locked="0"/>
    </xf>
    <xf numFmtId="0" fontId="52" fillId="6" borderId="1" xfId="1" applyFont="1" applyFill="1" applyBorder="1" applyAlignment="1" applyProtection="1">
      <alignment horizontal="center" vertical="center" wrapText="1"/>
    </xf>
    <xf numFmtId="177" fontId="5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vertical="center"/>
    </xf>
    <xf numFmtId="177" fontId="52" fillId="2" borderId="5" xfId="1" applyNumberFormat="1" applyFont="1" applyFill="1" applyBorder="1" applyAlignment="1" applyProtection="1">
      <alignment vertical="center"/>
      <protection locked="0"/>
    </xf>
    <xf numFmtId="0" fontId="109" fillId="2" borderId="3" xfId="0" applyFont="1" applyFill="1" applyBorder="1" applyAlignment="1" applyProtection="1">
      <alignment horizontal="center" vertical="center"/>
      <protection locked="0"/>
    </xf>
    <xf numFmtId="0" fontId="52" fillId="6" borderId="1" xfId="0" applyFont="1" applyFill="1" applyBorder="1" applyAlignment="1" applyProtection="1">
      <alignment horizontal="right" vertical="center"/>
    </xf>
    <xf numFmtId="177" fontId="52" fillId="6" borderId="23" xfId="1" applyNumberFormat="1" applyFont="1" applyFill="1" applyBorder="1" applyAlignment="1" applyProtection="1">
      <alignment horizontal="left" vertical="center" wrapText="1"/>
      <protection locked="0"/>
    </xf>
    <xf numFmtId="177" fontId="52" fillId="6" borderId="5" xfId="1" applyNumberFormat="1" applyFont="1" applyFill="1" applyBorder="1" applyAlignment="1" applyProtection="1">
      <alignment vertical="center"/>
    </xf>
    <xf numFmtId="0" fontId="54" fillId="6" borderId="25" xfId="1" applyFont="1" applyFill="1" applyBorder="1" applyAlignment="1" applyProtection="1">
      <alignment vertical="center" wrapText="1"/>
    </xf>
    <xf numFmtId="0" fontId="54" fillId="6" borderId="25" xfId="1" applyFont="1" applyFill="1" applyBorder="1" applyAlignment="1" applyProtection="1">
      <alignment vertical="center"/>
    </xf>
    <xf numFmtId="0" fontId="60" fillId="6" borderId="0" xfId="0" applyFont="1" applyFill="1" applyAlignment="1" applyProtection="1">
      <alignment vertical="center" wrapText="1"/>
    </xf>
    <xf numFmtId="176" fontId="59" fillId="6" borderId="6" xfId="1" applyNumberFormat="1" applyFont="1" applyFill="1" applyBorder="1" applyAlignment="1" applyProtection="1">
      <alignment vertical="center" wrapText="1"/>
    </xf>
    <xf numFmtId="176" fontId="59" fillId="6" borderId="23"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59" fillId="6" borderId="25" xfId="1" applyNumberFormat="1" applyFont="1" applyFill="1" applyBorder="1" applyAlignment="1" applyProtection="1">
      <alignment vertical="center" wrapText="1"/>
    </xf>
    <xf numFmtId="0" fontId="52" fillId="6" borderId="34" xfId="0" applyFont="1" applyFill="1" applyBorder="1" applyAlignment="1" applyProtection="1">
      <alignment horizontal="center" vertical="center"/>
    </xf>
    <xf numFmtId="0" fontId="52" fillId="6" borderId="67" xfId="0" applyFont="1" applyFill="1" applyBorder="1" applyAlignment="1" applyProtection="1">
      <alignment horizontal="center" vertical="center"/>
      <protection locked="0"/>
    </xf>
    <xf numFmtId="0" fontId="52" fillId="6" borderId="6" xfId="0" applyFont="1" applyFill="1" applyBorder="1" applyAlignment="1" applyProtection="1">
      <alignment vertical="center" wrapText="1"/>
    </xf>
    <xf numFmtId="179" fontId="52" fillId="6" borderId="0" xfId="0" applyNumberFormat="1" applyFont="1" applyFill="1" applyAlignment="1" applyProtection="1">
      <alignment horizontal="center" vertical="center"/>
      <protection locked="0"/>
    </xf>
    <xf numFmtId="0" fontId="55" fillId="0" borderId="0" xfId="0" applyFont="1" applyFill="1" applyAlignment="1" applyProtection="1">
      <alignment vertical="center"/>
    </xf>
    <xf numFmtId="0" fontId="52" fillId="6" borderId="23" xfId="0" applyFont="1" applyFill="1" applyBorder="1" applyAlignment="1" applyProtection="1">
      <alignment vertical="center" wrapText="1"/>
    </xf>
    <xf numFmtId="0" fontId="109" fillId="6" borderId="0" xfId="0" applyFont="1" applyFill="1" applyAlignment="1" applyProtection="1">
      <alignment horizontal="center" vertical="center"/>
      <protection locked="0"/>
    </xf>
    <xf numFmtId="0" fontId="52" fillId="6" borderId="25" xfId="0" applyFont="1" applyFill="1" applyBorder="1" applyAlignment="1" applyProtection="1">
      <alignment vertical="center" wrapText="1"/>
    </xf>
    <xf numFmtId="0" fontId="52" fillId="6" borderId="41" xfId="0" applyFont="1" applyFill="1" applyBorder="1" applyAlignment="1" applyProtection="1">
      <alignment vertical="center" wrapText="1"/>
    </xf>
    <xf numFmtId="0" fontId="52" fillId="6" borderId="11" xfId="0" applyFont="1" applyFill="1" applyBorder="1" applyAlignment="1" applyProtection="1">
      <alignment vertical="center" wrapText="1"/>
    </xf>
    <xf numFmtId="0" fontId="52" fillId="6" borderId="11" xfId="0" applyFont="1" applyFill="1" applyBorder="1" applyAlignment="1" applyProtection="1">
      <alignment horizontal="left" vertical="center" wrapText="1"/>
    </xf>
    <xf numFmtId="181" fontId="109" fillId="6" borderId="0" xfId="0" applyNumberFormat="1" applyFont="1" applyFill="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25" xfId="0" applyFont="1" applyFill="1" applyBorder="1" applyAlignment="1" applyProtection="1">
      <alignment horizontal="right" vertical="center" wrapText="1"/>
    </xf>
    <xf numFmtId="0" fontId="52" fillId="6" borderId="14" xfId="0" applyFont="1" applyFill="1" applyBorder="1" applyAlignment="1" applyProtection="1">
      <alignment vertical="center" wrapText="1"/>
    </xf>
    <xf numFmtId="0" fontId="52" fillId="6" borderId="40" xfId="0" applyFont="1" applyFill="1" applyBorder="1" applyAlignment="1" applyProtection="1">
      <alignment vertical="center" wrapText="1"/>
    </xf>
    <xf numFmtId="0" fontId="52" fillId="2" borderId="24" xfId="0" applyFont="1" applyFill="1" applyBorder="1" applyAlignment="1" applyProtection="1">
      <alignment horizontal="center" vertical="center"/>
      <protection locked="0"/>
    </xf>
    <xf numFmtId="0" fontId="57" fillId="6" borderId="0" xfId="0" applyFont="1" applyFill="1" applyAlignment="1" applyProtection="1">
      <alignment vertical="center"/>
      <protection locked="0"/>
    </xf>
    <xf numFmtId="0" fontId="52" fillId="0" borderId="23" xfId="0" applyFont="1" applyBorder="1" applyAlignment="1" applyProtection="1">
      <alignment horizontal="right" vertical="center" wrapText="1"/>
      <protection locked="0"/>
    </xf>
    <xf numFmtId="0" fontId="52" fillId="6" borderId="0" xfId="0" applyFont="1" applyFill="1" applyBorder="1" applyAlignment="1" applyProtection="1">
      <alignment vertical="center"/>
      <protection locked="0"/>
    </xf>
    <xf numFmtId="0" fontId="52" fillId="0" borderId="25" xfId="0" applyFont="1" applyBorder="1" applyAlignment="1" applyProtection="1">
      <alignment horizontal="right" vertical="center" wrapText="1"/>
      <protection locked="0"/>
    </xf>
    <xf numFmtId="0" fontId="55" fillId="7" borderId="0" xfId="0" applyFont="1" applyFill="1" applyAlignment="1" applyProtection="1">
      <alignment vertical="center" wrapText="1"/>
      <protection locked="0"/>
    </xf>
    <xf numFmtId="179" fontId="55" fillId="7"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55" fillId="0" borderId="0" xfId="0" applyFont="1" applyAlignment="1" applyProtection="1">
      <alignment vertical="center" wrapText="1"/>
    </xf>
    <xf numFmtId="179" fontId="55" fillId="0" borderId="0" xfId="0" applyNumberFormat="1" applyFont="1" applyAlignment="1" applyProtection="1">
      <alignment vertical="center"/>
    </xf>
    <xf numFmtId="0" fontId="131" fillId="0" borderId="5" xfId="5" applyFont="1" applyBorder="1" applyAlignment="1">
      <alignment horizontal="right" vertical="center"/>
    </xf>
    <xf numFmtId="192" fontId="131" fillId="0" borderId="5" xfId="5" applyNumberFormat="1" applyFont="1" applyFill="1" applyBorder="1" applyAlignment="1">
      <alignment horizontal="right" vertical="center"/>
    </xf>
    <xf numFmtId="0" fontId="131" fillId="0" borderId="5" xfId="5" applyFont="1" applyFill="1" applyBorder="1" applyAlignment="1">
      <alignment horizontal="left" vertical="center"/>
    </xf>
    <xf numFmtId="0" fontId="131" fillId="0" borderId="154" xfId="5" applyFont="1" applyBorder="1" applyAlignment="1">
      <alignment vertical="center"/>
    </xf>
    <xf numFmtId="0" fontId="131" fillId="0" borderId="154" xfId="5" applyFont="1" applyFill="1" applyBorder="1">
      <alignment vertical="center"/>
    </xf>
    <xf numFmtId="0" fontId="131" fillId="0" borderId="154" xfId="5" applyFont="1" applyFill="1" applyBorder="1" applyAlignment="1">
      <alignment horizontal="left" vertical="center"/>
    </xf>
    <xf numFmtId="184" fontId="131" fillId="0" borderId="5" xfId="5" applyNumberFormat="1" applyFont="1" applyFill="1" applyBorder="1" applyAlignment="1">
      <alignment horizontal="right" vertical="center"/>
    </xf>
    <xf numFmtId="14" fontId="133" fillId="0" borderId="5" xfId="5" applyNumberFormat="1" applyFont="1" applyBorder="1">
      <alignment vertical="center"/>
    </xf>
    <xf numFmtId="0" fontId="131" fillId="0" borderId="154" xfId="5" applyFont="1" applyFill="1" applyBorder="1" applyAlignment="1">
      <alignment horizontal="right" vertical="center"/>
    </xf>
    <xf numFmtId="0" fontId="133" fillId="0" borderId="154" xfId="5" applyFont="1" applyBorder="1">
      <alignment vertical="center"/>
    </xf>
    <xf numFmtId="0" fontId="227" fillId="7" borderId="102" xfId="0" applyFont="1" applyFill="1" applyBorder="1" applyAlignment="1" applyProtection="1">
      <alignment horizontal="center" vertical="center" wrapText="1"/>
      <protection locked="0"/>
    </xf>
    <xf numFmtId="0" fontId="227" fillId="7" borderId="102" xfId="0" applyNumberFormat="1" applyFont="1" applyFill="1" applyBorder="1" applyAlignment="1" applyProtection="1">
      <alignment horizontal="center" vertical="center" wrapText="1"/>
      <protection locked="0"/>
    </xf>
    <xf numFmtId="0" fontId="227" fillId="7" borderId="103" xfId="0" applyFont="1" applyFill="1" applyBorder="1" applyAlignment="1" applyProtection="1">
      <alignment horizontal="center" vertical="center" wrapText="1"/>
      <protection locked="0"/>
    </xf>
    <xf numFmtId="0" fontId="249" fillId="7" borderId="0" xfId="0" applyNumberFormat="1" applyFont="1" applyFill="1" applyAlignment="1" applyProtection="1">
      <alignment horizontal="center" vertical="center"/>
      <protection locked="0"/>
    </xf>
    <xf numFmtId="0" fontId="249" fillId="7" borderId="0" xfId="0" applyFont="1" applyFill="1" applyAlignment="1" applyProtection="1">
      <alignment horizontal="center" vertical="center"/>
      <protection locked="0"/>
    </xf>
    <xf numFmtId="0" fontId="249" fillId="0" borderId="0" xfId="0" applyFont="1" applyAlignment="1" applyProtection="1">
      <alignment horizontal="center" vertical="center"/>
      <protection locked="0"/>
    </xf>
    <xf numFmtId="0" fontId="54" fillId="6" borderId="63" xfId="0" applyFont="1" applyFill="1" applyBorder="1" applyAlignment="1" applyProtection="1">
      <alignment horizontal="center" vertical="center" wrapText="1"/>
    </xf>
    <xf numFmtId="0" fontId="54" fillId="6" borderId="34" xfId="0" applyFont="1" applyFill="1" applyBorder="1" applyAlignment="1" applyProtection="1">
      <alignment horizontal="right" vertical="center" wrapText="1"/>
    </xf>
    <xf numFmtId="0" fontId="54" fillId="6" borderId="65" xfId="0" applyFont="1" applyFill="1" applyBorder="1" applyAlignment="1" applyProtection="1">
      <alignment horizontal="center" vertical="center"/>
    </xf>
    <xf numFmtId="0" fontId="54" fillId="6" borderId="0" xfId="0" applyFont="1" applyFill="1" applyBorder="1" applyAlignment="1" applyProtection="1">
      <alignment horizontal="right" vertical="center" wrapText="1"/>
    </xf>
    <xf numFmtId="0" fontId="54" fillId="6" borderId="63" xfId="0" applyFont="1" applyFill="1" applyBorder="1" applyAlignment="1" applyProtection="1">
      <alignment horizontal="right" vertical="center" wrapText="1"/>
    </xf>
    <xf numFmtId="0" fontId="52" fillId="7" borderId="0" xfId="0" applyFont="1" applyFill="1" applyAlignment="1" applyProtection="1">
      <alignment horizontal="center" vertical="center"/>
      <protection locked="0"/>
    </xf>
    <xf numFmtId="0" fontId="52" fillId="0" borderId="0" xfId="0" applyFont="1" applyAlignment="1" applyProtection="1">
      <alignment horizontal="center" vertical="center"/>
      <protection locked="0"/>
    </xf>
    <xf numFmtId="49" fontId="183" fillId="0" borderId="10" xfId="0" applyNumberFormat="1" applyFont="1" applyFill="1" applyBorder="1" applyAlignment="1" applyProtection="1">
      <alignment horizontal="center" vertical="center" wrapText="1"/>
      <protection locked="0"/>
    </xf>
    <xf numFmtId="49" fontId="52" fillId="6" borderId="0" xfId="0" applyNumberFormat="1" applyFont="1" applyFill="1" applyBorder="1" applyAlignment="1" applyProtection="1">
      <alignment horizontal="center" vertical="center" wrapText="1"/>
      <protection locked="0"/>
    </xf>
    <xf numFmtId="0" fontId="52" fillId="6" borderId="7" xfId="0" applyFont="1" applyFill="1" applyBorder="1" applyAlignment="1" applyProtection="1">
      <alignment horizontal="center" vertical="center" wrapText="1"/>
    </xf>
    <xf numFmtId="0" fontId="183" fillId="0" borderId="8"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183" fillId="0" borderId="24" xfId="0" applyFont="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183" fillId="0" borderId="49"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wrapText="1"/>
    </xf>
    <xf numFmtId="0" fontId="52" fillId="6" borderId="32" xfId="0" applyFont="1" applyFill="1" applyBorder="1" applyAlignment="1" applyProtection="1">
      <alignment horizontal="center" vertical="center" wrapText="1"/>
    </xf>
    <xf numFmtId="0" fontId="183" fillId="0" borderId="49" xfId="0" applyFont="1" applyBorder="1" applyAlignment="1" applyProtection="1">
      <alignment horizontal="center" vertical="center"/>
      <protection locked="0"/>
    </xf>
    <xf numFmtId="0" fontId="52" fillId="7" borderId="0" xfId="0"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49" fontId="52" fillId="7"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227" fillId="7" borderId="0" xfId="0" applyFont="1" applyFill="1" applyBorder="1" applyAlignment="1" applyProtection="1">
      <alignment horizontal="center" vertical="center" wrapText="1"/>
      <protection locked="0"/>
    </xf>
    <xf numFmtId="0" fontId="227" fillId="7" borderId="0" xfId="0" applyNumberFormat="1" applyFont="1" applyFill="1" applyBorder="1" applyAlignment="1" applyProtection="1">
      <alignment horizontal="center" vertical="center" wrapText="1"/>
      <protection locked="0"/>
    </xf>
    <xf numFmtId="0" fontId="227" fillId="7" borderId="35" xfId="0" applyNumberFormat="1" applyFont="1" applyFill="1" applyBorder="1" applyAlignment="1" applyProtection="1">
      <alignment horizontal="center" vertical="center" wrapText="1"/>
      <protection locked="0"/>
    </xf>
    <xf numFmtId="0" fontId="249" fillId="7" borderId="0" xfId="0" applyFont="1" applyFill="1" applyAlignment="1" applyProtection="1">
      <alignment horizontal="center" vertical="center" wrapText="1"/>
      <protection locked="0"/>
    </xf>
    <xf numFmtId="0" fontId="249" fillId="7" borderId="0" xfId="0" applyNumberFormat="1" applyFont="1" applyFill="1" applyAlignment="1" applyProtection="1">
      <alignment horizontal="center" vertical="center" wrapText="1"/>
      <protection locked="0"/>
    </xf>
    <xf numFmtId="0" fontId="51" fillId="6" borderId="105" xfId="0" applyFont="1" applyFill="1" applyBorder="1" applyAlignment="1" applyProtection="1">
      <alignment horizontal="center" vertical="center"/>
    </xf>
    <xf numFmtId="0" fontId="54" fillId="6" borderId="0" xfId="0" applyFont="1" applyFill="1" applyBorder="1" applyAlignment="1" applyProtection="1">
      <alignment horizontal="right" vertical="center" wrapText="1"/>
      <protection locked="0"/>
    </xf>
    <xf numFmtId="0" fontId="52" fillId="7" borderId="0" xfId="0" applyFont="1" applyFill="1" applyAlignment="1" applyProtection="1">
      <alignment horizontal="center" vertical="center" wrapText="1"/>
      <protection locked="0"/>
    </xf>
    <xf numFmtId="0" fontId="52" fillId="7" borderId="0" xfId="0" applyNumberFormat="1" applyFont="1" applyFill="1" applyAlignment="1" applyProtection="1">
      <alignment horizontal="center" vertical="center" wrapText="1"/>
      <protection locked="0"/>
    </xf>
    <xf numFmtId="0" fontId="52" fillId="7" borderId="0" xfId="0" applyNumberFormat="1" applyFont="1" applyFill="1" applyAlignment="1" applyProtection="1">
      <alignment horizontal="center" vertical="center"/>
      <protection locked="0"/>
    </xf>
    <xf numFmtId="0" fontId="54" fillId="6" borderId="16" xfId="0" applyFont="1" applyFill="1" applyBorder="1" applyAlignment="1" applyProtection="1">
      <alignment horizontal="center" vertical="center" wrapText="1"/>
    </xf>
    <xf numFmtId="0" fontId="54" fillId="6" borderId="16" xfId="0" applyFont="1" applyFill="1" applyBorder="1" applyAlignment="1" applyProtection="1">
      <alignment horizontal="right" vertical="center" wrapText="1"/>
    </xf>
    <xf numFmtId="0" fontId="54" fillId="6" borderId="31" xfId="0" applyFont="1" applyFill="1" applyBorder="1" applyAlignment="1" applyProtection="1">
      <alignment horizontal="center" vertical="center" wrapText="1"/>
    </xf>
    <xf numFmtId="0" fontId="54" fillId="6" borderId="82" xfId="0" applyFont="1" applyFill="1" applyBorder="1" applyAlignment="1" applyProtection="1">
      <alignment horizontal="right" vertical="center" wrapText="1"/>
    </xf>
    <xf numFmtId="49" fontId="52" fillId="6" borderId="62" xfId="0" applyNumberFormat="1" applyFont="1" applyFill="1" applyBorder="1" applyAlignment="1" applyProtection="1">
      <alignment horizontal="center" vertical="center" wrapText="1"/>
    </xf>
    <xf numFmtId="49" fontId="54" fillId="6" borderId="27" xfId="0" applyNumberFormat="1" applyFont="1" applyFill="1" applyBorder="1" applyAlignment="1" applyProtection="1">
      <alignment vertical="center" wrapText="1"/>
    </xf>
    <xf numFmtId="0" fontId="52" fillId="6" borderId="41" xfId="0" applyFont="1" applyFill="1" applyBorder="1" applyAlignment="1" applyProtection="1">
      <alignment horizontal="center" vertical="center" wrapText="1"/>
    </xf>
    <xf numFmtId="49" fontId="52" fillId="6" borderId="24" xfId="0" applyNumberFormat="1" applyFont="1" applyFill="1" applyBorder="1" applyAlignment="1" applyProtection="1">
      <alignment horizontal="center" vertical="center" wrapText="1"/>
    </xf>
    <xf numFmtId="49" fontId="54" fillId="6" borderId="80" xfId="0" applyNumberFormat="1" applyFont="1" applyFill="1" applyBorder="1" applyAlignment="1" applyProtection="1">
      <alignment vertical="center" wrapText="1"/>
    </xf>
    <xf numFmtId="0" fontId="52" fillId="6" borderId="23" xfId="0"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protection locked="0"/>
    </xf>
    <xf numFmtId="49" fontId="54" fillId="6" borderId="81" xfId="0" applyNumberFormat="1" applyFont="1" applyFill="1" applyBorder="1" applyAlignment="1" applyProtection="1">
      <alignment vertical="center" wrapText="1"/>
    </xf>
    <xf numFmtId="0" fontId="52" fillId="6" borderId="25" xfId="0" applyFont="1" applyFill="1" applyBorder="1" applyAlignment="1" applyProtection="1">
      <alignment horizontal="center" vertical="center" wrapText="1"/>
    </xf>
    <xf numFmtId="0" fontId="52" fillId="0" borderId="49" xfId="0" applyNumberFormat="1" applyFont="1" applyFill="1" applyBorder="1" applyAlignment="1" applyProtection="1">
      <alignment horizontal="center" vertical="center" wrapText="1"/>
      <protection locked="0"/>
    </xf>
    <xf numFmtId="0" fontId="54" fillId="6" borderId="81" xfId="0" applyFont="1" applyFill="1" applyBorder="1" applyAlignment="1" applyProtection="1">
      <alignment vertical="center" wrapText="1"/>
    </xf>
    <xf numFmtId="0" fontId="52" fillId="6" borderId="0" xfId="0" applyFont="1" applyFill="1" applyAlignment="1" applyProtection="1">
      <alignment horizontal="center" vertical="center" wrapText="1"/>
      <protection locked="0"/>
    </xf>
    <xf numFmtId="0" fontId="52" fillId="6"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5" fillId="6" borderId="0" xfId="0" applyFont="1" applyFill="1" applyProtection="1">
      <alignment vertical="center"/>
    </xf>
    <xf numFmtId="0" fontId="55" fillId="5" borderId="0" xfId="0" applyFont="1" applyFill="1" applyProtection="1">
      <alignment vertical="center"/>
      <protection locked="0"/>
    </xf>
    <xf numFmtId="0" fontId="69" fillId="6" borderId="13" xfId="0" applyFont="1" applyFill="1" applyBorder="1" applyProtection="1">
      <alignment vertical="center"/>
    </xf>
    <xf numFmtId="0" fontId="69" fillId="6" borderId="13" xfId="0" applyNumberFormat="1" applyFont="1" applyFill="1" applyBorder="1" applyProtection="1">
      <alignment vertical="center"/>
    </xf>
    <xf numFmtId="0" fontId="69" fillId="5" borderId="13" xfId="0" applyFont="1" applyFill="1" applyBorder="1" applyAlignment="1" applyProtection="1">
      <alignment horizontal="center" vertical="center"/>
      <protection locked="0"/>
    </xf>
    <xf numFmtId="0" fontId="55" fillId="7" borderId="0" xfId="0" applyFont="1" applyFill="1" applyProtection="1">
      <alignment vertical="center"/>
    </xf>
    <xf numFmtId="0" fontId="55" fillId="0" borderId="0" xfId="0" applyFo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wrapText="1"/>
    </xf>
    <xf numFmtId="0" fontId="109" fillId="2" borderId="13" xfId="0" applyFont="1" applyFill="1" applyBorder="1" applyAlignment="1" applyProtection="1">
      <alignment horizontal="center" vertical="center"/>
      <protection locked="0"/>
    </xf>
    <xf numFmtId="0" fontId="55" fillId="7" borderId="1" xfId="0" applyFont="1" applyFill="1" applyBorder="1" applyProtection="1">
      <alignment vertical="center"/>
    </xf>
    <xf numFmtId="0" fontId="55" fillId="6" borderId="54" xfId="0" applyFont="1" applyFill="1" applyBorder="1" applyAlignment="1" applyProtection="1">
      <alignment vertical="center" wrapText="1"/>
    </xf>
    <xf numFmtId="0" fontId="54" fillId="6" borderId="5" xfId="0" applyFont="1" applyFill="1" applyBorder="1" applyAlignment="1" applyProtection="1">
      <alignment horizontal="right" vertical="center"/>
    </xf>
    <xf numFmtId="0" fontId="55" fillId="7" borderId="1" xfId="0" applyFont="1" applyFill="1" applyBorder="1" applyAlignment="1" applyProtection="1">
      <alignment horizontal="right" vertical="center"/>
    </xf>
    <xf numFmtId="0" fontId="54" fillId="6" borderId="58" xfId="0" applyFont="1" applyFill="1" applyBorder="1" applyAlignment="1" applyProtection="1">
      <alignment horizontal="right" vertical="center"/>
    </xf>
    <xf numFmtId="0" fontId="52" fillId="6" borderId="0" xfId="0" applyFont="1" applyFill="1" applyProtection="1">
      <alignment vertical="center"/>
    </xf>
    <xf numFmtId="0" fontId="54" fillId="6" borderId="16" xfId="0" applyFont="1" applyFill="1" applyBorder="1" applyAlignment="1" applyProtection="1">
      <alignment vertical="center"/>
    </xf>
    <xf numFmtId="0" fontId="52" fillId="6" borderId="9" xfId="0" applyFont="1" applyFill="1" applyBorder="1" applyAlignment="1" applyProtection="1">
      <alignment vertical="center"/>
    </xf>
    <xf numFmtId="0" fontId="55" fillId="6" borderId="21" xfId="0" applyFont="1" applyFill="1" applyBorder="1" applyAlignment="1" applyProtection="1">
      <alignment vertical="center"/>
    </xf>
    <xf numFmtId="0" fontId="54" fillId="6" borderId="18" xfId="0" applyFont="1" applyFill="1" applyBorder="1" applyAlignment="1" applyProtection="1">
      <alignment vertical="center"/>
    </xf>
    <xf numFmtId="0" fontId="52" fillId="6" borderId="32" xfId="0" applyFont="1" applyFill="1" applyBorder="1" applyProtection="1">
      <alignment vertical="center"/>
    </xf>
    <xf numFmtId="0" fontId="55" fillId="6" borderId="68" xfId="0" applyFont="1" applyFill="1" applyBorder="1" applyAlignment="1" applyProtection="1">
      <alignment vertical="center"/>
    </xf>
    <xf numFmtId="0" fontId="52" fillId="6" borderId="70" xfId="0" applyFont="1" applyFill="1" applyBorder="1" applyProtection="1">
      <alignment vertical="center"/>
    </xf>
    <xf numFmtId="0" fontId="52" fillId="6" borderId="34" xfId="0" applyFont="1" applyFill="1" applyBorder="1" applyProtection="1">
      <alignment vertical="center"/>
    </xf>
    <xf numFmtId="0" fontId="52" fillId="6" borderId="21"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111" fillId="0" borderId="23" xfId="0" applyFont="1" applyBorder="1" applyAlignment="1" applyProtection="1">
      <alignment horizontal="center" vertical="center"/>
      <protection locked="0"/>
    </xf>
    <xf numFmtId="0" fontId="111" fillId="6" borderId="0" xfId="0" applyFont="1" applyFill="1" applyBorder="1" applyAlignment="1" applyProtection="1">
      <alignment horizontal="center" vertical="center"/>
    </xf>
    <xf numFmtId="0" fontId="55" fillId="0" borderId="0" xfId="0" applyFont="1" applyFill="1" applyProtection="1">
      <alignment vertical="center"/>
    </xf>
    <xf numFmtId="0" fontId="54" fillId="6" borderId="16" xfId="0" applyFont="1" applyFill="1" applyBorder="1" applyAlignment="1" applyProtection="1">
      <alignment horizontal="left" vertical="center"/>
    </xf>
    <xf numFmtId="0" fontId="52" fillId="6" borderId="19" xfId="0" applyFont="1" applyFill="1" applyBorder="1" applyProtection="1">
      <alignment vertical="center"/>
    </xf>
    <xf numFmtId="0" fontId="54" fillId="5" borderId="62" xfId="0" applyFont="1" applyFill="1" applyBorder="1" applyAlignment="1" applyProtection="1">
      <alignment horizontal="right" vertical="center"/>
      <protection locked="0"/>
    </xf>
    <xf numFmtId="0" fontId="55" fillId="6" borderId="5" xfId="0" applyFont="1" applyFill="1" applyBorder="1" applyProtection="1">
      <alignment vertical="center"/>
    </xf>
    <xf numFmtId="0" fontId="54" fillId="5" borderId="1" xfId="0" applyFont="1" applyFill="1" applyBorder="1" applyAlignment="1" applyProtection="1">
      <alignment horizontal="center" vertical="center"/>
      <protection locked="0"/>
    </xf>
    <xf numFmtId="0" fontId="226" fillId="2" borderId="24" xfId="0" applyFont="1" applyFill="1" applyBorder="1" applyAlignment="1" applyProtection="1">
      <alignment horizontal="center" vertical="center"/>
      <protection locked="0"/>
    </xf>
    <xf numFmtId="0" fontId="55" fillId="6" borderId="30" xfId="0" applyFont="1" applyFill="1" applyBorder="1" applyProtection="1">
      <alignment vertical="center"/>
    </xf>
    <xf numFmtId="0" fontId="55" fillId="6" borderId="10" xfId="0" applyFont="1" applyFill="1" applyBorder="1" applyAlignment="1" applyProtection="1">
      <alignment horizontal="center" vertical="center"/>
    </xf>
    <xf numFmtId="0" fontId="54" fillId="6" borderId="69" xfId="0" applyFont="1" applyFill="1" applyBorder="1" applyAlignment="1" applyProtection="1">
      <alignment horizontal="left" vertical="center"/>
    </xf>
    <xf numFmtId="0" fontId="52" fillId="6" borderId="7" xfId="0" applyFont="1" applyFill="1" applyBorder="1" applyAlignment="1" applyProtection="1">
      <alignment horizontal="right" vertical="center"/>
    </xf>
    <xf numFmtId="0" fontId="55" fillId="6" borderId="3" xfId="0" applyFont="1" applyFill="1" applyBorder="1" applyProtection="1">
      <alignment vertical="center"/>
    </xf>
    <xf numFmtId="0" fontId="54" fillId="6" borderId="38" xfId="0" applyFont="1" applyFill="1" applyBorder="1" applyAlignment="1" applyProtection="1">
      <alignment horizontal="left" vertical="center"/>
    </xf>
    <xf numFmtId="0" fontId="52" fillId="6" borderId="66" xfId="0" applyFont="1" applyFill="1" applyBorder="1" applyAlignment="1" applyProtection="1">
      <alignment horizontal="right" vertical="center"/>
    </xf>
    <xf numFmtId="0" fontId="55" fillId="6" borderId="66" xfId="0" applyFont="1" applyFill="1" applyBorder="1" applyProtection="1">
      <alignment vertical="center"/>
    </xf>
    <xf numFmtId="0" fontId="52" fillId="6" borderId="30" xfId="0" applyFont="1" applyFill="1" applyBorder="1" applyAlignment="1" applyProtection="1">
      <alignment horizontal="left" vertical="center"/>
    </xf>
    <xf numFmtId="0" fontId="52" fillId="5" borderId="63" xfId="0" applyFont="1" applyFill="1" applyBorder="1" applyProtection="1">
      <alignment vertical="center"/>
      <protection locked="0"/>
    </xf>
    <xf numFmtId="0" fontId="52" fillId="6" borderId="65" xfId="0" applyFont="1" applyFill="1" applyBorder="1" applyProtection="1">
      <alignment vertical="center"/>
    </xf>
    <xf numFmtId="0" fontId="52" fillId="6" borderId="0" xfId="0" applyFont="1" applyFill="1" applyBorder="1" applyAlignment="1" applyProtection="1">
      <alignment horizontal="left" vertical="center"/>
      <protection locked="0"/>
    </xf>
    <xf numFmtId="0" fontId="52" fillId="6" borderId="66" xfId="0" applyFont="1" applyFill="1" applyBorder="1" applyAlignment="1" applyProtection="1">
      <alignment horizontal="left" vertical="center"/>
    </xf>
    <xf numFmtId="0" fontId="52" fillId="0" borderId="65" xfId="0" applyFont="1" applyFill="1" applyBorder="1" applyProtection="1">
      <alignment vertical="center"/>
      <protection locked="0"/>
    </xf>
    <xf numFmtId="0" fontId="111" fillId="0" borderId="6" xfId="0" applyFont="1" applyFill="1" applyBorder="1" applyAlignment="1" applyProtection="1">
      <alignment horizontal="center" vertical="center"/>
      <protection locked="0"/>
    </xf>
    <xf numFmtId="0" fontId="111" fillId="0" borderId="9" xfId="0" applyFont="1" applyFill="1" applyBorder="1" applyAlignment="1" applyProtection="1">
      <alignment horizontal="center" vertical="center"/>
      <protection locked="0"/>
    </xf>
    <xf numFmtId="0" fontId="111" fillId="0" borderId="10" xfId="0" applyFont="1" applyFill="1" applyBorder="1" applyAlignment="1" applyProtection="1">
      <alignment horizontal="center" vertical="center"/>
      <protection locked="0"/>
    </xf>
    <xf numFmtId="0" fontId="55" fillId="6" borderId="18" xfId="0" applyFont="1" applyFill="1" applyBorder="1" applyProtection="1">
      <alignment vertical="center"/>
    </xf>
    <xf numFmtId="0" fontId="55" fillId="6" borderId="42" xfId="0" applyFont="1" applyFill="1" applyBorder="1" applyProtection="1">
      <alignment vertical="center"/>
    </xf>
    <xf numFmtId="0" fontId="125" fillId="6" borderId="0" xfId="0" applyFont="1" applyFill="1" applyBorder="1" applyAlignment="1" applyProtection="1">
      <alignment horizontal="center" vertical="center"/>
    </xf>
    <xf numFmtId="0" fontId="125" fillId="6" borderId="0" xfId="0" applyFont="1" applyFill="1" applyProtection="1">
      <alignment vertical="center"/>
    </xf>
    <xf numFmtId="0" fontId="114" fillId="6" borderId="0" xfId="0" applyFont="1" applyFill="1" applyBorder="1" applyAlignment="1" applyProtection="1">
      <alignment horizontal="left" vertical="center"/>
    </xf>
    <xf numFmtId="0" fontId="227" fillId="6" borderId="0" xfId="0" applyFont="1" applyFill="1" applyBorder="1" applyAlignment="1" applyProtection="1">
      <alignment horizontal="left" vertical="center"/>
    </xf>
    <xf numFmtId="0" fontId="249" fillId="6" borderId="0" xfId="0" applyFont="1" applyFill="1" applyBorder="1" applyAlignment="1" applyProtection="1">
      <alignment vertical="center"/>
    </xf>
    <xf numFmtId="0" fontId="249" fillId="6" borderId="0" xfId="0" applyFont="1" applyFill="1" applyBorder="1" applyAlignment="1" applyProtection="1">
      <alignment horizontal="center" vertical="center"/>
    </xf>
    <xf numFmtId="0" fontId="113" fillId="6" borderId="0" xfId="0" applyFont="1" applyFill="1" applyBorder="1" applyAlignment="1" applyProtection="1">
      <alignment horizontal="left" vertical="center"/>
    </xf>
    <xf numFmtId="0" fontId="109" fillId="6" borderId="0" xfId="0" applyFont="1" applyFill="1" applyBorder="1" applyProtection="1">
      <alignment vertical="center"/>
    </xf>
    <xf numFmtId="9" fontId="55" fillId="6" borderId="0" xfId="0" applyNumberFormat="1" applyFont="1" applyFill="1" applyAlignment="1" applyProtection="1">
      <alignment horizontal="center" vertical="center"/>
      <protection locked="0"/>
    </xf>
    <xf numFmtId="0" fontId="56" fillId="0" borderId="24" xfId="0" applyFont="1" applyFill="1" applyBorder="1" applyAlignment="1" applyProtection="1">
      <alignment vertical="center" wrapText="1"/>
      <protection locked="0"/>
    </xf>
    <xf numFmtId="0" fontId="55" fillId="5" borderId="3" xfId="0" applyFont="1" applyFill="1" applyBorder="1" applyAlignment="1" applyProtection="1">
      <alignment horizontal="center" vertical="center"/>
      <protection locked="0"/>
    </xf>
    <xf numFmtId="10" fontId="55" fillId="6" borderId="0" xfId="0" applyNumberFormat="1" applyFont="1" applyFill="1" applyAlignment="1" applyProtection="1">
      <alignment horizontal="center" vertical="center"/>
      <protection locked="0"/>
    </xf>
    <xf numFmtId="0" fontId="113" fillId="6" borderId="1" xfId="0" applyFont="1" applyFill="1" applyBorder="1" applyAlignment="1" applyProtection="1">
      <alignment horizontal="center" vertical="center" wrapText="1"/>
    </xf>
    <xf numFmtId="0" fontId="55" fillId="6" borderId="24" xfId="0" applyFont="1" applyFill="1" applyBorder="1" applyProtection="1">
      <alignment vertical="center"/>
    </xf>
    <xf numFmtId="0" fontId="56" fillId="6" borderId="0" xfId="0" applyFont="1" applyFill="1" applyProtection="1">
      <alignment vertical="center"/>
      <protection locked="0"/>
    </xf>
    <xf numFmtId="0" fontId="125" fillId="0" borderId="24" xfId="0" applyFont="1" applyFill="1" applyBorder="1" applyAlignment="1" applyProtection="1">
      <alignment vertical="center" wrapText="1"/>
      <protection locked="0"/>
    </xf>
    <xf numFmtId="0" fontId="55" fillId="2" borderId="3" xfId="0"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wrapText="1"/>
      <protection locked="0"/>
    </xf>
    <xf numFmtId="0" fontId="110" fillId="6" borderId="5" xfId="0" applyFont="1" applyFill="1" applyBorder="1" applyAlignment="1" applyProtection="1">
      <alignment horizontal="center" vertical="center" wrapText="1"/>
    </xf>
    <xf numFmtId="0" fontId="117" fillId="6" borderId="22" xfId="0" applyFont="1" applyFill="1" applyBorder="1" applyAlignment="1" applyProtection="1">
      <alignment vertical="center" wrapText="1"/>
    </xf>
    <xf numFmtId="0" fontId="117" fillId="6" borderId="54" xfId="0" applyFont="1" applyFill="1" applyBorder="1" applyAlignment="1" applyProtection="1">
      <alignment horizontal="center" vertical="center"/>
    </xf>
    <xf numFmtId="0" fontId="117" fillId="6" borderId="3" xfId="0" applyFont="1" applyFill="1" applyBorder="1" applyAlignment="1" applyProtection="1">
      <alignment vertical="center" wrapText="1"/>
    </xf>
    <xf numFmtId="0" fontId="125" fillId="0" borderId="49" xfId="0" applyFont="1" applyFill="1" applyBorder="1" applyAlignment="1" applyProtection="1">
      <alignment vertical="center" wrapText="1"/>
      <protection locked="0"/>
    </xf>
    <xf numFmtId="0" fontId="117" fillId="6" borderId="35"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5" fillId="6" borderId="0" xfId="0" applyFont="1" applyFill="1" applyBorder="1" applyAlignment="1" applyProtection="1">
      <alignment horizontal="center" vertical="center"/>
      <protection locked="0"/>
    </xf>
    <xf numFmtId="0" fontId="117" fillId="6" borderId="7" xfId="0" applyFont="1" applyFill="1" applyBorder="1" applyAlignment="1" applyProtection="1">
      <alignment vertical="center" wrapText="1"/>
    </xf>
    <xf numFmtId="0" fontId="180" fillId="6" borderId="1" xfId="0" applyFont="1" applyFill="1" applyBorder="1" applyAlignment="1">
      <alignment horizontal="center" vertical="center" wrapText="1"/>
    </xf>
    <xf numFmtId="49" fontId="60" fillId="6" borderId="18" xfId="0" applyNumberFormat="1"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177" fontId="62" fillId="6" borderId="0" xfId="0" applyNumberFormat="1" applyFont="1" applyFill="1" applyBorder="1" applyAlignment="1" applyProtection="1">
      <alignment horizontal="center" vertical="center" wrapText="1"/>
    </xf>
    <xf numFmtId="10" fontId="61" fillId="6" borderId="0" xfId="0" applyNumberFormat="1" applyFont="1" applyFill="1" applyBorder="1" applyAlignment="1" applyProtection="1">
      <alignment horizontal="center" vertical="center" wrapText="1"/>
    </xf>
    <xf numFmtId="0" fontId="55" fillId="6" borderId="0" xfId="0" applyFont="1" applyFill="1" applyBorder="1" applyAlignment="1" applyProtection="1">
      <alignment horizontal="left" vertical="center"/>
    </xf>
    <xf numFmtId="0" fontId="180" fillId="6" borderId="1" xfId="0" applyFont="1" applyFill="1" applyBorder="1" applyAlignment="1">
      <alignment vertical="center" wrapText="1"/>
    </xf>
    <xf numFmtId="0" fontId="55" fillId="6" borderId="0" xfId="2" applyFont="1" applyFill="1" applyBorder="1" applyAlignment="1" applyProtection="1">
      <alignment horizontal="left" vertical="center" wrapText="1"/>
    </xf>
    <xf numFmtId="0" fontId="109" fillId="0" borderId="0" xfId="0" applyFont="1" applyFill="1" applyProtection="1">
      <alignment vertical="center"/>
    </xf>
    <xf numFmtId="0" fontId="109" fillId="7" borderId="0" xfId="0" applyFont="1" applyFill="1" applyProtection="1">
      <alignment vertical="center"/>
      <protection locked="0"/>
    </xf>
    <xf numFmtId="0" fontId="109" fillId="7" borderId="0" xfId="0" applyFont="1" applyFill="1" applyProtection="1">
      <alignment vertical="center"/>
    </xf>
    <xf numFmtId="0" fontId="109" fillId="6" borderId="0" xfId="2" applyFont="1" applyFill="1" applyAlignment="1" applyProtection="1">
      <alignment vertical="center" wrapText="1"/>
      <protection locked="0"/>
    </xf>
    <xf numFmtId="0" fontId="52" fillId="2" borderId="1" xfId="2" applyFont="1" applyFill="1" applyBorder="1" applyAlignment="1" applyProtection="1">
      <alignment horizontal="center" vertical="center" wrapText="1"/>
      <protection locked="0"/>
    </xf>
    <xf numFmtId="0" fontId="109" fillId="6" borderId="0" xfId="0" applyFont="1" applyFill="1" applyProtection="1">
      <alignment vertical="center"/>
      <protection locked="0"/>
    </xf>
    <xf numFmtId="0" fontId="55" fillId="2" borderId="54" xfId="0" applyFont="1" applyFill="1" applyBorder="1" applyAlignment="1" applyProtection="1">
      <alignment horizontal="left" vertical="center" wrapText="1"/>
      <protection locked="0"/>
    </xf>
    <xf numFmtId="0" fontId="109" fillId="6" borderId="0" xfId="2" applyFont="1" applyFill="1" applyProtection="1">
      <protection locked="0"/>
    </xf>
    <xf numFmtId="49" fontId="60" fillId="6" borderId="23" xfId="0" applyNumberFormat="1" applyFont="1" applyFill="1" applyBorder="1" applyAlignment="1" applyProtection="1">
      <alignment vertical="center" wrapText="1"/>
    </xf>
    <xf numFmtId="49" fontId="60" fillId="6" borderId="25" xfId="0" applyNumberFormat="1" applyFont="1" applyFill="1" applyBorder="1" applyAlignment="1" applyProtection="1">
      <alignment vertical="center" wrapText="1"/>
    </xf>
    <xf numFmtId="10" fontId="55" fillId="2" borderId="48" xfId="0" applyNumberFormat="1" applyFont="1" applyFill="1" applyBorder="1" applyAlignment="1" applyProtection="1">
      <alignment horizontal="left" vertical="center" wrapText="1"/>
      <protection locked="0"/>
    </xf>
    <xf numFmtId="10" fontId="55" fillId="5" borderId="48" xfId="0" applyNumberFormat="1" applyFont="1" applyFill="1" applyBorder="1" applyAlignment="1" applyProtection="1">
      <alignment horizontal="left" vertical="center" wrapText="1"/>
      <protection locked="0"/>
    </xf>
    <xf numFmtId="0" fontId="109" fillId="0" borderId="23" xfId="0" applyFont="1" applyFill="1" applyBorder="1" applyProtection="1">
      <alignment vertical="center"/>
      <protection locked="0"/>
    </xf>
    <xf numFmtId="0" fontId="138" fillId="6" borderId="1" xfId="0" applyFont="1" applyFill="1" applyBorder="1" applyAlignment="1" applyProtection="1">
      <alignment vertical="center" wrapText="1"/>
    </xf>
    <xf numFmtId="0" fontId="115" fillId="6" borderId="1" xfId="0" applyFont="1" applyFill="1" applyBorder="1" applyAlignment="1" applyProtection="1">
      <alignment vertical="center" wrapText="1"/>
    </xf>
    <xf numFmtId="0" fontId="138" fillId="6" borderId="5" xfId="0" applyFont="1" applyFill="1" applyBorder="1" applyAlignment="1" applyProtection="1">
      <alignment vertical="center" wrapText="1"/>
    </xf>
    <xf numFmtId="0" fontId="138" fillId="6" borderId="33" xfId="0" applyFont="1" applyFill="1" applyBorder="1" applyAlignment="1" applyProtection="1">
      <alignment vertical="center" wrapText="1"/>
    </xf>
    <xf numFmtId="0" fontId="52" fillId="6" borderId="23" xfId="0" applyFont="1" applyFill="1" applyBorder="1" applyAlignment="1" applyProtection="1">
      <alignment horizontal="left" vertical="center"/>
    </xf>
    <xf numFmtId="0" fontId="138" fillId="6" borderId="32" xfId="0" applyFont="1" applyFill="1" applyBorder="1" applyAlignment="1" applyProtection="1">
      <alignment vertical="center" wrapText="1"/>
    </xf>
    <xf numFmtId="0" fontId="52" fillId="6" borderId="1" xfId="0" applyFont="1" applyFill="1" applyBorder="1" applyAlignment="1" applyProtection="1">
      <alignment horizontal="center" vertical="center" wrapText="1"/>
      <protection locked="0"/>
    </xf>
    <xf numFmtId="0" fontId="145" fillId="0" borderId="46" xfId="0" applyFont="1" applyBorder="1" applyAlignment="1" applyProtection="1">
      <alignment horizontal="left" vertical="center"/>
    </xf>
    <xf numFmtId="0" fontId="55" fillId="0" borderId="36" xfId="0" applyFont="1" applyBorder="1" applyAlignment="1" applyProtection="1">
      <alignment horizontal="left" vertical="center" wrapText="1"/>
    </xf>
    <xf numFmtId="0" fontId="64" fillId="5" borderId="36" xfId="0" applyFont="1" applyFill="1" applyBorder="1" applyAlignment="1" applyProtection="1">
      <alignment horizontal="left" vertical="center" wrapText="1"/>
      <protection locked="0"/>
    </xf>
    <xf numFmtId="0" fontId="55" fillId="7" borderId="36" xfId="0" applyFont="1" applyFill="1" applyBorder="1" applyAlignment="1" applyProtection="1">
      <alignment horizontal="center" vertical="center" wrapText="1"/>
    </xf>
    <xf numFmtId="0" fontId="55" fillId="7" borderId="36" xfId="0" applyFont="1" applyFill="1" applyBorder="1" applyAlignment="1" applyProtection="1">
      <alignment horizontal="center" vertical="center"/>
    </xf>
    <xf numFmtId="0" fontId="55" fillId="7" borderId="22" xfId="0" applyFont="1" applyFill="1" applyBorder="1" applyProtection="1">
      <alignment vertical="center"/>
    </xf>
    <xf numFmtId="0" fontId="55" fillId="7" borderId="58" xfId="0" applyFont="1" applyFill="1" applyBorder="1" applyAlignment="1" applyProtection="1">
      <alignment horizontal="left" vertical="center" wrapText="1"/>
      <protection locked="0"/>
    </xf>
    <xf numFmtId="0" fontId="55" fillId="7" borderId="0" xfId="0" applyFont="1" applyFill="1" applyBorder="1" applyAlignment="1" applyProtection="1">
      <alignment horizontal="left" vertical="center" wrapText="1"/>
      <protection locked="0"/>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horizontal="center" vertical="center"/>
      <protection locked="0"/>
    </xf>
    <xf numFmtId="0" fontId="55" fillId="7" borderId="35" xfId="0" applyFont="1" applyFill="1" applyBorder="1" applyProtection="1">
      <alignment vertical="center"/>
      <protection locked="0"/>
    </xf>
    <xf numFmtId="0" fontId="55" fillId="7" borderId="4" xfId="0" applyFont="1" applyFill="1" applyBorder="1" applyAlignment="1" applyProtection="1">
      <alignment horizontal="left" vertical="center" wrapText="1"/>
      <protection locked="0"/>
    </xf>
    <xf numFmtId="0" fontId="55" fillId="7" borderId="60" xfId="0" applyFont="1" applyFill="1" applyBorder="1" applyAlignment="1" applyProtection="1">
      <alignment horizontal="left" vertical="center" wrapText="1"/>
      <protection locked="0"/>
    </xf>
    <xf numFmtId="0" fontId="55" fillId="7" borderId="60" xfId="0" applyFont="1" applyFill="1" applyBorder="1" applyAlignment="1" applyProtection="1">
      <alignment horizontal="center" vertical="center" wrapText="1"/>
      <protection locked="0"/>
    </xf>
    <xf numFmtId="0" fontId="55" fillId="7" borderId="60" xfId="0" applyFont="1" applyFill="1" applyBorder="1" applyAlignment="1" applyProtection="1">
      <alignment horizontal="center" vertical="center"/>
      <protection locked="0"/>
    </xf>
    <xf numFmtId="0" fontId="55" fillId="7" borderId="7" xfId="0" applyFont="1" applyFill="1" applyBorder="1" applyProtection="1">
      <alignment vertical="center"/>
      <protection locked="0"/>
    </xf>
    <xf numFmtId="0" fontId="60" fillId="7" borderId="60" xfId="0" applyFont="1" applyFill="1" applyBorder="1" applyAlignment="1" applyProtection="1">
      <alignment horizontal="left" vertical="center"/>
      <protection locked="0"/>
    </xf>
    <xf numFmtId="0" fontId="55" fillId="7" borderId="60" xfId="0" applyFont="1" applyFill="1" applyBorder="1" applyProtection="1">
      <alignment vertical="center"/>
      <protection locked="0"/>
    </xf>
    <xf numFmtId="0" fontId="55" fillId="7" borderId="60" xfId="0" applyFont="1" applyFill="1" applyBorder="1" applyAlignment="1" applyProtection="1">
      <alignment horizontal="right" vertical="center"/>
      <protection locked="0"/>
    </xf>
    <xf numFmtId="0" fontId="60" fillId="7" borderId="0" xfId="0" applyFont="1" applyFill="1" applyAlignment="1" applyProtection="1">
      <alignment horizontal="left" vertical="center"/>
      <protection locked="0"/>
    </xf>
    <xf numFmtId="2" fontId="55" fillId="7" borderId="0" xfId="0" applyNumberFormat="1" applyFont="1" applyFill="1" applyAlignment="1" applyProtection="1">
      <alignment vertical="center" wrapText="1"/>
      <protection locked="0"/>
    </xf>
    <xf numFmtId="0" fontId="60" fillId="7" borderId="0" xfId="0" applyFont="1" applyFill="1" applyAlignment="1" applyProtection="1">
      <alignment vertical="center" wrapText="1"/>
      <protection locked="0"/>
    </xf>
    <xf numFmtId="0" fontId="62" fillId="5" borderId="5" xfId="1" applyFont="1" applyFill="1" applyBorder="1" applyAlignment="1" applyProtection="1">
      <alignment vertical="center"/>
      <protection locked="0"/>
    </xf>
    <xf numFmtId="0" fontId="65" fillId="6" borderId="3" xfId="1" applyFont="1" applyFill="1" applyBorder="1" applyAlignment="1" applyProtection="1">
      <alignment vertical="center"/>
    </xf>
    <xf numFmtId="0" fontId="65" fillId="5" borderId="1" xfId="1" applyFont="1" applyFill="1" applyBorder="1" applyAlignment="1" applyProtection="1">
      <alignment vertical="center"/>
      <protection locked="0"/>
    </xf>
    <xf numFmtId="0" fontId="62" fillId="5" borderId="24" xfId="1" applyFont="1" applyFill="1" applyBorder="1" applyAlignment="1" applyProtection="1">
      <alignment horizontal="left" vertical="center"/>
      <protection locked="0"/>
    </xf>
    <xf numFmtId="0" fontId="153" fillId="5" borderId="24" xfId="1" applyFont="1" applyFill="1" applyBorder="1" applyAlignment="1" applyProtection="1">
      <alignment horizontal="right" vertical="center"/>
      <protection locked="0"/>
    </xf>
    <xf numFmtId="0" fontId="153" fillId="3" borderId="0" xfId="0" applyFont="1" applyFill="1" applyAlignment="1" applyProtection="1">
      <alignment vertical="center"/>
      <protection locked="0"/>
    </xf>
    <xf numFmtId="0" fontId="145" fillId="6" borderId="19" xfId="1" applyFont="1" applyFill="1" applyBorder="1" applyAlignment="1" applyProtection="1">
      <alignment vertical="center"/>
    </xf>
    <xf numFmtId="186" fontId="55" fillId="5" borderId="1" xfId="0" applyNumberFormat="1" applyFont="1" applyFill="1" applyBorder="1" applyAlignment="1" applyProtection="1">
      <alignment horizontal="center" vertical="center" wrapText="1"/>
      <protection locked="0"/>
    </xf>
    <xf numFmtId="49" fontId="55" fillId="6" borderId="11" xfId="0" applyNumberFormat="1" applyFont="1" applyFill="1" applyBorder="1" applyAlignment="1" applyProtection="1">
      <alignment horizontal="center" vertical="center"/>
    </xf>
    <xf numFmtId="0" fontId="153" fillId="5" borderId="5" xfId="1" applyFont="1" applyFill="1" applyBorder="1" applyAlignment="1" applyProtection="1">
      <alignment horizontal="right" vertical="center"/>
      <protection locked="0"/>
    </xf>
    <xf numFmtId="0" fontId="60" fillId="6" borderId="54" xfId="0" applyFont="1" applyFill="1" applyBorder="1" applyAlignment="1" applyProtection="1">
      <alignment vertical="center"/>
    </xf>
    <xf numFmtId="0" fontId="55" fillId="6" borderId="5" xfId="0" applyFont="1" applyFill="1" applyBorder="1" applyAlignment="1" applyProtection="1"/>
    <xf numFmtId="0" fontId="54" fillId="6" borderId="1" xfId="1" applyFont="1" applyFill="1" applyBorder="1" applyAlignment="1" applyProtection="1">
      <alignment vertical="center" wrapText="1"/>
    </xf>
    <xf numFmtId="49" fontId="55" fillId="6" borderId="25" xfId="0" applyNumberFormat="1" applyFont="1" applyFill="1" applyBorder="1" applyAlignment="1" applyProtection="1">
      <alignment horizontal="center" vertical="center"/>
    </xf>
    <xf numFmtId="49" fontId="112" fillId="6" borderId="51" xfId="0" applyNumberFormat="1" applyFont="1" applyFill="1" applyBorder="1" applyAlignment="1" applyProtection="1"/>
    <xf numFmtId="0" fontId="109" fillId="6" borderId="19" xfId="0" applyFont="1" applyFill="1" applyBorder="1">
      <alignment vertical="center"/>
    </xf>
    <xf numFmtId="0" fontId="109" fillId="6" borderId="31" xfId="0" applyFont="1" applyFill="1" applyBorder="1">
      <alignment vertical="center"/>
    </xf>
    <xf numFmtId="0" fontId="65" fillId="6" borderId="23" xfId="1" applyFont="1" applyFill="1" applyBorder="1" applyAlignment="1" applyProtection="1">
      <alignment vertical="center"/>
    </xf>
    <xf numFmtId="0" fontId="109" fillId="6" borderId="5" xfId="0" applyFont="1" applyFill="1" applyBorder="1">
      <alignment vertical="center"/>
    </xf>
    <xf numFmtId="0" fontId="109" fillId="6" borderId="3" xfId="0" applyFont="1" applyFill="1" applyBorder="1">
      <alignment vertical="center"/>
    </xf>
    <xf numFmtId="0" fontId="226" fillId="6" borderId="1" xfId="0" applyFont="1" applyFill="1" applyBorder="1">
      <alignment vertical="center"/>
    </xf>
    <xf numFmtId="0" fontId="109" fillId="6" borderId="24" xfId="0" applyFont="1" applyFill="1" applyBorder="1" applyProtection="1">
      <alignment vertical="center"/>
    </xf>
    <xf numFmtId="0" fontId="109" fillId="6" borderId="0" xfId="0" applyFont="1" applyFill="1" applyBorder="1">
      <alignment vertical="center"/>
    </xf>
    <xf numFmtId="0" fontId="109" fillId="6" borderId="56" xfId="0" applyFont="1" applyFill="1" applyBorder="1" applyProtection="1">
      <alignment vertical="center"/>
    </xf>
    <xf numFmtId="0" fontId="65" fillId="6" borderId="18" xfId="1" applyFont="1" applyFill="1" applyBorder="1" applyAlignment="1" applyProtection="1">
      <alignment vertical="center"/>
    </xf>
    <xf numFmtId="0" fontId="226" fillId="6" borderId="23" xfId="0" applyFont="1" applyFill="1" applyBorder="1" applyAlignment="1">
      <alignment horizontal="center" vertical="center"/>
    </xf>
    <xf numFmtId="0" fontId="226" fillId="6" borderId="0" xfId="0" applyFont="1" applyFill="1" applyBorder="1">
      <alignment vertical="center"/>
    </xf>
    <xf numFmtId="0" fontId="226" fillId="6" borderId="5" xfId="0" applyFont="1" applyFill="1" applyBorder="1" applyAlignment="1" applyProtection="1">
      <alignment horizontal="center" vertical="center"/>
    </xf>
    <xf numFmtId="0" fontId="109" fillId="6" borderId="1" xfId="0" applyFont="1" applyFill="1" applyBorder="1" applyAlignment="1">
      <alignment horizontal="center" vertical="center"/>
    </xf>
    <xf numFmtId="0" fontId="109" fillId="6" borderId="23" xfId="0" applyFont="1" applyFill="1" applyBorder="1" applyAlignment="1">
      <alignment horizontal="center" vertical="center"/>
    </xf>
    <xf numFmtId="0" fontId="109" fillId="6" borderId="5" xfId="0" applyFont="1" applyFill="1" applyBorder="1" applyProtection="1">
      <alignment vertical="center"/>
    </xf>
    <xf numFmtId="0" fontId="109" fillId="5" borderId="1" xfId="0" applyFont="1" applyFill="1" applyBorder="1" applyAlignment="1" applyProtection="1">
      <alignment horizontal="center" vertical="center"/>
      <protection locked="0"/>
    </xf>
    <xf numFmtId="0" fontId="109" fillId="6" borderId="25" xfId="0" applyFont="1" applyFill="1" applyBorder="1" applyAlignment="1">
      <alignment horizontal="center" vertical="center"/>
    </xf>
    <xf numFmtId="0" fontId="109" fillId="6" borderId="66" xfId="0" applyFont="1" applyFill="1" applyBorder="1">
      <alignment vertical="center"/>
    </xf>
    <xf numFmtId="0" fontId="109" fillId="6" borderId="47" xfId="0" applyFont="1" applyFill="1" applyBorder="1">
      <alignment vertical="center"/>
    </xf>
    <xf numFmtId="0" fontId="70" fillId="6" borderId="85" xfId="0" applyFont="1" applyFill="1" applyBorder="1" applyAlignment="1" applyProtection="1">
      <alignment horizontal="right" vertical="center"/>
    </xf>
    <xf numFmtId="0" fontId="70" fillId="5" borderId="119" xfId="0" applyFont="1" applyFill="1" applyBorder="1" applyAlignment="1" applyProtection="1">
      <alignment vertical="center"/>
      <protection locked="0"/>
    </xf>
    <xf numFmtId="0" fontId="70" fillId="5" borderId="78" xfId="0" applyFont="1" applyFill="1" applyBorder="1" applyAlignment="1" applyProtection="1">
      <alignment horizontal="center" vertical="center"/>
      <protection locked="0"/>
    </xf>
    <xf numFmtId="0" fontId="70" fillId="6" borderId="89" xfId="0" applyFont="1" applyFill="1" applyBorder="1" applyAlignment="1" applyProtection="1">
      <alignment horizontal="center" vertical="center"/>
    </xf>
    <xf numFmtId="0" fontId="62" fillId="5" borderId="4" xfId="1" applyFont="1" applyFill="1" applyBorder="1" applyAlignment="1" applyProtection="1">
      <alignment vertical="center"/>
      <protection locked="0"/>
    </xf>
    <xf numFmtId="0" fontId="65" fillId="6" borderId="7" xfId="1" applyFont="1" applyFill="1" applyBorder="1" applyAlignment="1" applyProtection="1">
      <alignment vertical="center"/>
      <protection locked="0"/>
    </xf>
    <xf numFmtId="0" fontId="65" fillId="5" borderId="2" xfId="1"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0" fontId="254" fillId="6" borderId="0" xfId="0" applyFont="1" applyFill="1" applyBorder="1" applyAlignment="1" applyProtection="1">
      <alignment vertical="center"/>
      <protection locked="0"/>
    </xf>
    <xf numFmtId="189" fontId="52" fillId="6" borderId="21" xfId="0" applyNumberFormat="1" applyFont="1" applyFill="1" applyBorder="1" applyAlignment="1" applyProtection="1">
      <alignment horizontal="center" vertical="center" wrapText="1"/>
    </xf>
    <xf numFmtId="189" fontId="52" fillId="6" borderId="48" xfId="0" applyNumberFormat="1" applyFont="1" applyFill="1" applyBorder="1" applyAlignment="1" applyProtection="1">
      <alignment horizontal="center" vertical="center" wrapText="1"/>
    </xf>
    <xf numFmtId="0" fontId="52" fillId="6" borderId="48" xfId="0" applyNumberFormat="1" applyFont="1" applyFill="1" applyBorder="1" applyAlignment="1" applyProtection="1">
      <alignment horizontal="center" vertical="center" wrapText="1"/>
    </xf>
    <xf numFmtId="49" fontId="52" fillId="2" borderId="70" xfId="0" applyNumberFormat="1"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66" fillId="6" borderId="48" xfId="0" applyNumberFormat="1" applyFont="1" applyFill="1" applyBorder="1" applyAlignment="1" applyProtection="1">
      <alignment horizontal="center" vertical="center" wrapText="1"/>
    </xf>
    <xf numFmtId="0" fontId="52" fillId="0" borderId="33"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2" borderId="41" xfId="0" applyNumberFormat="1" applyFont="1" applyFill="1" applyBorder="1" applyAlignment="1" applyProtection="1">
      <alignment horizontal="center" vertical="center" wrapText="1"/>
      <protection locked="0"/>
    </xf>
    <xf numFmtId="49" fontId="59" fillId="2" borderId="7" xfId="0" applyNumberFormat="1" applyFont="1" applyFill="1" applyBorder="1" applyAlignment="1" applyProtection="1">
      <alignment horizontal="center" vertical="center" wrapText="1"/>
      <protection locked="0"/>
    </xf>
    <xf numFmtId="0" fontId="66" fillId="6" borderId="50" xfId="0" applyNumberFormat="1" applyFont="1" applyFill="1" applyBorder="1" applyAlignment="1" applyProtection="1">
      <alignment horizontal="center" vertical="center" wrapText="1"/>
    </xf>
    <xf numFmtId="0" fontId="59" fillId="6" borderId="11" xfId="0" applyNumberFormat="1" applyFont="1" applyFill="1" applyBorder="1" applyAlignment="1" applyProtection="1">
      <alignment horizontal="center" vertical="center" wrapText="1"/>
    </xf>
    <xf numFmtId="0" fontId="59" fillId="2" borderId="14" xfId="0" applyNumberFormat="1" applyFont="1" applyFill="1" applyBorder="1" applyAlignment="1" applyProtection="1">
      <alignment horizontal="center" vertical="center" wrapText="1"/>
      <protection locked="0"/>
    </xf>
    <xf numFmtId="49" fontId="59" fillId="2" borderId="14" xfId="0" applyNumberFormat="1" applyFont="1" applyFill="1" applyBorder="1" applyAlignment="1" applyProtection="1">
      <alignment horizontal="center" vertical="center" wrapText="1"/>
      <protection locked="0"/>
    </xf>
    <xf numFmtId="49" fontId="59" fillId="2" borderId="35" xfId="0" applyNumberFormat="1" applyFont="1" applyFill="1" applyBorder="1" applyAlignment="1" applyProtection="1">
      <alignment horizontal="center" vertical="center" wrapText="1"/>
      <protection locked="0"/>
    </xf>
    <xf numFmtId="0" fontId="59" fillId="2" borderId="7"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horizontal="center" vertical="center" wrapText="1"/>
    </xf>
    <xf numFmtId="49" fontId="59" fillId="2" borderId="23" xfId="0" applyNumberFormat="1" applyFont="1" applyFill="1" applyBorder="1" applyAlignment="1" applyProtection="1">
      <alignment horizontal="center" vertical="center" wrapText="1"/>
      <protection locked="0"/>
    </xf>
    <xf numFmtId="49" fontId="59" fillId="2" borderId="3" xfId="0" applyNumberFormat="1" applyFont="1" applyFill="1" applyBorder="1" applyAlignment="1" applyProtection="1">
      <alignment horizontal="center" vertical="center" wrapText="1"/>
      <protection locked="0"/>
    </xf>
    <xf numFmtId="0" fontId="59" fillId="0" borderId="54"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2" borderId="6" xfId="0" applyFont="1" applyFill="1" applyBorder="1" applyAlignment="1" applyProtection="1">
      <alignment horizontal="center" vertical="center" wrapText="1"/>
      <protection locked="0"/>
    </xf>
    <xf numFmtId="0" fontId="59" fillId="2" borderId="30" xfId="0" applyFont="1" applyFill="1" applyBorder="1" applyAlignment="1" applyProtection="1">
      <alignment horizontal="center" vertical="center" wrapText="1"/>
      <protection locked="0"/>
    </xf>
    <xf numFmtId="0" fontId="59" fillId="2" borderId="23"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wrapText="1"/>
      <protection locked="0"/>
    </xf>
    <xf numFmtId="189" fontId="59" fillId="6" borderId="48" xfId="0" applyNumberFormat="1" applyFont="1" applyFill="1" applyBorder="1" applyAlignment="1" applyProtection="1">
      <alignment horizontal="center" vertical="center"/>
    </xf>
    <xf numFmtId="189" fontId="59" fillId="6" borderId="48" xfId="0" applyNumberFormat="1" applyFont="1" applyFill="1" applyBorder="1" applyAlignment="1" applyProtection="1">
      <alignment horizontal="center" vertical="center" wrapText="1"/>
    </xf>
    <xf numFmtId="189" fontId="59" fillId="6" borderId="49" xfId="0" applyNumberFormat="1" applyFont="1" applyFill="1" applyBorder="1" applyAlignment="1" applyProtection="1">
      <alignment horizontal="center" vertical="center" wrapText="1"/>
    </xf>
    <xf numFmtId="0" fontId="59" fillId="0" borderId="18"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center"/>
      <protection locked="0"/>
    </xf>
    <xf numFmtId="0" fontId="59" fillId="0" borderId="18" xfId="0" applyFont="1" applyBorder="1" applyAlignment="1" applyProtection="1">
      <protection locked="0"/>
    </xf>
    <xf numFmtId="0" fontId="54" fillId="6" borderId="0" xfId="0" applyNumberFormat="1" applyFont="1" applyFill="1" applyBorder="1" applyAlignment="1" applyProtection="1">
      <alignment vertical="center" wrapText="1"/>
    </xf>
    <xf numFmtId="9" fontId="52" fillId="0" borderId="18" xfId="0" applyNumberFormat="1" applyFont="1" applyFill="1" applyBorder="1" applyAlignment="1" applyProtection="1">
      <alignment horizontal="center" vertical="center" wrapText="1"/>
      <protection locked="0"/>
    </xf>
    <xf numFmtId="0" fontId="109" fillId="0" borderId="18" xfId="0" applyFont="1" applyFill="1" applyBorder="1" applyAlignment="1" applyProtection="1">
      <alignment vertical="center"/>
      <protection locked="0"/>
    </xf>
    <xf numFmtId="0" fontId="52" fillId="0" borderId="18" xfId="0" applyFont="1" applyFill="1" applyBorder="1" applyAlignment="1" applyProtection="1">
      <alignment horizontal="center" vertical="center" wrapText="1"/>
      <protection locked="0"/>
    </xf>
    <xf numFmtId="0" fontId="57" fillId="0" borderId="18" xfId="0" applyFont="1" applyFill="1" applyBorder="1" applyAlignment="1" applyProtection="1">
      <alignment horizontal="center" vertical="center" wrapText="1"/>
      <protection locked="0"/>
    </xf>
    <xf numFmtId="0" fontId="57"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vertical="center" wrapText="1"/>
      <protection locked="0"/>
    </xf>
    <xf numFmtId="0" fontId="52" fillId="0" borderId="18" xfId="0" applyFont="1" applyFill="1" applyBorder="1" applyAlignment="1" applyProtection="1">
      <alignment vertical="center" wrapText="1"/>
      <protection locked="0"/>
    </xf>
    <xf numFmtId="0" fontId="52" fillId="0" borderId="83" xfId="0" applyNumberFormat="1" applyFont="1" applyFill="1" applyBorder="1" applyAlignment="1" applyProtection="1">
      <alignment horizontal="center" vertical="center"/>
      <protection locked="0"/>
    </xf>
    <xf numFmtId="0" fontId="58" fillId="6" borderId="12" xfId="0" applyNumberFormat="1" applyFont="1" applyFill="1" applyBorder="1" applyAlignment="1" applyProtection="1">
      <alignment vertical="center" wrapText="1"/>
    </xf>
    <xf numFmtId="0" fontId="111" fillId="0" borderId="0" xfId="0" applyFont="1" applyFill="1" applyAlignment="1" applyProtection="1">
      <alignment horizontal="left" vertical="center"/>
      <protection locked="0"/>
    </xf>
    <xf numFmtId="0" fontId="109" fillId="6" borderId="16" xfId="0" applyFont="1" applyFill="1" applyBorder="1" applyAlignment="1" applyProtection="1">
      <alignment horizontal="center" vertical="center"/>
    </xf>
    <xf numFmtId="0" fontId="66" fillId="6" borderId="19"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109" fillId="6" borderId="19" xfId="0" applyFont="1" applyFill="1" applyBorder="1" applyAlignment="1" applyProtection="1">
      <alignment horizontal="center" vertical="center"/>
    </xf>
    <xf numFmtId="0" fontId="66" fillId="6" borderId="31" xfId="0" applyFont="1" applyFill="1" applyBorder="1" applyAlignment="1" applyProtection="1">
      <alignment horizontal="center" vertical="center"/>
    </xf>
    <xf numFmtId="0" fontId="66" fillId="6" borderId="69" xfId="0" applyFont="1" applyFill="1" applyBorder="1" applyProtection="1">
      <alignment vertical="center"/>
    </xf>
    <xf numFmtId="0" fontId="109" fillId="6" borderId="5" xfId="0" applyFont="1" applyFill="1" applyBorder="1" applyAlignment="1" applyProtection="1">
      <alignment horizontal="center" vertical="center"/>
    </xf>
    <xf numFmtId="0" fontId="109" fillId="6" borderId="93" xfId="0" applyFont="1" applyFill="1" applyBorder="1" applyAlignment="1" applyProtection="1">
      <alignment horizontal="center" vertical="center"/>
    </xf>
    <xf numFmtId="0" fontId="66" fillId="6" borderId="60"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6" borderId="7" xfId="0" applyFont="1" applyFill="1" applyBorder="1" applyAlignment="1" applyProtection="1">
      <alignment horizontal="center" vertical="center"/>
    </xf>
    <xf numFmtId="0" fontId="109" fillId="6" borderId="3" xfId="0" applyFont="1" applyFill="1" applyBorder="1" applyAlignment="1" applyProtection="1">
      <alignment horizontal="center" vertical="center"/>
    </xf>
    <xf numFmtId="0" fontId="109" fillId="0" borderId="1" xfId="0" applyFont="1" applyBorder="1" applyAlignment="1" applyProtection="1">
      <alignment horizontal="center" vertical="center"/>
      <protection locked="0"/>
    </xf>
    <xf numFmtId="0" fontId="109" fillId="6" borderId="25" xfId="0" applyFont="1" applyFill="1" applyBorder="1" applyAlignment="1" applyProtection="1">
      <alignment horizontal="center" vertical="center"/>
    </xf>
    <xf numFmtId="0" fontId="66" fillId="6" borderId="95" xfId="0" applyFont="1" applyFill="1" applyBorder="1" applyAlignment="1" applyProtection="1">
      <alignment horizontal="left" vertical="center"/>
    </xf>
    <xf numFmtId="0" fontId="59" fillId="6" borderId="47" xfId="0" applyFont="1" applyFill="1" applyBorder="1" applyAlignment="1" applyProtection="1">
      <alignment horizontal="center" vertical="center"/>
    </xf>
    <xf numFmtId="0" fontId="59" fillId="6" borderId="43" xfId="0" applyFont="1" applyFill="1" applyBorder="1" applyAlignment="1" applyProtection="1">
      <alignment horizontal="center" vertical="center"/>
    </xf>
    <xf numFmtId="0" fontId="109" fillId="6" borderId="66" xfId="0" applyFont="1" applyFill="1" applyBorder="1" applyAlignment="1" applyProtection="1">
      <alignment horizontal="center" vertical="center"/>
    </xf>
    <xf numFmtId="0" fontId="70" fillId="5" borderId="119" xfId="0" applyFont="1" applyFill="1" applyBorder="1" applyAlignment="1" applyProtection="1">
      <alignment vertical="center"/>
    </xf>
    <xf numFmtId="0" fontId="70" fillId="6" borderId="89" xfId="0" applyFont="1" applyFill="1" applyBorder="1" applyAlignment="1" applyProtection="1">
      <alignment horizontal="center" vertical="center"/>
      <protection locked="0"/>
    </xf>
    <xf numFmtId="0" fontId="70" fillId="6" borderId="87" xfId="0" applyFont="1" applyFill="1" applyBorder="1" applyAlignment="1" applyProtection="1">
      <alignment horizontal="center" vertical="center"/>
      <protection locked="0"/>
    </xf>
    <xf numFmtId="0" fontId="71" fillId="6" borderId="87" xfId="0" applyFont="1" applyFill="1" applyBorder="1" applyAlignment="1" applyProtection="1">
      <alignment horizontal="center" vertical="center"/>
      <protection locked="0"/>
    </xf>
    <xf numFmtId="0" fontId="70" fillId="6" borderId="18"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71" fillId="6" borderId="0" xfId="0" applyFont="1" applyFill="1" applyAlignment="1" applyProtection="1">
      <alignment horizontal="center" vertical="center"/>
      <protection locked="0"/>
    </xf>
    <xf numFmtId="49" fontId="59" fillId="6" borderId="11"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59" fillId="6" borderId="18" xfId="0" applyFont="1" applyFill="1" applyBorder="1" applyAlignment="1" applyProtection="1"/>
    <xf numFmtId="9" fontId="52" fillId="6" borderId="0" xfId="0" applyNumberFormat="1" applyFont="1" applyFill="1" applyBorder="1" applyAlignment="1" applyProtection="1">
      <alignment horizontal="center" vertical="center" wrapText="1"/>
    </xf>
    <xf numFmtId="0" fontId="70" fillId="6" borderId="88" xfId="0" applyFont="1" applyFill="1" applyBorder="1" applyAlignment="1" applyProtection="1">
      <alignment horizontal="right" vertical="center"/>
    </xf>
    <xf numFmtId="0" fontId="59" fillId="6" borderId="17" xfId="0"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0" borderId="7" xfId="0" applyNumberFormat="1" applyFont="1" applyFill="1" applyBorder="1" applyAlignment="1" applyProtection="1">
      <alignment horizontal="center" vertical="center" wrapText="1"/>
      <protection locked="0"/>
    </xf>
    <xf numFmtId="49" fontId="59" fillId="6" borderId="39" xfId="0" applyNumberFormat="1" applyFont="1" applyFill="1" applyBorder="1" applyAlignment="1" applyProtection="1">
      <alignment horizontal="center" vertical="center" wrapText="1"/>
    </xf>
    <xf numFmtId="0" fontId="59" fillId="6" borderId="24" xfId="0" applyNumberFormat="1" applyFont="1" applyFill="1" applyBorder="1" applyAlignment="1" applyProtection="1">
      <alignment horizontal="center" vertical="center"/>
    </xf>
    <xf numFmtId="0" fontId="59" fillId="6" borderId="22" xfId="0" applyNumberFormat="1" applyFont="1" applyFill="1" applyBorder="1" applyAlignment="1" applyProtection="1">
      <alignment horizontal="center" vertical="center" wrapText="1"/>
    </xf>
    <xf numFmtId="0" fontId="59"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2" fillId="0" borderId="24" xfId="0"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protection locked="0"/>
    </xf>
    <xf numFmtId="0" fontId="76" fillId="0" borderId="58" xfId="0" applyFont="1" applyFill="1" applyBorder="1" applyAlignment="1" applyProtection="1">
      <alignment horizontal="center" vertical="center"/>
      <protection locked="0"/>
    </xf>
    <xf numFmtId="0" fontId="59" fillId="0" borderId="58" xfId="0" applyFont="1" applyBorder="1" applyAlignment="1" applyProtection="1">
      <protection locked="0"/>
    </xf>
    <xf numFmtId="9" fontId="52" fillId="0" borderId="58" xfId="0" applyNumberFormat="1" applyFont="1" applyFill="1" applyBorder="1" applyAlignment="1" applyProtection="1">
      <alignment horizontal="center" vertical="center" wrapText="1"/>
      <protection locked="0"/>
    </xf>
    <xf numFmtId="0" fontId="109" fillId="0" borderId="58" xfId="0" applyFont="1" applyFill="1" applyBorder="1" applyAlignment="1" applyProtection="1">
      <alignment vertical="center"/>
      <protection locked="0"/>
    </xf>
    <xf numFmtId="0" fontId="52" fillId="0" borderId="58" xfId="0"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protection locked="0"/>
    </xf>
    <xf numFmtId="0" fontId="57" fillId="0" borderId="58" xfId="0" applyFont="1" applyFill="1" applyBorder="1" applyAlignment="1" applyProtection="1">
      <alignment vertical="center" wrapText="1"/>
      <protection locked="0"/>
    </xf>
    <xf numFmtId="0" fontId="52" fillId="0" borderId="58" xfId="0" applyFont="1" applyFill="1" applyBorder="1" applyAlignment="1" applyProtection="1">
      <alignment vertical="center" wrapText="1"/>
      <protection locked="0"/>
    </xf>
    <xf numFmtId="0" fontId="59" fillId="0" borderId="44" xfId="0" applyNumberFormat="1" applyFont="1" applyFill="1" applyBorder="1" applyAlignment="1" applyProtection="1">
      <alignment horizontal="left"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0" borderId="58" xfId="0"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9" fillId="6" borderId="40"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49" fontId="58" fillId="5" borderId="20" xfId="0" applyNumberFormat="1" applyFont="1" applyFill="1" applyBorder="1" applyAlignment="1" applyProtection="1">
      <alignment vertical="center"/>
      <protection locked="0"/>
    </xf>
    <xf numFmtId="184" fontId="52" fillId="0" borderId="26"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52" fillId="2" borderId="51"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9" fontId="52" fillId="2" borderId="37"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49" fontId="58" fillId="2" borderId="10" xfId="0" applyNumberFormat="1" applyFont="1" applyFill="1" applyBorder="1" applyAlignment="1" applyProtection="1">
      <alignment vertical="center"/>
      <protection locked="0"/>
    </xf>
    <xf numFmtId="0" fontId="59" fillId="5" borderId="9" xfId="0" applyFont="1" applyFill="1" applyBorder="1" applyAlignment="1" applyProtection="1">
      <alignment horizontal="center" vertical="center"/>
      <protection locked="0"/>
    </xf>
    <xf numFmtId="0" fontId="59" fillId="6" borderId="19" xfId="0" applyFont="1" applyFill="1" applyBorder="1" applyAlignment="1" applyProtection="1">
      <alignment horizontal="center" vertical="center" wrapText="1"/>
      <protection locked="0"/>
    </xf>
    <xf numFmtId="0" fontId="109" fillId="6" borderId="96" xfId="0" applyFont="1" applyFill="1" applyBorder="1" applyAlignment="1" applyProtection="1">
      <alignment horizontal="center" vertical="center"/>
    </xf>
    <xf numFmtId="0" fontId="111" fillId="6" borderId="0" xfId="0" applyFont="1" applyFill="1" applyAlignment="1" applyProtection="1">
      <alignment horizontal="left" vertical="center"/>
      <protection locked="0"/>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54" fillId="6" borderId="16" xfId="0" applyNumberFormat="1" applyFont="1" applyFill="1" applyBorder="1" applyAlignment="1" applyProtection="1">
      <alignment vertical="center"/>
    </xf>
    <xf numFmtId="0" fontId="54" fillId="5" borderId="23" xfId="0" applyNumberFormat="1" applyFont="1" applyFill="1" applyBorder="1" applyAlignment="1" applyProtection="1">
      <alignment horizontal="center" vertical="center" wrapText="1"/>
      <protection locked="0"/>
    </xf>
    <xf numFmtId="0" fontId="59" fillId="6" borderId="14" xfId="0" applyNumberFormat="1" applyFont="1" applyFill="1" applyBorder="1" applyAlignment="1" applyProtection="1">
      <alignment horizontal="center" vertical="center" wrapText="1"/>
    </xf>
    <xf numFmtId="0" fontId="59" fillId="0" borderId="24" xfId="0" applyFont="1" applyFill="1" applyBorder="1" applyAlignment="1" applyProtection="1">
      <alignment horizontal="center" vertical="center"/>
      <protection locked="0"/>
    </xf>
    <xf numFmtId="0" fontId="109" fillId="0" borderId="49"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61" fillId="6" borderId="0" xfId="0" applyFont="1" applyFill="1" applyAlignment="1" applyProtection="1">
      <alignment vertical="center" wrapText="1"/>
    </xf>
    <xf numFmtId="0" fontId="109" fillId="6" borderId="6" xfId="0" applyNumberFormat="1" applyFont="1" applyFill="1" applyBorder="1" applyAlignment="1" applyProtection="1">
      <alignment horizontal="center" vertical="center"/>
    </xf>
    <xf numFmtId="0" fontId="61" fillId="0" borderId="0" xfId="0" applyFont="1" applyAlignment="1" applyProtection="1">
      <alignment vertical="center" wrapText="1"/>
      <protection locked="0"/>
    </xf>
    <xf numFmtId="0" fontId="61" fillId="0" borderId="0" xfId="0" applyFont="1" applyAlignment="1" applyProtection="1">
      <alignment vertical="center" wrapText="1"/>
    </xf>
    <xf numFmtId="0" fontId="65" fillId="6" borderId="5" xfId="1" applyFont="1" applyFill="1" applyBorder="1" applyAlignment="1" applyProtection="1">
      <alignment vertical="center"/>
    </xf>
    <xf numFmtId="0" fontId="61" fillId="6" borderId="1" xfId="0" applyNumberFormat="1" applyFont="1" applyFill="1" applyBorder="1" applyAlignment="1" applyProtection="1">
      <alignment horizontal="left" vertical="center" wrapText="1"/>
    </xf>
    <xf numFmtId="0" fontId="61" fillId="5" borderId="1" xfId="0" applyNumberFormat="1" applyFont="1" applyFill="1" applyBorder="1" applyAlignment="1" applyProtection="1">
      <alignment horizontal="center" vertical="center" wrapText="1"/>
      <protection locked="0"/>
    </xf>
    <xf numFmtId="0" fontId="61" fillId="6" borderId="1" xfId="0" applyNumberFormat="1" applyFont="1" applyFill="1" applyBorder="1" applyAlignment="1" applyProtection="1">
      <alignment horizontal="center" vertical="center" wrapText="1"/>
    </xf>
    <xf numFmtId="0" fontId="61" fillId="6" borderId="0" xfId="0" applyNumberFormat="1" applyFont="1" applyFill="1" applyAlignment="1" applyProtection="1">
      <alignment vertical="center" wrapText="1"/>
    </xf>
    <xf numFmtId="0" fontId="109" fillId="6" borderId="23" xfId="0" applyNumberFormat="1" applyFont="1" applyFill="1" applyBorder="1" applyAlignment="1" applyProtection="1">
      <alignment horizontal="center" vertical="center"/>
    </xf>
    <xf numFmtId="0" fontId="61" fillId="5" borderId="1" xfId="0" applyNumberFormat="1" applyFont="1" applyFill="1" applyBorder="1" applyAlignment="1" applyProtection="1">
      <alignment vertical="center" wrapText="1"/>
      <protection locked="0"/>
    </xf>
    <xf numFmtId="0" fontId="61" fillId="5" borderId="1" xfId="0" applyFont="1" applyFill="1" applyBorder="1" applyAlignment="1" applyProtection="1">
      <alignment horizontal="left" vertical="center"/>
      <protection locked="0"/>
    </xf>
    <xf numFmtId="49" fontId="58" fillId="6" borderId="13" xfId="0" applyNumberFormat="1" applyFont="1" applyFill="1" applyBorder="1" applyAlignment="1" applyProtection="1">
      <alignment horizontal="left" vertical="center" wrapText="1"/>
    </xf>
    <xf numFmtId="0" fontId="58" fillId="6" borderId="13" xfId="0" applyFont="1" applyFill="1" applyBorder="1" applyAlignment="1" applyProtection="1">
      <alignment horizontal="left" vertical="center" wrapText="1"/>
    </xf>
    <xf numFmtId="0" fontId="58" fillId="6" borderId="36" xfId="0" applyFont="1" applyFill="1" applyBorder="1" applyAlignment="1" applyProtection="1">
      <alignment vertical="center" wrapText="1"/>
    </xf>
    <xf numFmtId="0" fontId="59" fillId="6" borderId="36" xfId="0" applyFont="1" applyFill="1" applyBorder="1" applyAlignment="1" applyProtection="1">
      <alignment vertical="center" wrapText="1"/>
    </xf>
    <xf numFmtId="0" fontId="59" fillId="6" borderId="22" xfId="0" applyFont="1" applyFill="1" applyBorder="1" applyAlignment="1" applyProtection="1">
      <alignment vertical="center" wrapText="1"/>
    </xf>
    <xf numFmtId="0" fontId="59" fillId="7" borderId="0" xfId="0" applyFont="1" applyFill="1" applyAlignment="1" applyProtection="1">
      <alignment vertical="center"/>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59" fillId="0" borderId="0" xfId="0" applyFont="1" applyAlignment="1" applyProtection="1">
      <alignment vertical="center" wrapText="1"/>
    </xf>
    <xf numFmtId="49" fontId="62" fillId="6" borderId="26" xfId="0" applyNumberFormat="1" applyFont="1" applyFill="1" applyBorder="1" applyAlignment="1" applyProtection="1">
      <alignment horizontal="center" vertical="center" wrapText="1"/>
    </xf>
    <xf numFmtId="0" fontId="62" fillId="6" borderId="64" xfId="0" applyFont="1" applyFill="1" applyBorder="1" applyAlignment="1" applyProtection="1">
      <alignment horizontal="left" vertical="center" wrapText="1"/>
    </xf>
    <xf numFmtId="0" fontId="125" fillId="6" borderId="34" xfId="0" applyFont="1" applyFill="1" applyBorder="1" applyAlignment="1" applyProtection="1">
      <alignment vertical="center"/>
    </xf>
    <xf numFmtId="0" fontId="62" fillId="6" borderId="64" xfId="0" applyFont="1" applyFill="1" applyBorder="1" applyAlignment="1" applyProtection="1">
      <alignment horizontal="center" vertical="center" wrapText="1"/>
    </xf>
    <xf numFmtId="0" fontId="61" fillId="6" borderId="64" xfId="0" applyFont="1" applyFill="1" applyBorder="1" applyAlignment="1" applyProtection="1">
      <alignment vertical="center" wrapText="1"/>
    </xf>
    <xf numFmtId="0" fontId="61" fillId="6" borderId="65" xfId="0" applyFont="1" applyFill="1" applyBorder="1" applyAlignment="1" applyProtection="1">
      <alignment vertical="center" wrapText="1"/>
    </xf>
    <xf numFmtId="0" fontId="62" fillId="6" borderId="9"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61" fillId="6" borderId="19" xfId="0" applyFont="1" applyFill="1" applyBorder="1" applyAlignment="1" applyProtection="1">
      <alignment horizontal="center" vertical="center" wrapText="1"/>
    </xf>
    <xf numFmtId="0" fontId="61" fillId="6" borderId="19" xfId="0" applyFont="1" applyFill="1" applyBorder="1" applyAlignment="1" applyProtection="1">
      <alignment vertical="center" wrapText="1"/>
    </xf>
    <xf numFmtId="0" fontId="61" fillId="6" borderId="31"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0" fontId="61" fillId="6" borderId="5" xfId="0" applyFont="1" applyFill="1" applyBorder="1" applyAlignment="1" applyProtection="1">
      <alignment vertical="center"/>
    </xf>
    <xf numFmtId="0" fontId="61" fillId="6" borderId="54" xfId="0" applyFont="1" applyFill="1" applyBorder="1" applyAlignment="1" applyProtection="1">
      <alignment vertical="center" wrapText="1"/>
    </xf>
    <xf numFmtId="0" fontId="61" fillId="6" borderId="48" xfId="0" applyFont="1" applyFill="1" applyBorder="1" applyAlignment="1" applyProtection="1">
      <alignment vertical="center" wrapText="1"/>
    </xf>
    <xf numFmtId="0" fontId="61" fillId="6" borderId="13" xfId="0" applyFont="1" applyFill="1" applyBorder="1" applyAlignment="1" applyProtection="1">
      <alignment horizontal="left" vertical="center" wrapText="1"/>
    </xf>
    <xf numFmtId="0" fontId="61" fillId="6" borderId="46" xfId="0" applyFont="1" applyFill="1" applyBorder="1" applyAlignment="1" applyProtection="1">
      <alignment vertical="center"/>
    </xf>
    <xf numFmtId="0" fontId="61" fillId="6" borderId="36" xfId="0" applyFont="1" applyFill="1" applyBorder="1" applyAlignment="1" applyProtection="1">
      <alignment vertical="center" wrapText="1"/>
    </xf>
    <xf numFmtId="0" fontId="61" fillId="6" borderId="59" xfId="0" applyFont="1" applyFill="1" applyBorder="1" applyAlignment="1" applyProtection="1">
      <alignment vertical="center" wrapText="1"/>
    </xf>
    <xf numFmtId="0" fontId="62" fillId="6" borderId="17" xfId="0" applyFont="1" applyFill="1" applyBorder="1" applyAlignment="1" applyProtection="1">
      <alignment horizontal="left" vertical="center" wrapText="1"/>
    </xf>
    <xf numFmtId="0" fontId="61" fillId="6" borderId="28" xfId="0" applyFont="1" applyFill="1" applyBorder="1" applyAlignment="1" applyProtection="1">
      <alignment vertical="center"/>
    </xf>
    <xf numFmtId="0" fontId="61" fillId="6" borderId="20" xfId="0" applyFont="1" applyFill="1" applyBorder="1" applyAlignment="1" applyProtection="1">
      <alignment horizontal="center" vertical="center" wrapText="1"/>
    </xf>
    <xf numFmtId="0" fontId="61" fillId="6" borderId="20" xfId="0" applyFont="1" applyFill="1" applyBorder="1" applyAlignment="1" applyProtection="1">
      <alignment vertical="center" wrapText="1"/>
    </xf>
    <xf numFmtId="0" fontId="61" fillId="6" borderId="21" xfId="0" applyFont="1" applyFill="1" applyBorder="1" applyAlignment="1" applyProtection="1">
      <alignment vertical="center" wrapText="1"/>
    </xf>
    <xf numFmtId="0" fontId="109" fillId="6" borderId="25" xfId="0" applyNumberFormat="1" applyFont="1" applyFill="1" applyBorder="1" applyAlignment="1" applyProtection="1">
      <alignment horizontal="center" vertical="center"/>
    </xf>
    <xf numFmtId="0" fontId="110" fillId="6" borderId="13" xfId="0" applyFont="1" applyFill="1" applyBorder="1" applyAlignment="1" applyProtection="1">
      <alignment horizontal="left" vertical="center" wrapText="1"/>
    </xf>
    <xf numFmtId="0" fontId="110" fillId="6" borderId="3"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wrapText="1"/>
      <protection locked="0"/>
    </xf>
    <xf numFmtId="0" fontId="110" fillId="6" borderId="2" xfId="0" applyFont="1" applyFill="1" applyBorder="1" applyAlignment="1" applyProtection="1">
      <alignment horizontal="left" vertical="center" wrapText="1"/>
    </xf>
    <xf numFmtId="0" fontId="110" fillId="5" borderId="3" xfId="0" applyFont="1" applyFill="1" applyBorder="1" applyAlignment="1" applyProtection="1">
      <alignment horizontal="center" vertical="center" wrapText="1"/>
      <protection locked="0"/>
    </xf>
    <xf numFmtId="0" fontId="110" fillId="5" borderId="1"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wrapText="1"/>
      <protection locked="0"/>
    </xf>
    <xf numFmtId="0" fontId="56" fillId="6" borderId="4" xfId="0" applyFont="1" applyFill="1" applyBorder="1" applyAlignment="1" applyProtection="1">
      <alignment vertical="center"/>
    </xf>
    <xf numFmtId="0" fontId="61" fillId="6" borderId="0" xfId="0" applyFont="1" applyFill="1" applyBorder="1" applyAlignment="1" applyProtection="1">
      <alignment vertical="center" wrapText="1"/>
    </xf>
    <xf numFmtId="0" fontId="125" fillId="6" borderId="60" xfId="0" applyFont="1" applyFill="1" applyBorder="1" applyAlignment="1" applyProtection="1">
      <alignment vertical="center"/>
    </xf>
    <xf numFmtId="0" fontId="125" fillId="6" borderId="71" xfId="0" applyFont="1" applyFill="1" applyBorder="1" applyAlignment="1" applyProtection="1">
      <alignment vertical="center"/>
    </xf>
    <xf numFmtId="0" fontId="110" fillId="6" borderId="74" xfId="0" applyFont="1" applyFill="1" applyBorder="1" applyAlignment="1" applyProtection="1">
      <alignment horizontal="left" vertical="center" wrapText="1"/>
    </xf>
    <xf numFmtId="0" fontId="61" fillId="6" borderId="41" xfId="0" applyFont="1" applyFill="1" applyBorder="1" applyAlignment="1" applyProtection="1">
      <alignment horizontal="center" vertical="center" wrapText="1"/>
    </xf>
    <xf numFmtId="0" fontId="61" fillId="6" borderId="8" xfId="0" applyFont="1" applyFill="1" applyBorder="1" applyAlignment="1" applyProtection="1">
      <alignment horizontal="center" vertical="center" wrapText="1"/>
    </xf>
    <xf numFmtId="0" fontId="61" fillId="5" borderId="9" xfId="0" applyFont="1" applyFill="1" applyBorder="1" applyAlignment="1" applyProtection="1">
      <alignment horizontal="center" vertical="center" wrapText="1"/>
      <protection locked="0"/>
    </xf>
    <xf numFmtId="0" fontId="61" fillId="5" borderId="10" xfId="0" applyFont="1" applyFill="1" applyBorder="1" applyAlignment="1" applyProtection="1">
      <alignment horizontal="center" vertical="center" wrapText="1"/>
      <protection locked="0"/>
    </xf>
    <xf numFmtId="0" fontId="61" fillId="6" borderId="23" xfId="0" applyFont="1" applyFill="1" applyBorder="1" applyAlignment="1" applyProtection="1">
      <alignment horizontal="center" vertical="center" wrapText="1"/>
    </xf>
    <xf numFmtId="9" fontId="61" fillId="6" borderId="25" xfId="0" applyNumberFormat="1" applyFont="1" applyFill="1" applyBorder="1" applyAlignment="1" applyProtection="1">
      <alignment horizontal="center" vertical="center" wrapText="1"/>
    </xf>
    <xf numFmtId="0" fontId="61" fillId="7" borderId="0" xfId="0" applyFont="1" applyFill="1" applyAlignment="1" applyProtection="1">
      <alignment vertical="center" wrapText="1"/>
    </xf>
    <xf numFmtId="49" fontId="58" fillId="6" borderId="26" xfId="0" applyNumberFormat="1" applyFont="1" applyFill="1" applyBorder="1" applyAlignment="1" applyProtection="1">
      <alignment horizontal="left" vertical="center" wrapText="1"/>
    </xf>
    <xf numFmtId="0" fontId="58" fillId="6" borderId="84" xfId="0" applyFont="1" applyFill="1" applyBorder="1" applyAlignment="1" applyProtection="1">
      <alignment horizontal="left" vertical="center" wrapText="1"/>
    </xf>
    <xf numFmtId="0" fontId="61" fillId="6" borderId="64" xfId="0" applyFont="1" applyFill="1" applyBorder="1" applyAlignment="1" applyProtection="1">
      <alignment vertical="center"/>
    </xf>
    <xf numFmtId="0" fontId="59" fillId="6" borderId="65" xfId="0" applyFont="1" applyFill="1" applyBorder="1" applyAlignment="1" applyProtection="1">
      <alignment vertical="center" wrapText="1"/>
    </xf>
    <xf numFmtId="0" fontId="61" fillId="0" borderId="0" xfId="0" applyFont="1" applyAlignment="1" applyProtection="1">
      <alignment horizontal="center" vertical="center" wrapText="1"/>
    </xf>
    <xf numFmtId="0" fontId="59" fillId="6" borderId="84" xfId="0" applyFont="1" applyFill="1" applyBorder="1" applyAlignment="1" applyProtection="1">
      <alignment horizontal="center" vertical="center" wrapText="1"/>
    </xf>
    <xf numFmtId="0" fontId="59" fillId="5" borderId="84" xfId="8" applyFont="1" applyFill="1" applyBorder="1" applyAlignment="1" applyProtection="1">
      <alignment horizontal="center" vertical="center" wrapText="1"/>
      <protection locked="0"/>
    </xf>
    <xf numFmtId="0" fontId="59" fillId="6" borderId="6" xfId="0" applyFont="1" applyFill="1" applyBorder="1" applyAlignment="1" applyProtection="1">
      <alignment vertical="center" wrapText="1"/>
    </xf>
    <xf numFmtId="0" fontId="61" fillId="6" borderId="64" xfId="0" applyFont="1" applyFill="1" applyBorder="1" applyAlignment="1" applyProtection="1">
      <alignment horizontal="center" vertical="center" wrapText="1"/>
    </xf>
    <xf numFmtId="10" fontId="61" fillId="7" borderId="0" xfId="0" applyNumberFormat="1" applyFont="1" applyFill="1" applyAlignment="1" applyProtection="1">
      <alignment horizontal="center" vertical="center" wrapText="1"/>
    </xf>
    <xf numFmtId="10" fontId="61"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58" fillId="6" borderId="40" xfId="0" applyNumberFormat="1" applyFont="1" applyFill="1" applyBorder="1" applyAlignment="1" applyProtection="1">
      <alignment horizontal="left" vertical="center" wrapText="1"/>
    </xf>
    <xf numFmtId="0" fontId="58" fillId="6" borderId="17" xfId="0" applyFont="1" applyFill="1" applyBorder="1" applyAlignment="1" applyProtection="1">
      <alignment horizontal="left" vertical="center" wrapText="1"/>
    </xf>
    <xf numFmtId="0" fontId="61" fillId="6" borderId="17"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0" fontId="59" fillId="6" borderId="19" xfId="8" applyFont="1" applyFill="1" applyBorder="1" applyAlignment="1" applyProtection="1">
      <alignment horizontal="center" vertical="center" wrapText="1"/>
      <protection locked="0"/>
    </xf>
    <xf numFmtId="0" fontId="59" fillId="6" borderId="9" xfId="8" applyFont="1" applyFill="1" applyBorder="1" applyAlignment="1" applyProtection="1">
      <alignment vertical="center" wrapText="1"/>
      <protection locked="0"/>
    </xf>
    <xf numFmtId="0" fontId="59" fillId="6" borderId="31" xfId="8" applyFont="1" applyFill="1" applyBorder="1" applyAlignment="1" applyProtection="1">
      <alignment vertical="center"/>
      <protection locked="0"/>
    </xf>
    <xf numFmtId="49" fontId="58" fillId="6" borderId="6" xfId="0" applyNumberFormat="1" applyFont="1" applyFill="1" applyBorder="1" applyAlignment="1" applyProtection="1">
      <alignment horizontal="left" vertical="center" wrapText="1"/>
    </xf>
    <xf numFmtId="0" fontId="58" fillId="5" borderId="9" xfId="0" applyFont="1" applyFill="1" applyBorder="1" applyAlignment="1" applyProtection="1">
      <alignment horizontal="left" vertical="center" wrapText="1"/>
      <protection locked="0"/>
    </xf>
    <xf numFmtId="0" fontId="59" fillId="6" borderId="19" xfId="0" applyFont="1" applyFill="1" applyBorder="1" applyAlignment="1" applyProtection="1">
      <alignment vertical="center" wrapText="1"/>
    </xf>
    <xf numFmtId="0" fontId="59" fillId="6" borderId="10" xfId="0" applyFont="1" applyFill="1" applyBorder="1" applyAlignment="1" applyProtection="1">
      <alignment vertical="center" wrapText="1"/>
    </xf>
    <xf numFmtId="0" fontId="59" fillId="6" borderId="23" xfId="8" applyFont="1" applyFill="1" applyBorder="1" applyAlignment="1" applyProtection="1">
      <alignment horizontal="center" vertical="center" wrapText="1"/>
    </xf>
    <xf numFmtId="0" fontId="59" fillId="6" borderId="1" xfId="0" applyFont="1" applyFill="1" applyBorder="1" applyAlignment="1" applyProtection="1">
      <alignment horizontal="left" vertical="center" wrapText="1"/>
    </xf>
    <xf numFmtId="0" fontId="59" fillId="6" borderId="13" xfId="0" applyFont="1" applyFill="1" applyBorder="1" applyAlignment="1" applyProtection="1">
      <alignment horizontal="left" vertical="center" wrapText="1"/>
    </xf>
    <xf numFmtId="187" fontId="61" fillId="6" borderId="15" xfId="0" applyNumberFormat="1" applyFont="1" applyFill="1" applyBorder="1" applyAlignment="1" applyProtection="1">
      <alignment horizontal="center" vertical="center" wrapText="1"/>
    </xf>
    <xf numFmtId="187" fontId="61" fillId="6" borderId="58" xfId="0" applyNumberFormat="1" applyFont="1" applyFill="1" applyBorder="1" applyAlignment="1" applyProtection="1">
      <alignment horizontal="center" vertical="center" wrapText="1"/>
    </xf>
    <xf numFmtId="0" fontId="61" fillId="6" borderId="22" xfId="0" applyFont="1" applyFill="1" applyBorder="1" applyAlignment="1" applyProtection="1">
      <alignment vertical="center" wrapText="1"/>
    </xf>
    <xf numFmtId="0" fontId="59" fillId="6" borderId="13" xfId="0" applyFont="1" applyFill="1" applyBorder="1" applyAlignment="1" applyProtection="1">
      <alignment vertical="center" wrapText="1"/>
    </xf>
    <xf numFmtId="0" fontId="59" fillId="6" borderId="61" xfId="0" applyFont="1" applyFill="1" applyBorder="1" applyAlignment="1" applyProtection="1">
      <alignment vertical="center" wrapText="1"/>
    </xf>
    <xf numFmtId="0" fontId="59" fillId="6" borderId="84" xfId="0" applyFont="1" applyFill="1" applyBorder="1" applyAlignment="1" applyProtection="1">
      <alignment vertical="center" wrapText="1"/>
    </xf>
    <xf numFmtId="0" fontId="59" fillId="6" borderId="67" xfId="0" applyFont="1" applyFill="1" applyBorder="1" applyAlignment="1" applyProtection="1">
      <alignment vertical="center" wrapText="1"/>
    </xf>
    <xf numFmtId="0" fontId="59" fillId="6" borderId="25" xfId="8" applyFont="1" applyFill="1" applyBorder="1" applyAlignment="1" applyProtection="1">
      <alignment horizontal="center" vertical="center" wrapText="1"/>
    </xf>
    <xf numFmtId="0" fontId="58" fillId="6" borderId="28" xfId="0" applyFont="1" applyFill="1" applyBorder="1" applyAlignment="1" applyProtection="1">
      <alignment horizontal="left" vertical="center" wrapText="1"/>
    </xf>
    <xf numFmtId="0" fontId="62" fillId="6" borderId="19" xfId="0" applyFont="1" applyFill="1" applyBorder="1" applyAlignment="1" applyProtection="1">
      <alignment vertical="center" wrapText="1"/>
    </xf>
    <xf numFmtId="0" fontId="59" fillId="6" borderId="26" xfId="8" applyFont="1" applyFill="1" applyBorder="1" applyAlignment="1" applyProtection="1">
      <alignment horizontal="center" vertical="center" wrapText="1"/>
      <protection locked="0"/>
    </xf>
    <xf numFmtId="49" fontId="58" fillId="6" borderId="14" xfId="0" applyNumberFormat="1" applyFont="1" applyFill="1" applyBorder="1" applyAlignment="1" applyProtection="1">
      <alignment horizontal="center" vertical="center" wrapText="1"/>
    </xf>
    <xf numFmtId="0" fontId="61" fillId="6" borderId="58" xfId="0" applyFont="1" applyFill="1" applyBorder="1" applyAlignment="1" applyProtection="1">
      <alignment vertical="center" wrapText="1"/>
    </xf>
    <xf numFmtId="0" fontId="62" fillId="6" borderId="0" xfId="0" applyFont="1" applyFill="1" applyBorder="1" applyAlignment="1" applyProtection="1">
      <alignment vertical="center" wrapText="1"/>
    </xf>
    <xf numFmtId="0" fontId="61" fillId="6" borderId="56" xfId="0" applyFont="1" applyFill="1" applyBorder="1" applyAlignment="1" applyProtection="1">
      <alignment vertical="center" wrapText="1"/>
    </xf>
    <xf numFmtId="0" fontId="59" fillId="6" borderId="0" xfId="0" applyFont="1" applyFill="1" applyBorder="1" applyAlignment="1" applyProtection="1">
      <alignment horizontal="left" vertical="center" wrapText="1"/>
    </xf>
    <xf numFmtId="0" fontId="61" fillId="6" borderId="75" xfId="0" applyFont="1" applyFill="1" applyBorder="1" applyAlignment="1" applyProtection="1">
      <alignment vertical="center" wrapText="1"/>
    </xf>
    <xf numFmtId="0" fontId="61" fillId="6" borderId="47" xfId="0" applyFont="1" applyFill="1" applyBorder="1" applyAlignment="1" applyProtection="1">
      <alignment vertical="center" wrapText="1"/>
    </xf>
    <xf numFmtId="0" fontId="62" fillId="6" borderId="47" xfId="0" applyFont="1" applyFill="1" applyBorder="1" applyAlignment="1" applyProtection="1">
      <alignment vertical="center" wrapText="1"/>
    </xf>
    <xf numFmtId="0" fontId="61" fillId="6" borderId="43" xfId="0" applyFont="1" applyFill="1" applyBorder="1" applyAlignment="1" applyProtection="1">
      <alignment vertical="center" wrapText="1"/>
    </xf>
    <xf numFmtId="49" fontId="58" fillId="6" borderId="40" xfId="0" applyNumberFormat="1" applyFont="1" applyFill="1" applyBorder="1" applyAlignment="1" applyProtection="1">
      <alignment horizontal="center" vertical="center" wrapText="1"/>
    </xf>
    <xf numFmtId="0" fontId="62" fillId="6" borderId="30"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8" fillId="6" borderId="28" xfId="0" applyFont="1" applyFill="1" applyBorder="1" applyAlignment="1" applyProtection="1">
      <alignment horizontal="center" vertical="center" wrapText="1"/>
    </xf>
    <xf numFmtId="0" fontId="62" fillId="6" borderId="28" xfId="0" applyFont="1" applyFill="1" applyBorder="1" applyAlignment="1" applyProtection="1">
      <alignment vertical="center" wrapText="1"/>
    </xf>
    <xf numFmtId="0" fontId="61" fillId="6" borderId="14" xfId="0" applyFont="1" applyFill="1" applyBorder="1" applyAlignment="1" applyProtection="1">
      <alignment horizontal="center" vertical="center" wrapText="1"/>
    </xf>
    <xf numFmtId="0" fontId="61" fillId="6" borderId="3" xfId="0" applyFont="1" applyFill="1" applyBorder="1" applyAlignment="1" applyProtection="1">
      <alignment horizontal="left" vertical="center" wrapText="1"/>
    </xf>
    <xf numFmtId="0" fontId="61" fillId="0" borderId="1" xfId="0" applyFont="1" applyBorder="1" applyAlignment="1" applyProtection="1">
      <alignment vertical="center" wrapText="1"/>
      <protection locked="0"/>
    </xf>
    <xf numFmtId="0" fontId="110" fillId="6" borderId="5" xfId="0" applyFont="1" applyFill="1" applyBorder="1" applyAlignment="1" applyProtection="1">
      <alignment vertical="center"/>
    </xf>
    <xf numFmtId="0" fontId="110" fillId="6" borderId="54" xfId="0" applyFont="1" applyFill="1" applyBorder="1" applyAlignment="1" applyProtection="1">
      <alignment vertical="center"/>
    </xf>
    <xf numFmtId="0" fontId="110" fillId="6" borderId="48" xfId="0" applyFont="1" applyFill="1" applyBorder="1" applyAlignment="1" applyProtection="1">
      <alignment vertical="center"/>
    </xf>
    <xf numFmtId="0" fontId="62" fillId="6" borderId="12" xfId="0" applyFont="1" applyFill="1" applyBorder="1" applyAlignment="1" applyProtection="1">
      <alignment vertical="center" wrapText="1"/>
    </xf>
    <xf numFmtId="0" fontId="61" fillId="6" borderId="66" xfId="0" applyFont="1" applyFill="1" applyBorder="1" applyAlignment="1" applyProtection="1">
      <alignment horizontal="left" vertical="center" wrapText="1"/>
    </xf>
    <xf numFmtId="0" fontId="61" fillId="0" borderId="32" xfId="0" applyFont="1" applyBorder="1" applyAlignment="1" applyProtection="1">
      <alignment vertical="center" wrapText="1"/>
      <protection locked="0"/>
    </xf>
    <xf numFmtId="0" fontId="61" fillId="6" borderId="32" xfId="0" applyFont="1" applyFill="1" applyBorder="1" applyAlignment="1" applyProtection="1">
      <alignment vertical="center"/>
    </xf>
    <xf numFmtId="0" fontId="61" fillId="6" borderId="52" xfId="0" applyFont="1" applyFill="1" applyBorder="1" applyAlignment="1" applyProtection="1">
      <alignment vertical="center" wrapText="1"/>
    </xf>
    <xf numFmtId="0" fontId="61" fillId="6" borderId="68" xfId="0" applyFont="1" applyFill="1" applyBorder="1" applyAlignment="1" applyProtection="1">
      <alignment vertical="center" wrapText="1"/>
    </xf>
    <xf numFmtId="0" fontId="62" fillId="6" borderId="40" xfId="0" applyFont="1" applyFill="1" applyBorder="1" applyAlignment="1" applyProtection="1">
      <alignment vertical="center" wrapText="1"/>
    </xf>
    <xf numFmtId="0" fontId="62" fillId="6" borderId="39" xfId="0" applyFont="1" applyFill="1" applyBorder="1" applyAlignment="1" applyProtection="1">
      <alignment horizontal="left" vertical="center" wrapText="1"/>
    </xf>
    <xf numFmtId="0" fontId="61" fillId="6" borderId="20" xfId="0" applyFont="1" applyFill="1" applyBorder="1" applyAlignment="1" applyProtection="1">
      <alignment vertical="center"/>
    </xf>
    <xf numFmtId="0" fontId="61" fillId="6" borderId="30" xfId="0" applyFont="1" applyFill="1" applyBorder="1" applyAlignment="1" applyProtection="1">
      <alignment vertical="center"/>
    </xf>
    <xf numFmtId="0" fontId="62" fillId="6" borderId="7" xfId="0" applyFont="1" applyFill="1" applyBorder="1" applyAlignment="1" applyProtection="1">
      <alignment vertical="center" wrapText="1"/>
    </xf>
    <xf numFmtId="0" fontId="58" fillId="6" borderId="2" xfId="0" applyFont="1" applyFill="1" applyBorder="1" applyAlignment="1" applyProtection="1">
      <alignment horizontal="center" vertical="center" wrapText="1"/>
    </xf>
    <xf numFmtId="0" fontId="110" fillId="6" borderId="7" xfId="0" applyFont="1" applyFill="1" applyBorder="1" applyAlignment="1" applyProtection="1">
      <alignment horizontal="center" vertical="center" wrapText="1"/>
    </xf>
    <xf numFmtId="0" fontId="61" fillId="6" borderId="56" xfId="0" applyFont="1" applyFill="1" applyBorder="1" applyAlignment="1" applyProtection="1">
      <alignment horizontal="center" vertical="center" wrapText="1"/>
    </xf>
    <xf numFmtId="0" fontId="62" fillId="6" borderId="14" xfId="0" applyFont="1" applyFill="1" applyBorder="1" applyAlignment="1" applyProtection="1">
      <alignment vertical="center" wrapText="1"/>
    </xf>
    <xf numFmtId="0" fontId="61" fillId="6" borderId="16" xfId="0" applyFont="1" applyFill="1" applyBorder="1" applyAlignment="1" applyProtection="1">
      <alignment vertical="center"/>
      <protection locked="0"/>
    </xf>
    <xf numFmtId="0" fontId="61" fillId="6" borderId="31" xfId="0" applyFont="1" applyFill="1" applyBorder="1" applyAlignment="1" applyProtection="1">
      <alignment vertical="center" wrapText="1"/>
      <protection locked="0"/>
    </xf>
    <xf numFmtId="9" fontId="61" fillId="6" borderId="24" xfId="0" applyNumberFormat="1" applyFont="1" applyFill="1" applyBorder="1" applyAlignment="1" applyProtection="1">
      <alignment horizontal="center" vertical="center"/>
    </xf>
    <xf numFmtId="0" fontId="110" fillId="6" borderId="66" xfId="0" applyFont="1" applyFill="1" applyBorder="1" applyAlignment="1" applyProtection="1">
      <alignment horizontal="center" vertical="center" wrapText="1"/>
    </xf>
    <xf numFmtId="0" fontId="61" fillId="6" borderId="43" xfId="0" applyFont="1" applyFill="1" applyBorder="1" applyAlignment="1" applyProtection="1">
      <alignment horizontal="center" vertical="center" wrapText="1"/>
    </xf>
    <xf numFmtId="0" fontId="61" fillId="6" borderId="25" xfId="0" applyFont="1" applyFill="1" applyBorder="1" applyAlignment="1" applyProtection="1">
      <alignment vertical="center" wrapText="1"/>
    </xf>
    <xf numFmtId="9" fontId="61" fillId="6" borderId="49" xfId="0" applyNumberFormat="1" applyFont="1" applyFill="1" applyBorder="1" applyAlignment="1" applyProtection="1">
      <alignment horizontal="center" vertical="center" wrapText="1"/>
    </xf>
    <xf numFmtId="0" fontId="61" fillId="7" borderId="0" xfId="0" applyFont="1" applyFill="1" applyAlignment="1" applyProtection="1">
      <alignment horizontal="left" vertical="center" wrapText="1"/>
      <protection locked="0"/>
    </xf>
    <xf numFmtId="0" fontId="120" fillId="6" borderId="0" xfId="0" applyFont="1" applyFill="1" applyProtection="1">
      <alignment vertical="center"/>
    </xf>
    <xf numFmtId="187" fontId="109" fillId="6" borderId="0" xfId="0" applyNumberFormat="1" applyFont="1" applyFill="1" applyAlignment="1" applyProtection="1">
      <alignment horizontal="center" vertical="center" wrapText="1"/>
    </xf>
    <xf numFmtId="0" fontId="120" fillId="6" borderId="51" xfId="0" applyFont="1" applyFill="1" applyBorder="1" applyAlignment="1" applyProtection="1">
      <alignment vertical="center"/>
    </xf>
    <xf numFmtId="187" fontId="226" fillId="6" borderId="19" xfId="0" applyNumberFormat="1" applyFont="1" applyFill="1" applyBorder="1" applyAlignment="1" applyProtection="1">
      <alignment horizontal="center" vertical="center" wrapText="1"/>
    </xf>
    <xf numFmtId="0" fontId="109" fillId="6" borderId="19" xfId="0" applyFont="1" applyFill="1" applyBorder="1" applyProtection="1">
      <alignment vertical="center"/>
    </xf>
    <xf numFmtId="0" fontId="120" fillId="6" borderId="0" xfId="0" applyFont="1" applyFill="1" applyBorder="1" applyAlignment="1" applyProtection="1">
      <alignment horizontal="center" vertical="center"/>
    </xf>
    <xf numFmtId="0" fontId="110" fillId="6" borderId="23" xfId="0" applyFont="1" applyFill="1" applyBorder="1" applyAlignment="1" applyProtection="1">
      <alignment horizontal="center" vertical="center" wrapText="1"/>
    </xf>
    <xf numFmtId="0" fontId="125" fillId="6" borderId="58"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49" fontId="110" fillId="6" borderId="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horizontal="center" vertical="center" wrapText="1"/>
    </xf>
    <xf numFmtId="0" fontId="185" fillId="0" borderId="1" xfId="0" applyNumberFormat="1" applyFont="1" applyFill="1" applyBorder="1" applyAlignment="1" applyProtection="1">
      <alignment horizontal="center" vertical="center" wrapText="1"/>
      <protection locked="0"/>
    </xf>
    <xf numFmtId="0" fontId="185" fillId="0" borderId="13" xfId="0" applyNumberFormat="1" applyFont="1" applyFill="1" applyBorder="1" applyAlignment="1" applyProtection="1">
      <alignment horizontal="center" vertical="center" wrapText="1"/>
      <protection locked="0"/>
    </xf>
    <xf numFmtId="0" fontId="110" fillId="6" borderId="37" xfId="0" applyFont="1" applyFill="1" applyBorder="1" applyAlignment="1" applyProtection="1">
      <alignment horizontal="center" vertical="center" wrapText="1"/>
    </xf>
    <xf numFmtId="0" fontId="110" fillId="6" borderId="25" xfId="0" applyFont="1" applyFill="1" applyBorder="1" applyAlignment="1" applyProtection="1">
      <alignment horizontal="center" vertical="center" wrapText="1"/>
    </xf>
    <xf numFmtId="49" fontId="110" fillId="6" borderId="74" xfId="0" applyNumberFormat="1" applyFont="1" applyFill="1" applyBorder="1" applyAlignment="1" applyProtection="1">
      <alignment horizontal="center" vertical="center" wrapText="1"/>
    </xf>
    <xf numFmtId="49" fontId="110" fillId="6" borderId="32"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wrapText="1"/>
      <protection locked="0"/>
    </xf>
    <xf numFmtId="0" fontId="185" fillId="0" borderId="32" xfId="0" applyNumberFormat="1" applyFont="1" applyFill="1" applyBorder="1" applyAlignment="1" applyProtection="1">
      <alignment horizontal="center" vertical="center" wrapText="1"/>
      <protection locked="0"/>
    </xf>
    <xf numFmtId="0" fontId="110" fillId="6" borderId="32" xfId="0" applyNumberFormat="1" applyFont="1" applyFill="1" applyBorder="1" applyAlignment="1" applyProtection="1">
      <alignment horizontal="center" vertical="center" wrapText="1"/>
    </xf>
    <xf numFmtId="0" fontId="113" fillId="6" borderId="0" xfId="0" applyFont="1" applyFill="1" applyAlignment="1" applyProtection="1">
      <alignment horizontal="center" vertical="center"/>
    </xf>
    <xf numFmtId="0" fontId="110" fillId="6" borderId="3" xfId="0" applyFont="1" applyFill="1" applyBorder="1" applyAlignment="1" applyProtection="1">
      <alignment vertical="center"/>
    </xf>
    <xf numFmtId="0" fontId="110" fillId="6" borderId="0" xfId="0" applyFont="1" applyFill="1" applyBorder="1" applyAlignment="1" applyProtection="1">
      <alignment horizontal="center" vertical="center"/>
    </xf>
    <xf numFmtId="186" fontId="110" fillId="6" borderId="1" xfId="0" applyNumberFormat="1" applyFont="1" applyFill="1" applyBorder="1" applyAlignment="1" applyProtection="1">
      <alignment horizontal="center" vertical="center"/>
    </xf>
    <xf numFmtId="187" fontId="110" fillId="6" borderId="1" xfId="0" applyNumberFormat="1" applyFont="1" applyFill="1" applyBorder="1" applyAlignment="1" applyProtection="1">
      <alignment horizontal="center" vertical="center"/>
    </xf>
    <xf numFmtId="177" fontId="125" fillId="6" borderId="1" xfId="0" applyNumberFormat="1" applyFont="1" applyFill="1" applyBorder="1" applyAlignment="1" applyProtection="1">
      <alignment horizontal="center" vertical="center"/>
    </xf>
    <xf numFmtId="187" fontId="125" fillId="6" borderId="1" xfId="0" applyNumberFormat="1" applyFont="1" applyFill="1" applyBorder="1" applyAlignment="1" applyProtection="1">
      <alignment horizontal="center" vertical="center" wrapText="1"/>
    </xf>
    <xf numFmtId="186" fontId="110" fillId="6" borderId="2" xfId="0" applyNumberFormat="1" applyFont="1" applyFill="1" applyBorder="1" applyAlignment="1" applyProtection="1">
      <alignment horizontal="center" vertical="center" wrapText="1"/>
    </xf>
    <xf numFmtId="179" fontId="125" fillId="6" borderId="1" xfId="0" applyNumberFormat="1" applyFont="1" applyFill="1" applyBorder="1" applyAlignment="1" applyProtection="1">
      <alignment horizontal="center" vertical="center"/>
    </xf>
    <xf numFmtId="0" fontId="110" fillId="0" borderId="0" xfId="0" applyFont="1" applyAlignment="1" applyProtection="1">
      <alignment horizontal="left" vertical="center"/>
    </xf>
    <xf numFmtId="0" fontId="61" fillId="0" borderId="0" xfId="0" applyFont="1" applyAlignment="1" applyProtection="1">
      <alignment horizontal="left" vertical="center" wrapText="1"/>
    </xf>
    <xf numFmtId="0" fontId="191" fillId="6" borderId="1" xfId="3" applyNumberFormat="1" applyFont="1" applyFill="1" applyBorder="1" applyAlignment="1" applyProtection="1">
      <alignment horizontal="center" vertical="center"/>
    </xf>
    <xf numFmtId="0" fontId="109" fillId="0" borderId="0" xfId="0" applyNumberFormat="1" applyFont="1" applyProtection="1">
      <alignment vertical="center"/>
    </xf>
    <xf numFmtId="0" fontId="61" fillId="6" borderId="9" xfId="3" applyNumberFormat="1" applyFont="1" applyFill="1" applyBorder="1" applyAlignment="1" applyProtection="1">
      <alignment horizontal="center" vertical="center"/>
    </xf>
    <xf numFmtId="0" fontId="61" fillId="6" borderId="2" xfId="3" applyNumberFormat="1" applyFont="1" applyFill="1" applyBorder="1" applyAlignment="1" applyProtection="1">
      <alignment horizontal="center" vertical="center"/>
    </xf>
    <xf numFmtId="0" fontId="61" fillId="6" borderId="2" xfId="3" applyNumberFormat="1" applyFont="1" applyFill="1" applyBorder="1" applyAlignment="1" applyProtection="1">
      <alignment horizontal="center" vertical="center" wrapText="1"/>
    </xf>
    <xf numFmtId="0" fontId="61" fillId="6" borderId="17" xfId="3" applyNumberFormat="1" applyFont="1" applyFill="1" applyBorder="1" applyAlignment="1" applyProtection="1">
      <alignment horizontal="center" vertical="center"/>
    </xf>
    <xf numFmtId="0" fontId="61" fillId="6" borderId="62" xfId="3" applyNumberFormat="1" applyFont="1" applyFill="1" applyBorder="1" applyAlignment="1" applyProtection="1">
      <alignment horizontal="center" vertical="center"/>
    </xf>
    <xf numFmtId="0" fontId="137" fillId="6" borderId="1" xfId="0" applyFont="1" applyFill="1" applyBorder="1">
      <alignment vertical="center"/>
    </xf>
    <xf numFmtId="0" fontId="109" fillId="6" borderId="1" xfId="0" applyFont="1" applyFill="1" applyBorder="1">
      <alignment vertical="center"/>
    </xf>
    <xf numFmtId="0" fontId="109" fillId="6" borderId="0" xfId="0" applyFont="1" applyFill="1">
      <alignment vertical="center"/>
    </xf>
    <xf numFmtId="0" fontId="137" fillId="6" borderId="0" xfId="0" applyFont="1" applyFill="1">
      <alignment vertical="center"/>
    </xf>
    <xf numFmtId="0" fontId="137" fillId="6" borderId="1" xfId="0" applyFont="1" applyFill="1" applyBorder="1" applyAlignment="1">
      <alignment vertical="center" wrapText="1"/>
    </xf>
    <xf numFmtId="0" fontId="137" fillId="5" borderId="1" xfId="0" applyFont="1" applyFill="1" applyBorder="1" applyAlignment="1" applyProtection="1">
      <alignment horizontal="center" vertical="center"/>
      <protection locked="0"/>
    </xf>
    <xf numFmtId="0" fontId="60" fillId="6" borderId="96" xfId="0" applyNumberFormat="1" applyFont="1" applyFill="1" applyBorder="1" applyAlignment="1" applyProtection="1">
      <alignment horizontal="center" vertical="center" wrapText="1"/>
    </xf>
    <xf numFmtId="0" fontId="55" fillId="10" borderId="16" xfId="0" applyNumberFormat="1" applyFont="1" applyFill="1" applyBorder="1" applyAlignment="1" applyProtection="1">
      <alignment horizontal="center" vertical="center" wrapText="1"/>
    </xf>
    <xf numFmtId="0" fontId="60" fillId="6" borderId="16" xfId="0" applyFont="1" applyFill="1" applyBorder="1" applyAlignment="1" applyProtection="1">
      <alignment horizontal="left" vertical="center"/>
      <protection locked="0"/>
    </xf>
    <xf numFmtId="0" fontId="62" fillId="5" borderId="38" xfId="1" applyFont="1" applyFill="1" applyBorder="1" applyAlignment="1" applyProtection="1">
      <alignment vertical="center"/>
      <protection locked="0"/>
    </xf>
    <xf numFmtId="0" fontId="65" fillId="5" borderId="49" xfId="1" applyFont="1" applyFill="1" applyBorder="1" applyAlignment="1" applyProtection="1">
      <alignment vertical="center"/>
      <protection locked="0"/>
    </xf>
    <xf numFmtId="0" fontId="113" fillId="0" borderId="0" xfId="9" applyFont="1" applyFill="1" applyBorder="1" applyAlignment="1" applyProtection="1">
      <alignment horizontal="center" vertical="center"/>
      <protection locked="0"/>
    </xf>
    <xf numFmtId="0" fontId="158" fillId="14" borderId="0" xfId="9" applyFont="1" applyFill="1" applyBorder="1" applyAlignment="1" applyProtection="1">
      <alignment horizontal="center" vertical="center"/>
      <protection locked="0"/>
    </xf>
    <xf numFmtId="0" fontId="125" fillId="6" borderId="0" xfId="0" applyFont="1" applyFill="1" applyProtection="1">
      <alignment vertical="center"/>
      <protection locked="0"/>
    </xf>
    <xf numFmtId="0" fontId="150" fillId="16" borderId="0" xfId="9" applyFont="1" applyFill="1">
      <alignment vertical="center"/>
    </xf>
    <xf numFmtId="0" fontId="125" fillId="5" borderId="0" xfId="9" applyFont="1" applyFill="1">
      <alignment vertical="center"/>
    </xf>
    <xf numFmtId="0" fontId="113" fillId="16" borderId="0" xfId="9" applyFont="1" applyFill="1">
      <alignment vertical="center"/>
    </xf>
    <xf numFmtId="0" fontId="109" fillId="16" borderId="0" xfId="10" applyFont="1" applyFill="1" applyAlignment="1" applyProtection="1">
      <alignment horizontal="center" vertical="center"/>
    </xf>
    <xf numFmtId="0" fontId="27" fillId="16" borderId="0" xfId="10" applyFont="1" applyFill="1" applyAlignment="1" applyProtection="1">
      <alignment horizontal="center" vertical="center"/>
    </xf>
    <xf numFmtId="0" fontId="113" fillId="16" borderId="122" xfId="9" applyFont="1" applyFill="1" applyBorder="1" applyAlignment="1">
      <alignment horizontal="center" vertical="center"/>
    </xf>
    <xf numFmtId="0" fontId="113" fillId="16" borderId="0" xfId="9" applyFont="1" applyFill="1" applyBorder="1" applyAlignment="1">
      <alignment horizontal="center" vertical="center"/>
    </xf>
    <xf numFmtId="0" fontId="158" fillId="16" borderId="0" xfId="9" applyFont="1" applyFill="1" applyBorder="1" applyAlignment="1" applyProtection="1">
      <alignment horizontal="center" vertical="center"/>
      <protection locked="0"/>
    </xf>
    <xf numFmtId="0" fontId="113" fillId="16" borderId="0" xfId="9" applyFont="1" applyFill="1" applyAlignment="1">
      <alignment horizontal="center" vertical="center"/>
    </xf>
    <xf numFmtId="0" fontId="110" fillId="16" borderId="0" xfId="9" applyFont="1" applyFill="1" applyAlignment="1">
      <alignment horizontal="center" vertical="center"/>
    </xf>
    <xf numFmtId="10" fontId="110" fillId="16" borderId="0" xfId="9" applyNumberFormat="1" applyFont="1" applyFill="1" applyAlignment="1">
      <alignment horizontal="center" vertical="center"/>
    </xf>
    <xf numFmtId="0" fontId="152" fillId="16" borderId="0" xfId="9" applyFont="1" applyFill="1">
      <alignment vertical="center"/>
    </xf>
    <xf numFmtId="192" fontId="131" fillId="0" borderId="1" xfId="5" applyNumberFormat="1" applyFont="1" applyFill="1" applyBorder="1" applyAlignment="1">
      <alignment horizontal="right" vertical="center"/>
    </xf>
    <xf numFmtId="181" fontId="110" fillId="6" borderId="1" xfId="0" applyNumberFormat="1" applyFont="1" applyFill="1" applyBorder="1" applyAlignment="1" applyProtection="1">
      <alignment horizontal="center" vertical="center" wrapText="1"/>
    </xf>
    <xf numFmtId="0" fontId="24" fillId="6" borderId="1" xfId="0" applyFont="1" applyFill="1" applyBorder="1" applyAlignment="1" applyProtection="1">
      <alignment vertical="center" wrapText="1"/>
    </xf>
    <xf numFmtId="0" fontId="157" fillId="12" borderId="126" xfId="9" applyFont="1" applyFill="1" applyBorder="1" applyAlignment="1" applyProtection="1">
      <alignment horizontal="center" vertical="center" wrapText="1"/>
    </xf>
    <xf numFmtId="0" fontId="62" fillId="6" borderId="9" xfId="0" applyFont="1" applyFill="1" applyBorder="1" applyAlignment="1" applyProtection="1">
      <alignment horizontal="center" vertical="center" wrapText="1"/>
    </xf>
    <xf numFmtId="0" fontId="61" fillId="6" borderId="33" xfId="0" applyFont="1" applyFill="1" applyBorder="1" applyAlignment="1" applyProtection="1">
      <alignment horizontal="center" vertical="center" wrapText="1"/>
    </xf>
    <xf numFmtId="0" fontId="61" fillId="5" borderId="32" xfId="0" applyFont="1" applyFill="1" applyBorder="1" applyAlignment="1" applyProtection="1">
      <alignment horizontal="right" vertical="center" wrapText="1"/>
      <protection locked="0"/>
    </xf>
    <xf numFmtId="0" fontId="61" fillId="6" borderId="66" xfId="0" applyFont="1" applyFill="1" applyBorder="1" applyAlignment="1" applyProtection="1">
      <alignment horizontal="center" vertical="center" wrapText="1"/>
    </xf>
    <xf numFmtId="0" fontId="61" fillId="5" borderId="28" xfId="0" applyFont="1" applyFill="1" applyBorder="1" applyAlignment="1" applyProtection="1">
      <alignment horizontal="center" vertical="center" wrapText="1"/>
      <protection locked="0"/>
    </xf>
    <xf numFmtId="49" fontId="58" fillId="6" borderId="12" xfId="0" applyNumberFormat="1" applyFont="1" applyFill="1" applyBorder="1" applyAlignment="1" applyProtection="1">
      <alignment horizontal="left" vertical="center" wrapText="1"/>
    </xf>
    <xf numFmtId="0" fontId="58" fillId="6" borderId="74" xfId="0" applyFont="1" applyFill="1" applyBorder="1" applyAlignment="1" applyProtection="1">
      <alignment horizontal="left" vertical="center" wrapText="1"/>
    </xf>
    <xf numFmtId="0" fontId="58" fillId="6" borderId="75" xfId="0" applyFont="1" applyFill="1" applyBorder="1" applyAlignment="1" applyProtection="1">
      <alignment horizontal="center" vertical="center" wrapText="1"/>
    </xf>
    <xf numFmtId="0" fontId="61" fillId="6" borderId="75" xfId="0" applyFont="1" applyFill="1" applyBorder="1" applyAlignment="1" applyProtection="1">
      <alignment vertical="center"/>
    </xf>
    <xf numFmtId="0" fontId="58" fillId="6" borderId="47" xfId="0" applyFont="1" applyFill="1" applyBorder="1" applyAlignment="1" applyProtection="1">
      <alignment horizontal="center" vertical="center" wrapText="1"/>
    </xf>
    <xf numFmtId="0" fontId="59" fillId="6" borderId="43" xfId="0" applyFont="1" applyFill="1" applyBorder="1" applyAlignment="1" applyProtection="1">
      <alignment vertical="center" wrapText="1"/>
    </xf>
    <xf numFmtId="0" fontId="61" fillId="6" borderId="32" xfId="0" applyFont="1" applyFill="1" applyBorder="1" applyAlignment="1" applyProtection="1">
      <alignment horizontal="left" vertical="center"/>
    </xf>
    <xf numFmtId="0" fontId="61" fillId="6" borderId="74" xfId="0" applyFont="1" applyFill="1" applyBorder="1" applyAlignment="1" applyProtection="1">
      <alignment horizontal="center" vertical="center" wrapText="1"/>
    </xf>
    <xf numFmtId="0" fontId="61" fillId="6" borderId="75" xfId="0" applyFont="1" applyFill="1" applyBorder="1" applyAlignment="1" applyProtection="1">
      <alignment horizontal="center" vertical="center" wrapText="1"/>
    </xf>
    <xf numFmtId="0" fontId="61" fillId="6" borderId="76" xfId="0" applyFont="1" applyFill="1" applyBorder="1" applyAlignment="1" applyProtection="1">
      <alignment horizontal="center" vertical="center" wrapText="1"/>
    </xf>
    <xf numFmtId="0" fontId="157" fillId="12" borderId="126" xfId="9" applyFont="1" applyFill="1" applyBorder="1" applyAlignment="1" applyProtection="1">
      <alignment horizontal="center" vertical="center" wrapText="1"/>
    </xf>
    <xf numFmtId="186" fontId="113" fillId="12" borderId="124" xfId="9" applyNumberFormat="1" applyFont="1" applyFill="1" applyBorder="1" applyAlignment="1" applyProtection="1">
      <alignment horizontal="center" vertical="center" wrapText="1"/>
    </xf>
    <xf numFmtId="186" fontId="113" fillId="12" borderId="130" xfId="9" applyNumberFormat="1"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xf>
    <xf numFmtId="0" fontId="55" fillId="6" borderId="54" xfId="0"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0" fontId="55" fillId="6" borderId="54"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0" fontId="55" fillId="6" borderId="48" xfId="0" applyNumberFormat="1"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0" fontId="62" fillId="6" borderId="9" xfId="0" applyFont="1" applyFill="1" applyBorder="1" applyAlignment="1" applyProtection="1">
      <alignment horizontal="center" vertical="center" wrapText="1"/>
    </xf>
    <xf numFmtId="0" fontId="55" fillId="6" borderId="60" xfId="0" applyFont="1" applyFill="1" applyBorder="1" applyAlignment="1" applyProtection="1">
      <alignment horizontal="center" vertical="center"/>
    </xf>
    <xf numFmtId="0" fontId="55" fillId="6" borderId="48"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xf>
    <xf numFmtId="0" fontId="113"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xf>
    <xf numFmtId="0" fontId="55" fillId="6" borderId="54" xfId="0" applyFont="1" applyFill="1" applyBorder="1" applyAlignment="1" applyProtection="1">
      <alignment horizontal="center" vertical="center"/>
    </xf>
    <xf numFmtId="0" fontId="180" fillId="6" borderId="1" xfId="0" applyFont="1" applyFill="1" applyBorder="1" applyAlignment="1">
      <alignment horizontal="center" vertical="center" wrapText="1"/>
    </xf>
    <xf numFmtId="0" fontId="55" fillId="6" borderId="5" xfId="0" applyFont="1" applyFill="1" applyBorder="1" applyAlignment="1" applyProtection="1">
      <alignment horizontal="left" vertical="center"/>
    </xf>
    <xf numFmtId="0" fontId="55" fillId="6" borderId="3" xfId="0" applyFont="1" applyFill="1" applyBorder="1" applyAlignment="1" applyProtection="1">
      <alignment horizontal="left" vertical="center"/>
    </xf>
    <xf numFmtId="0" fontId="61" fillId="6" borderId="84" xfId="0" applyFont="1" applyFill="1" applyBorder="1" applyAlignment="1" applyProtection="1">
      <alignment horizontal="center" vertical="center"/>
    </xf>
    <xf numFmtId="0" fontId="157" fillId="17" borderId="124" xfId="16" applyFont="1" applyFill="1" applyBorder="1" applyAlignment="1" applyProtection="1">
      <alignment horizontal="center" vertical="center" wrapText="1"/>
    </xf>
    <xf numFmtId="0" fontId="157" fillId="17" borderId="125" xfId="16" applyFont="1" applyFill="1" applyBorder="1" applyAlignment="1" applyProtection="1">
      <alignment horizontal="center" vertical="center" wrapText="1"/>
    </xf>
    <xf numFmtId="0" fontId="195" fillId="7" borderId="5" xfId="0" applyFont="1" applyFill="1" applyBorder="1" applyAlignment="1" applyProtection="1">
      <alignment vertical="center"/>
      <protection locked="0"/>
    </xf>
    <xf numFmtId="0" fontId="5" fillId="0" borderId="0" xfId="17">
      <alignment vertical="center"/>
    </xf>
    <xf numFmtId="0" fontId="259" fillId="0" borderId="0" xfId="17" applyFont="1" applyAlignment="1">
      <alignment vertical="center" wrapText="1"/>
    </xf>
    <xf numFmtId="49" fontId="259" fillId="0" borderId="0" xfId="17" applyNumberFormat="1" applyFont="1" applyAlignment="1">
      <alignment vertical="center" wrapText="1"/>
    </xf>
    <xf numFmtId="14" fontId="259" fillId="0" borderId="0" xfId="17" applyNumberFormat="1" applyFont="1" applyAlignment="1">
      <alignment vertical="center" wrapText="1"/>
    </xf>
    <xf numFmtId="0" fontId="195" fillId="7" borderId="60" xfId="0" applyFont="1" applyFill="1" applyBorder="1" applyAlignment="1" applyProtection="1">
      <alignment vertical="center" wrapText="1"/>
      <protection locked="0"/>
    </xf>
    <xf numFmtId="49" fontId="229" fillId="0" borderId="4" xfId="0" applyNumberFormat="1" applyFont="1" applyFill="1" applyBorder="1" applyAlignment="1" applyProtection="1">
      <alignment horizontal="left" vertical="center"/>
      <protection locked="0"/>
    </xf>
    <xf numFmtId="0" fontId="0" fillId="5" borderId="0" xfId="0" applyFill="1">
      <alignment vertical="center"/>
    </xf>
    <xf numFmtId="0" fontId="5" fillId="5" borderId="0" xfId="17" applyFill="1">
      <alignment vertical="center"/>
    </xf>
    <xf numFmtId="0" fontId="259" fillId="5" borderId="0" xfId="17" applyFont="1" applyFill="1" applyAlignment="1">
      <alignment vertical="center" wrapText="1"/>
    </xf>
    <xf numFmtId="177" fontId="85" fillId="0" borderId="1" xfId="1" applyNumberFormat="1" applyFont="1" applyFill="1" applyBorder="1" applyAlignment="1" applyProtection="1">
      <alignment vertical="center"/>
      <protection locked="0" hidden="1"/>
    </xf>
    <xf numFmtId="0" fontId="127" fillId="6" borderId="0" xfId="0" applyFont="1" applyFill="1" applyAlignment="1" applyProtection="1">
      <alignment horizontal="left" vertical="center"/>
      <protection locked="0"/>
    </xf>
    <xf numFmtId="0" fontId="111" fillId="0" borderId="24" xfId="0" applyFont="1" applyBorder="1" applyAlignment="1" applyProtection="1">
      <alignment horizontal="center" vertical="center"/>
      <protection locked="0"/>
    </xf>
    <xf numFmtId="177" fontId="153" fillId="3" borderId="3" xfId="0" applyNumberFormat="1" applyFont="1" applyFill="1" applyBorder="1" applyAlignment="1" applyProtection="1">
      <alignment vertical="center"/>
      <protection locked="0"/>
    </xf>
    <xf numFmtId="0" fontId="61" fillId="0" borderId="0" xfId="18"/>
    <xf numFmtId="0" fontId="103" fillId="0" borderId="9" xfId="0" applyNumberFormat="1" applyFont="1" applyFill="1" applyBorder="1" applyAlignment="1" applyProtection="1">
      <alignment horizontal="center" vertical="center" wrapText="1"/>
      <protection locked="0"/>
    </xf>
    <xf numFmtId="0" fontId="0" fillId="0" borderId="1" xfId="0" applyBorder="1" applyAlignment="1">
      <alignment horizontal="left" vertical="top"/>
    </xf>
    <xf numFmtId="0" fontId="62" fillId="0" borderId="0" xfId="18" applyFont="1"/>
    <xf numFmtId="0" fontId="105" fillId="0" borderId="0" xfId="0" applyFont="1">
      <alignment vertical="center"/>
    </xf>
    <xf numFmtId="0" fontId="62" fillId="18" borderId="0" xfId="18" applyFont="1" applyFill="1"/>
    <xf numFmtId="0" fontId="105" fillId="18" borderId="0" xfId="0" applyFont="1" applyFill="1">
      <alignment vertical="center"/>
    </xf>
    <xf numFmtId="0" fontId="89" fillId="18" borderId="0" xfId="18" applyFont="1" applyFill="1"/>
    <xf numFmtId="0" fontId="103" fillId="0" borderId="44" xfId="0" applyNumberFormat="1" applyFont="1" applyFill="1" applyBorder="1" applyAlignment="1" applyProtection="1">
      <alignment horizontal="center" vertical="center" wrapText="1"/>
      <protection locked="0"/>
    </xf>
    <xf numFmtId="0" fontId="142" fillId="0" borderId="44" xfId="0" applyNumberFormat="1" applyFont="1" applyFill="1" applyBorder="1" applyAlignment="1" applyProtection="1">
      <alignment horizontal="center" vertical="center" wrapText="1"/>
      <protection locked="0"/>
    </xf>
    <xf numFmtId="0" fontId="104" fillId="0" borderId="0" xfId="10">
      <alignment vertical="center"/>
    </xf>
    <xf numFmtId="0" fontId="42" fillId="0" borderId="0" xfId="10" applyFont="1" applyFill="1" applyAlignment="1">
      <alignment horizontal="center" vertical="center"/>
    </xf>
    <xf numFmtId="0" fontId="168" fillId="0" borderId="1" xfId="10" applyFont="1" applyFill="1" applyBorder="1" applyAlignment="1">
      <alignment horizontal="center" vertical="center"/>
    </xf>
    <xf numFmtId="0" fontId="261" fillId="0" borderId="1" xfId="10" applyFont="1" applyFill="1" applyBorder="1" applyAlignment="1">
      <alignment horizontal="center" vertical="center"/>
    </xf>
    <xf numFmtId="0" fontId="4" fillId="0" borderId="0" xfId="19" applyAlignment="1">
      <alignment horizontal="left" vertical="top" wrapText="1"/>
    </xf>
    <xf numFmtId="0" fontId="4" fillId="0" borderId="0" xfId="19" applyAlignment="1">
      <alignment horizontal="left" vertical="top"/>
    </xf>
    <xf numFmtId="14" fontId="4" fillId="0" borderId="0" xfId="19" applyNumberFormat="1" applyAlignment="1">
      <alignment horizontal="left" vertical="top"/>
    </xf>
    <xf numFmtId="0" fontId="4" fillId="5" borderId="0" xfId="19" applyFill="1" applyAlignment="1">
      <alignment horizontal="left" vertical="top"/>
    </xf>
    <xf numFmtId="14" fontId="4" fillId="5" borderId="0" xfId="19" applyNumberFormat="1" applyFill="1" applyAlignment="1">
      <alignment horizontal="left" vertical="top"/>
    </xf>
    <xf numFmtId="0" fontId="4" fillId="0" borderId="0" xfId="19" applyAlignment="1">
      <alignment horizontal="left" vertical="top"/>
    </xf>
    <xf numFmtId="0" fontId="4" fillId="0" borderId="0" xfId="19" applyAlignment="1">
      <alignment horizontal="left" vertical="top" wrapText="1"/>
    </xf>
    <xf numFmtId="49" fontId="5" fillId="0" borderId="0" xfId="17" applyNumberFormat="1">
      <alignment vertical="center"/>
    </xf>
    <xf numFmtId="49" fontId="5" fillId="5" borderId="0" xfId="17" applyNumberFormat="1" applyFill="1">
      <alignment vertical="center"/>
    </xf>
    <xf numFmtId="49" fontId="0" fillId="5" borderId="0" xfId="0" applyNumberFormat="1" applyFill="1">
      <alignment vertical="center"/>
    </xf>
    <xf numFmtId="49" fontId="0" fillId="0" borderId="0" xfId="0" applyNumberFormat="1">
      <alignment vertical="center"/>
    </xf>
    <xf numFmtId="0" fontId="4" fillId="0" borderId="0" xfId="19" applyAlignment="1">
      <alignment horizontal="left" vertical="top" wrapText="1"/>
    </xf>
    <xf numFmtId="0" fontId="4" fillId="0" borderId="0" xfId="19" applyAlignment="1">
      <alignment horizontal="left" vertical="top"/>
    </xf>
    <xf numFmtId="0" fontId="104" fillId="0" borderId="0" xfId="0" applyFont="1">
      <alignment vertical="center"/>
    </xf>
    <xf numFmtId="0" fontId="4" fillId="0" borderId="0" xfId="19" applyAlignment="1">
      <alignment horizontal="left" vertical="top"/>
    </xf>
    <xf numFmtId="0" fontId="259" fillId="0" borderId="0" xfId="17" applyFont="1" applyFill="1" applyAlignment="1">
      <alignment vertical="center" wrapText="1"/>
    </xf>
    <xf numFmtId="0" fontId="259" fillId="0" borderId="1" xfId="17" applyFont="1" applyFill="1" applyBorder="1" applyAlignment="1">
      <alignment horizontal="left" vertical="center" wrapText="1"/>
    </xf>
    <xf numFmtId="0" fontId="259" fillId="0" borderId="9" xfId="17" applyFont="1" applyFill="1" applyBorder="1" applyAlignment="1">
      <alignment horizontal="left" vertical="center" wrapText="1"/>
    </xf>
    <xf numFmtId="0" fontId="259" fillId="0" borderId="10" xfId="17" applyFont="1" applyFill="1" applyBorder="1" applyAlignment="1">
      <alignment vertical="center" wrapText="1"/>
    </xf>
    <xf numFmtId="0" fontId="259" fillId="0" borderId="24" xfId="17" applyFont="1" applyFill="1" applyBorder="1" applyAlignment="1">
      <alignment vertical="center" wrapText="1"/>
    </xf>
    <xf numFmtId="0" fontId="259" fillId="0" borderId="13" xfId="17" applyFont="1" applyFill="1" applyBorder="1" applyAlignment="1">
      <alignment horizontal="left" vertical="center" wrapText="1"/>
    </xf>
    <xf numFmtId="0" fontId="259" fillId="0" borderId="61" xfId="17" applyFont="1" applyFill="1" applyBorder="1" applyAlignment="1">
      <alignment vertical="center" wrapText="1"/>
    </xf>
    <xf numFmtId="0" fontId="259" fillId="0" borderId="67" xfId="17" applyFont="1" applyFill="1" applyBorder="1" applyAlignment="1">
      <alignment vertical="center" wrapText="1"/>
    </xf>
    <xf numFmtId="0" fontId="105" fillId="0" borderId="0" xfId="0" applyFont="1" applyFill="1">
      <alignment vertical="center"/>
    </xf>
    <xf numFmtId="0" fontId="61" fillId="0" borderId="0" xfId="18" applyFill="1"/>
    <xf numFmtId="1" fontId="70" fillId="6" borderId="0" xfId="0" applyNumberFormat="1" applyFont="1" applyFill="1" applyBorder="1" applyAlignment="1" applyProtection="1">
      <alignment vertical="center"/>
      <protection locked="0"/>
    </xf>
    <xf numFmtId="0" fontId="105" fillId="0" borderId="0" xfId="19" applyFont="1" applyAlignment="1">
      <alignment horizontal="left" vertical="top"/>
    </xf>
    <xf numFmtId="0" fontId="105" fillId="0" borderId="0" xfId="19" applyFont="1" applyAlignment="1">
      <alignment horizontal="left" vertical="top" wrapText="1"/>
    </xf>
    <xf numFmtId="14" fontId="105" fillId="0" borderId="0" xfId="19" applyNumberFormat="1" applyFont="1" applyAlignment="1">
      <alignment horizontal="left" vertical="top"/>
    </xf>
    <xf numFmtId="0" fontId="104" fillId="0" borderId="0" xfId="19" applyFont="1" applyAlignment="1">
      <alignment horizontal="left" vertical="top"/>
    </xf>
    <xf numFmtId="0" fontId="104" fillId="0" borderId="0" xfId="19" applyFont="1" applyAlignment="1">
      <alignment horizontal="left" vertical="top" wrapText="1"/>
    </xf>
    <xf numFmtId="14" fontId="104" fillId="0" borderId="0" xfId="19" applyNumberFormat="1" applyFont="1" applyAlignment="1">
      <alignment horizontal="left" vertical="top"/>
    </xf>
    <xf numFmtId="49" fontId="104" fillId="0" borderId="0" xfId="0" applyNumberFormat="1" applyFont="1">
      <alignment vertical="center"/>
    </xf>
    <xf numFmtId="0" fontId="105" fillId="19" borderId="0" xfId="0" applyFont="1" applyFill="1">
      <alignment vertical="center"/>
    </xf>
    <xf numFmtId="49" fontId="105" fillId="19" borderId="0" xfId="0" applyNumberFormat="1" applyFont="1" applyFill="1">
      <alignment vertical="center"/>
    </xf>
    <xf numFmtId="0" fontId="104" fillId="20" borderId="0" xfId="0" applyFont="1" applyFill="1">
      <alignment vertical="center"/>
    </xf>
    <xf numFmtId="49" fontId="104" fillId="20" borderId="0" xfId="0" applyNumberFormat="1" applyFont="1" applyFill="1">
      <alignment vertical="center"/>
    </xf>
    <xf numFmtId="0" fontId="104" fillId="19" borderId="0" xfId="0" applyFont="1" applyFill="1">
      <alignment vertical="center"/>
    </xf>
    <xf numFmtId="49" fontId="104" fillId="19" borderId="0" xfId="0" applyNumberFormat="1" applyFont="1" applyFill="1">
      <alignment vertical="center"/>
    </xf>
    <xf numFmtId="49" fontId="3" fillId="0" borderId="0" xfId="19" applyNumberFormat="1" applyFont="1" applyAlignment="1">
      <alignment horizontal="left" vertical="top"/>
    </xf>
    <xf numFmtId="0" fontId="4" fillId="0" borderId="0" xfId="19" applyNumberFormat="1" applyAlignment="1">
      <alignment horizontal="left" vertical="top"/>
    </xf>
    <xf numFmtId="0" fontId="4" fillId="21" borderId="0" xfId="19" applyNumberFormat="1" applyFill="1" applyAlignment="1">
      <alignment horizontal="left" vertical="top"/>
    </xf>
    <xf numFmtId="0" fontId="104" fillId="0" borderId="0" xfId="19" applyNumberFormat="1" applyFont="1" applyAlignment="1">
      <alignment horizontal="left" vertical="top"/>
    </xf>
    <xf numFmtId="0" fontId="105" fillId="0" borderId="0" xfId="19" applyNumberFormat="1" applyFont="1" applyAlignment="1">
      <alignment horizontal="left" vertical="top"/>
    </xf>
    <xf numFmtId="0" fontId="104" fillId="21" borderId="0" xfId="19" applyNumberFormat="1" applyFont="1" applyFill="1" applyAlignment="1">
      <alignment horizontal="left" vertical="top"/>
    </xf>
    <xf numFmtId="0" fontId="2" fillId="0" borderId="0" xfId="19" applyFont="1" applyAlignment="1">
      <alignment horizontal="left" vertical="top"/>
    </xf>
    <xf numFmtId="0" fontId="85" fillId="6" borderId="0" xfId="0" applyFont="1" applyFill="1" applyAlignment="1" applyProtection="1">
      <alignment vertical="center"/>
      <protection locked="0"/>
    </xf>
    <xf numFmtId="2" fontId="55" fillId="6" borderId="0" xfId="0" applyNumberFormat="1" applyFont="1" applyFill="1" applyAlignment="1" applyProtection="1">
      <alignment vertical="center"/>
      <protection locked="0"/>
    </xf>
    <xf numFmtId="181" fontId="52" fillId="22" borderId="24" xfId="0" applyNumberFormat="1" applyFont="1" applyFill="1" applyBorder="1" applyAlignment="1" applyProtection="1">
      <alignment vertical="center"/>
      <protection locked="0"/>
    </xf>
    <xf numFmtId="181" fontId="52" fillId="22" borderId="5" xfId="0" applyNumberFormat="1" applyFont="1" applyFill="1" applyBorder="1" applyAlignment="1" applyProtection="1">
      <alignment vertical="center"/>
      <protection locked="0"/>
    </xf>
    <xf numFmtId="0" fontId="208" fillId="0" borderId="0" xfId="5" applyFont="1" applyAlignment="1" applyProtection="1">
      <alignment horizontal="left" vertical="top" wrapText="1"/>
    </xf>
    <xf numFmtId="0" fontId="53" fillId="0" borderId="13" xfId="7" applyFont="1" applyFill="1" applyBorder="1" applyAlignment="1" applyProtection="1">
      <alignment horizontal="left" vertical="center" wrapText="1"/>
    </xf>
    <xf numFmtId="0" fontId="53" fillId="0" borderId="15" xfId="7" applyFont="1" applyFill="1" applyBorder="1" applyAlignment="1" applyProtection="1">
      <alignment horizontal="left" vertical="center" wrapText="1"/>
    </xf>
    <xf numFmtId="0" fontId="53" fillId="0" borderId="77" xfId="7" applyFont="1" applyFill="1" applyBorder="1" applyAlignment="1" applyProtection="1">
      <alignment horizontal="left" vertical="center" wrapText="1"/>
    </xf>
    <xf numFmtId="0" fontId="218" fillId="0" borderId="87" xfId="7" applyFont="1" applyBorder="1" applyAlignment="1" applyProtection="1">
      <alignment horizontal="center" vertical="center"/>
    </xf>
    <xf numFmtId="0" fontId="144" fillId="0" borderId="0" xfId="7" applyFont="1" applyAlignment="1" applyProtection="1">
      <alignment horizontal="left" vertical="center" wrapText="1"/>
    </xf>
    <xf numFmtId="0" fontId="218" fillId="0" borderId="0" xfId="7" applyFont="1" applyAlignment="1" applyProtection="1">
      <alignment horizontal="center" vertical="center"/>
    </xf>
    <xf numFmtId="0" fontId="53" fillId="0" borderId="2" xfId="7" applyFont="1" applyFill="1" applyBorder="1" applyAlignment="1" applyProtection="1">
      <alignment horizontal="left" vertical="center" wrapText="1"/>
    </xf>
    <xf numFmtId="0" fontId="53" fillId="0" borderId="13" xfId="7" applyFont="1" applyFill="1" applyBorder="1" applyAlignment="1" applyProtection="1">
      <alignment vertical="center" wrapText="1"/>
    </xf>
    <xf numFmtId="0" fontId="53" fillId="0" borderId="15" xfId="7" applyFont="1" applyFill="1" applyBorder="1" applyAlignment="1" applyProtection="1">
      <alignment vertical="center" wrapText="1"/>
    </xf>
    <xf numFmtId="0" fontId="53" fillId="0" borderId="2" xfId="7"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69" fillId="0" borderId="44"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69"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182" fontId="69" fillId="0" borderId="5" xfId="0" applyNumberFormat="1" applyFont="1" applyFill="1" applyBorder="1" applyAlignment="1" applyProtection="1">
      <alignment horizontal="center" vertical="center" wrapText="1"/>
    </xf>
    <xf numFmtId="182" fontId="69" fillId="0" borderId="54" xfId="0" applyNumberFormat="1" applyFont="1" applyFill="1" applyBorder="1" applyAlignment="1" applyProtection="1">
      <alignment horizontal="center" vertical="center" wrapText="1"/>
    </xf>
    <xf numFmtId="182" fontId="69" fillId="0" borderId="3" xfId="0" applyNumberFormat="1" applyFont="1" applyFill="1" applyBorder="1" applyAlignment="1" applyProtection="1">
      <alignment horizontal="center" vertical="center" wrapText="1"/>
    </xf>
    <xf numFmtId="0" fontId="69" fillId="0" borderId="78" xfId="0" applyFont="1" applyFill="1" applyBorder="1" applyAlignment="1" applyProtection="1">
      <alignment horizontal="center" vertical="center" wrapText="1"/>
    </xf>
    <xf numFmtId="182" fontId="69" fillId="0" borderId="78"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218" fillId="0" borderId="0" xfId="0" applyFont="1" applyBorder="1" applyAlignment="1" applyProtection="1">
      <alignment horizontal="left" vertical="center"/>
    </xf>
    <xf numFmtId="0" fontId="218" fillId="0" borderId="0" xfId="0" applyFont="1" applyBorder="1" applyAlignment="1" applyProtection="1">
      <alignment horizontal="justify" vertical="center" wrapText="1"/>
    </xf>
    <xf numFmtId="0" fontId="69"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194" fontId="222" fillId="0" borderId="0" xfId="0" applyNumberFormat="1" applyFont="1" applyAlignment="1" applyProtection="1">
      <alignment horizontal="right" vertical="center"/>
      <protection locked="0"/>
    </xf>
    <xf numFmtId="0" fontId="235" fillId="0" borderId="0" xfId="0" applyFont="1" applyBorder="1" applyAlignment="1" applyProtection="1">
      <alignment horizontal="left" vertical="center" wrapText="1"/>
      <protection locked="0"/>
    </xf>
    <xf numFmtId="0" fontId="109" fillId="0" borderId="0" xfId="0" applyFont="1" applyAlignment="1" applyProtection="1">
      <alignment vertical="center" wrapText="1"/>
    </xf>
    <xf numFmtId="0" fontId="183" fillId="0" borderId="0" xfId="0" applyFont="1" applyAlignment="1" applyProtection="1">
      <alignment vertical="center" wrapText="1"/>
      <protection locked="0"/>
    </xf>
    <xf numFmtId="0" fontId="239" fillId="0" borderId="5" xfId="0" applyFont="1" applyBorder="1" applyAlignment="1" applyProtection="1">
      <alignment horizontal="left" vertical="center"/>
    </xf>
    <xf numFmtId="0" fontId="104" fillId="0" borderId="3" xfId="0" applyFont="1" applyBorder="1" applyAlignment="1" applyProtection="1">
      <alignment horizontal="left" vertical="center"/>
    </xf>
    <xf numFmtId="0" fontId="104" fillId="0" borderId="5" xfId="0" applyFont="1" applyBorder="1" applyAlignment="1" applyProtection="1">
      <alignment horizontal="left" vertical="center"/>
    </xf>
    <xf numFmtId="0" fontId="104" fillId="0" borderId="1" xfId="0" applyFont="1" applyBorder="1" applyAlignment="1" applyProtection="1">
      <alignment horizontal="left" vertical="center"/>
    </xf>
    <xf numFmtId="0" fontId="104" fillId="9" borderId="1" xfId="0" applyFont="1" applyFill="1" applyBorder="1" applyAlignment="1" applyProtection="1">
      <alignment horizontal="left" vertical="center"/>
    </xf>
    <xf numFmtId="0" fontId="104" fillId="5" borderId="13" xfId="0" applyFont="1" applyFill="1" applyBorder="1" applyAlignment="1" applyProtection="1">
      <alignment horizontal="left" vertical="center"/>
    </xf>
    <xf numFmtId="0" fontId="104" fillId="5" borderId="15" xfId="0" applyFont="1" applyFill="1" applyBorder="1" applyAlignment="1" applyProtection="1">
      <alignment horizontal="left" vertical="center"/>
    </xf>
    <xf numFmtId="0" fontId="104" fillId="5" borderId="2" xfId="0" applyFont="1" applyFill="1" applyBorder="1" applyAlignment="1" applyProtection="1">
      <alignment horizontal="left" vertical="center"/>
    </xf>
    <xf numFmtId="0" fontId="130" fillId="5" borderId="1" xfId="5" applyFont="1" applyFill="1" applyBorder="1" applyAlignment="1">
      <alignment horizontal="center" vertical="center"/>
    </xf>
    <xf numFmtId="0" fontId="131" fillId="0" borderId="1" xfId="5" applyFont="1" applyBorder="1" applyAlignment="1">
      <alignment horizontal="center" vertical="center"/>
    </xf>
    <xf numFmtId="0" fontId="131" fillId="0" borderId="5" xfId="5" applyFont="1" applyBorder="1" applyAlignment="1">
      <alignment horizontal="center" vertical="center"/>
    </xf>
    <xf numFmtId="0" fontId="131" fillId="0" borderId="154" xfId="5" applyFont="1" applyBorder="1" applyAlignment="1">
      <alignment horizontal="center" vertical="center"/>
    </xf>
    <xf numFmtId="0" fontId="104" fillId="6" borderId="0" xfId="0" applyFont="1" applyFill="1" applyBorder="1" applyAlignment="1" applyProtection="1">
      <alignment horizontal="center" vertical="center" wrapText="1"/>
    </xf>
    <xf numFmtId="0" fontId="69" fillId="6" borderId="34" xfId="0" applyFont="1" applyFill="1" applyBorder="1" applyAlignment="1" applyProtection="1">
      <alignment horizontal="left" vertical="center" wrapText="1"/>
    </xf>
    <xf numFmtId="0" fontId="69" fillId="6" borderId="64" xfId="0" applyFont="1" applyFill="1" applyBorder="1" applyAlignment="1" applyProtection="1">
      <alignment horizontal="left" vertical="center" wrapText="1"/>
    </xf>
    <xf numFmtId="0" fontId="69" fillId="6" borderId="65" xfId="0" applyFont="1" applyFill="1" applyBorder="1" applyAlignment="1" applyProtection="1">
      <alignment horizontal="left" vertical="center" wrapText="1"/>
    </xf>
    <xf numFmtId="0" fontId="69" fillId="6" borderId="13" xfId="0" applyFont="1" applyFill="1" applyBorder="1" applyAlignment="1" applyProtection="1">
      <alignment horizontal="center" vertical="center" wrapText="1"/>
    </xf>
    <xf numFmtId="0" fontId="69" fillId="6" borderId="104"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5" fillId="6" borderId="51" xfId="0" applyFont="1" applyFill="1" applyBorder="1" applyAlignment="1" applyProtection="1">
      <alignment horizontal="center" vertical="center"/>
    </xf>
    <xf numFmtId="0" fontId="55"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35" fillId="0" borderId="54" xfId="0" applyNumberFormat="1" applyFont="1" applyFill="1" applyBorder="1" applyAlignment="1" applyProtection="1">
      <alignment horizontal="left" vertical="center"/>
      <protection locked="0"/>
    </xf>
    <xf numFmtId="49" fontId="235"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235" fillId="0" borderId="54" xfId="0" applyNumberFormat="1" applyFont="1" applyBorder="1" applyAlignment="1" applyProtection="1">
      <alignment horizontal="left" vertical="center"/>
      <protection locked="0"/>
    </xf>
    <xf numFmtId="0" fontId="235"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235" fillId="7" borderId="54" xfId="0" applyNumberFormat="1" applyFont="1" applyFill="1" applyBorder="1" applyAlignment="1" applyProtection="1">
      <alignment horizontal="left" vertical="center"/>
      <protection locked="0"/>
    </xf>
    <xf numFmtId="49" fontId="235"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235" fillId="7" borderId="88" xfId="0" applyNumberFormat="1" applyFont="1" applyFill="1" applyBorder="1" applyAlignment="1" applyProtection="1">
      <alignment horizontal="left" vertical="center"/>
      <protection locked="0"/>
    </xf>
    <xf numFmtId="49" fontId="235" fillId="7" borderId="119"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xf>
    <xf numFmtId="0" fontId="69" fillId="6" borderId="2" xfId="0" applyFont="1" applyFill="1" applyBorder="1" applyAlignment="1" applyProtection="1">
      <alignment horizontal="left" vertical="center"/>
    </xf>
    <xf numFmtId="0" fontId="69" fillId="0" borderId="5" xfId="0" applyFont="1" applyBorder="1" applyAlignment="1" applyProtection="1">
      <alignment horizontal="left" vertical="center" wrapText="1"/>
      <protection locked="0"/>
    </xf>
    <xf numFmtId="0" fontId="69" fillId="0" borderId="3" xfId="0" applyFont="1" applyBorder="1" applyAlignment="1" applyProtection="1">
      <alignment horizontal="left" vertical="center" wrapText="1"/>
      <protection locked="0"/>
    </xf>
    <xf numFmtId="0" fontId="69" fillId="6" borderId="22" xfId="0" applyFont="1" applyFill="1" applyBorder="1" applyAlignment="1" applyProtection="1">
      <alignment horizontal="left" vertical="center"/>
    </xf>
    <xf numFmtId="0" fontId="69" fillId="6" borderId="35" xfId="0" applyFont="1" applyFill="1" applyBorder="1" applyAlignment="1" applyProtection="1">
      <alignment horizontal="left" vertical="center"/>
    </xf>
    <xf numFmtId="0" fontId="69" fillId="6"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259" fillId="0" borderId="6" xfId="17" applyFont="1" applyFill="1" applyBorder="1" applyAlignment="1">
      <alignment horizontal="left" vertical="center" wrapText="1"/>
    </xf>
    <xf numFmtId="0" fontId="259" fillId="0" borderId="23" xfId="17" applyFont="1" applyFill="1" applyBorder="1" applyAlignment="1">
      <alignment horizontal="left" vertical="center" wrapText="1"/>
    </xf>
    <xf numFmtId="0" fontId="259" fillId="0" borderId="11" xfId="17" applyFont="1" applyFill="1" applyBorder="1" applyAlignment="1">
      <alignment horizontal="left" vertical="center" wrapText="1"/>
    </xf>
    <xf numFmtId="0" fontId="259" fillId="0" borderId="26" xfId="17" applyFont="1" applyFill="1" applyBorder="1" applyAlignment="1">
      <alignment horizontal="left" vertical="center" wrapText="1"/>
    </xf>
    <xf numFmtId="0" fontId="259" fillId="0" borderId="84" xfId="17" applyFont="1" applyFill="1" applyBorder="1" applyAlignment="1">
      <alignment horizontal="left" vertical="center" wrapText="1"/>
    </xf>
    <xf numFmtId="0" fontId="260" fillId="0" borderId="0" xfId="10" applyFont="1" applyFill="1" applyAlignment="1">
      <alignment horizontal="center" vertical="center"/>
    </xf>
    <xf numFmtId="0" fontId="52" fillId="6" borderId="6"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40"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51" xfId="0" applyFont="1" applyFill="1" applyBorder="1" applyAlignment="1" applyProtection="1">
      <alignment horizontal="center" vertical="center"/>
    </xf>
    <xf numFmtId="0" fontId="54" fillId="6" borderId="20" xfId="0" applyFont="1" applyFill="1" applyBorder="1" applyAlignment="1" applyProtection="1">
      <alignment horizontal="center" vertical="center"/>
    </xf>
    <xf numFmtId="0" fontId="54"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4" fillId="0" borderId="0" xfId="19" applyAlignment="1">
      <alignment horizontal="left" vertical="top" wrapText="1"/>
    </xf>
    <xf numFmtId="0" fontId="4" fillId="0" borderId="0" xfId="19" applyAlignment="1">
      <alignment horizontal="left" vertical="top"/>
    </xf>
    <xf numFmtId="0" fontId="54" fillId="5" borderId="3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113"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protection locked="0"/>
    </xf>
    <xf numFmtId="192" fontId="139" fillId="6" borderId="1" xfId="0" applyNumberFormat="1"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xf>
    <xf numFmtId="0" fontId="54" fillId="6" borderId="1" xfId="0" applyFont="1" applyFill="1" applyBorder="1" applyAlignment="1" applyProtection="1">
      <alignment horizontal="left" vertical="center"/>
    </xf>
    <xf numFmtId="0" fontId="55" fillId="6" borderId="5" xfId="0" applyFont="1" applyFill="1" applyBorder="1" applyAlignment="1" applyProtection="1">
      <alignment horizontal="center" vertical="center"/>
    </xf>
    <xf numFmtId="0" fontId="55" fillId="6" borderId="54" xfId="0" applyFont="1" applyFill="1" applyBorder="1" applyAlignment="1" applyProtection="1">
      <alignment horizontal="center" vertical="center"/>
    </xf>
    <xf numFmtId="0" fontId="180" fillId="6" borderId="1" xfId="0" applyFont="1" applyFill="1" applyBorder="1" applyAlignment="1">
      <alignment horizontal="center" vertical="center" wrapText="1"/>
    </xf>
    <xf numFmtId="0" fontId="55" fillId="6" borderId="5" xfId="0" applyFont="1" applyFill="1" applyBorder="1" applyAlignment="1" applyProtection="1">
      <alignment horizontal="left" vertical="center"/>
    </xf>
    <xf numFmtId="0" fontId="55"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2" fillId="5" borderId="13" xfId="0"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182" fontId="52" fillId="6" borderId="5" xfId="0" applyNumberFormat="1" applyFont="1" applyFill="1" applyBorder="1" applyAlignment="1" applyProtection="1">
      <alignment horizontal="center" vertical="center" wrapText="1"/>
    </xf>
    <xf numFmtId="182" fontId="52" fillId="6" borderId="3" xfId="0" applyNumberFormat="1" applyFont="1" applyFill="1" applyBorder="1" applyAlignment="1" applyProtection="1">
      <alignment horizontal="center" vertical="center" wrapText="1"/>
    </xf>
    <xf numFmtId="182" fontId="52" fillId="6" borderId="54"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left" vertical="center"/>
    </xf>
    <xf numFmtId="0" fontId="52" fillId="5" borderId="5" xfId="0" applyFont="1" applyFill="1" applyBorder="1" applyAlignment="1" applyProtection="1">
      <alignment horizontal="center" vertical="center" wrapText="1"/>
      <protection locked="0"/>
    </xf>
    <xf numFmtId="0" fontId="52" fillId="5" borderId="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xf>
    <xf numFmtId="0" fontId="110" fillId="6" borderId="13" xfId="0" applyFont="1" applyFill="1" applyBorder="1" applyAlignment="1" applyProtection="1">
      <alignment horizontal="center" vertical="center" wrapText="1"/>
    </xf>
    <xf numFmtId="0" fontId="110" fillId="6" borderId="2" xfId="0" applyFont="1" applyFill="1" applyBorder="1" applyAlignment="1" applyProtection="1">
      <alignment horizontal="center" vertical="center" wrapText="1"/>
    </xf>
    <xf numFmtId="0" fontId="55" fillId="6" borderId="25"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61"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115" fillId="6" borderId="107" xfId="0" applyFont="1" applyFill="1" applyBorder="1" applyProtection="1">
      <alignment vertical="center"/>
    </xf>
    <xf numFmtId="0" fontId="115" fillId="6" borderId="108" xfId="0" applyFont="1" applyFill="1" applyBorder="1" applyProtection="1">
      <alignment vertical="center"/>
    </xf>
    <xf numFmtId="0" fontId="138" fillId="6" borderId="23" xfId="0" applyFont="1" applyFill="1" applyBorder="1" applyProtection="1">
      <alignment vertical="center"/>
    </xf>
    <xf numFmtId="0" fontId="54" fillId="6" borderId="23" xfId="0"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0" fontId="55" fillId="6" borderId="54" xfId="0" applyNumberFormat="1" applyFont="1" applyFill="1" applyBorder="1" applyAlignment="1" applyProtection="1">
      <alignment horizontal="left" vertical="center" wrapText="1"/>
    </xf>
    <xf numFmtId="10" fontId="55" fillId="6" borderId="48" xfId="0" applyNumberFormat="1" applyFont="1" applyFill="1" applyBorder="1" applyAlignment="1" applyProtection="1">
      <alignment horizontal="left" vertical="center" wrapText="1"/>
    </xf>
    <xf numFmtId="0" fontId="62" fillId="6" borderId="6" xfId="0" applyFont="1" applyFill="1" applyBorder="1" applyAlignment="1" applyProtection="1">
      <alignment horizontal="center" vertical="center" wrapText="1"/>
    </xf>
    <xf numFmtId="0" fontId="62" fillId="6" borderId="9" xfId="0"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138" fillId="6" borderId="25" xfId="0" applyFont="1" applyFill="1" applyBorder="1" applyProtection="1">
      <alignment vertical="center"/>
    </xf>
    <xf numFmtId="0" fontId="55" fillId="6" borderId="19"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0" fontId="55" fillId="6" borderId="48" xfId="0" applyFont="1" applyFill="1" applyBorder="1" applyAlignment="1" applyProtection="1">
      <alignment horizontal="left" vertical="center" wrapText="1"/>
    </xf>
    <xf numFmtId="0" fontId="62" fillId="6" borderId="18"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2" fillId="5" borderId="1"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4" fillId="6" borderId="40"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2" xfId="0" applyFont="1" applyFill="1" applyBorder="1" applyAlignment="1" applyProtection="1">
      <alignment horizontal="center" vertical="center" wrapText="1"/>
    </xf>
    <xf numFmtId="0" fontId="55" fillId="6" borderId="54" xfId="0" applyFont="1" applyFill="1" applyBorder="1" applyAlignment="1" applyProtection="1">
      <alignment horizontal="center" vertical="center" wrapText="1"/>
    </xf>
    <xf numFmtId="0" fontId="55" fillId="6" borderId="1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111" fillId="6" borderId="63" xfId="0" applyFont="1" applyFill="1" applyBorder="1" applyAlignment="1" applyProtection="1">
      <alignment horizontal="center" vertical="center"/>
    </xf>
    <xf numFmtId="0" fontId="111" fillId="6" borderId="64" xfId="0" applyFont="1" applyFill="1" applyBorder="1" applyAlignment="1" applyProtection="1">
      <alignment horizontal="center" vertical="center"/>
    </xf>
    <xf numFmtId="0" fontId="111" fillId="6" borderId="65" xfId="0" applyFont="1" applyFill="1" applyBorder="1" applyAlignment="1" applyProtection="1">
      <alignment horizontal="center" vertical="center"/>
    </xf>
    <xf numFmtId="0" fontId="52" fillId="0" borderId="1" xfId="0" applyFont="1" applyBorder="1" applyAlignment="1" applyProtection="1">
      <alignment horizontal="center" vertical="center"/>
      <protection locked="0"/>
    </xf>
    <xf numFmtId="0" fontId="55" fillId="6" borderId="69" xfId="0" applyFont="1" applyFill="1" applyBorder="1" applyAlignment="1" applyProtection="1">
      <alignment horizontal="center" vertical="center"/>
    </xf>
    <xf numFmtId="0" fontId="55" fillId="6" borderId="60" xfId="0" applyFont="1" applyFill="1" applyBorder="1" applyAlignment="1" applyProtection="1">
      <alignment horizontal="center" vertical="center"/>
    </xf>
    <xf numFmtId="0" fontId="52" fillId="0" borderId="13" xfId="0" applyFont="1" applyBorder="1" applyAlignment="1" applyProtection="1">
      <alignment horizontal="center" vertical="center"/>
      <protection locked="0"/>
    </xf>
    <xf numFmtId="0" fontId="52" fillId="0" borderId="2"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60" fillId="6" borderId="51" xfId="0"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21" xfId="0" applyFont="1" applyFill="1" applyBorder="1" applyAlignment="1" applyProtection="1">
      <alignment horizontal="center" vertical="center" wrapText="1"/>
    </xf>
    <xf numFmtId="0" fontId="60" fillId="6" borderId="46" xfId="0" applyFont="1" applyFill="1" applyBorder="1" applyAlignment="1" applyProtection="1">
      <alignment horizontal="left" vertical="center" wrapText="1"/>
    </xf>
    <xf numFmtId="0" fontId="60" fillId="6" borderId="36" xfId="0" applyFont="1" applyFill="1" applyBorder="1" applyAlignment="1" applyProtection="1">
      <alignment horizontal="left" vertical="center" wrapText="1"/>
    </xf>
    <xf numFmtId="0" fontId="60" fillId="6" borderId="22" xfId="0" applyFont="1" applyFill="1" applyBorder="1" applyAlignment="1" applyProtection="1">
      <alignment horizontal="left" vertical="center" wrapText="1"/>
    </xf>
    <xf numFmtId="0" fontId="54" fillId="6" borderId="40" xfId="0" applyFont="1" applyFill="1" applyBorder="1" applyAlignment="1" applyProtection="1">
      <alignment horizontal="left" vertical="center" wrapText="1"/>
    </xf>
    <xf numFmtId="0" fontId="54" fillId="6" borderId="41" xfId="0" applyFont="1" applyFill="1" applyBorder="1" applyAlignment="1" applyProtection="1">
      <alignment horizontal="left" vertical="center" wrapText="1"/>
    </xf>
    <xf numFmtId="0" fontId="60" fillId="6" borderId="47" xfId="0" applyFont="1" applyFill="1" applyBorder="1" applyAlignment="1" applyProtection="1">
      <alignment horizontal="center" vertical="center"/>
    </xf>
    <xf numFmtId="0" fontId="55" fillId="6" borderId="23" xfId="0" applyFont="1" applyFill="1" applyBorder="1" applyAlignment="1" applyProtection="1">
      <alignment horizontal="left" vertical="center" wrapText="1"/>
    </xf>
    <xf numFmtId="0" fontId="59" fillId="0" borderId="13" xfId="0" applyFont="1" applyBorder="1" applyAlignment="1" applyProtection="1">
      <alignment horizontal="center" vertical="center"/>
      <protection locked="0"/>
    </xf>
    <xf numFmtId="0" fontId="59" fillId="0" borderId="15" xfId="0" applyFont="1" applyBorder="1" applyAlignment="1" applyProtection="1">
      <alignment horizontal="center" vertical="center"/>
      <protection locked="0"/>
    </xf>
    <xf numFmtId="0" fontId="59" fillId="0" borderId="2" xfId="0" applyFont="1" applyBorder="1" applyAlignment="1" applyProtection="1">
      <alignment horizontal="center" vertical="center"/>
      <protection locked="0"/>
    </xf>
    <xf numFmtId="10" fontId="125" fillId="6" borderId="5" xfId="0" applyNumberFormat="1" applyFont="1" applyFill="1" applyBorder="1" applyAlignment="1" applyProtection="1">
      <alignment horizontal="left" vertical="center" wrapText="1"/>
    </xf>
    <xf numFmtId="10" fontId="125" fillId="6" borderId="54" xfId="0" applyNumberFormat="1" applyFont="1" applyFill="1" applyBorder="1" applyAlignment="1" applyProtection="1">
      <alignment horizontal="left" vertical="center" wrapText="1"/>
    </xf>
    <xf numFmtId="10" fontId="125" fillId="6" borderId="48" xfId="0" applyNumberFormat="1" applyFont="1" applyFill="1" applyBorder="1" applyAlignment="1" applyProtection="1">
      <alignment horizontal="left" vertical="center" wrapText="1"/>
    </xf>
    <xf numFmtId="0" fontId="61" fillId="6" borderId="61" xfId="0" applyFont="1" applyFill="1" applyBorder="1" applyAlignment="1" applyProtection="1">
      <alignment horizontal="left" vertical="center"/>
    </xf>
    <xf numFmtId="0" fontId="61" fillId="6" borderId="53" xfId="0" applyFont="1" applyFill="1" applyBorder="1" applyAlignment="1" applyProtection="1">
      <alignment horizontal="left" vertical="center"/>
    </xf>
    <xf numFmtId="0" fontId="61" fillId="6" borderId="8" xfId="0" applyFont="1" applyFill="1" applyBorder="1" applyAlignment="1" applyProtection="1">
      <alignment horizontal="left" vertical="center"/>
    </xf>
    <xf numFmtId="0" fontId="125" fillId="6" borderId="34" xfId="0" applyFont="1" applyFill="1" applyBorder="1" applyAlignment="1" applyProtection="1">
      <alignment horizontal="left" vertical="center" wrapText="1"/>
    </xf>
    <xf numFmtId="0" fontId="125" fillId="6" borderId="65" xfId="0" applyFont="1" applyFill="1" applyBorder="1" applyAlignment="1" applyProtection="1">
      <alignment horizontal="left" vertical="center" wrapText="1"/>
    </xf>
    <xf numFmtId="0" fontId="55" fillId="6" borderId="13" xfId="0" applyFont="1" applyFill="1" applyBorder="1" applyAlignment="1" applyProtection="1">
      <alignment vertical="top" wrapText="1"/>
    </xf>
    <xf numFmtId="0" fontId="55" fillId="6" borderId="15" xfId="0" applyFont="1" applyFill="1" applyBorder="1" applyAlignment="1" applyProtection="1">
      <alignment vertical="top" wrapText="1"/>
    </xf>
    <xf numFmtId="0" fontId="55" fillId="6" borderId="2" xfId="0" applyFont="1" applyFill="1" applyBorder="1" applyAlignment="1" applyProtection="1">
      <alignment vertical="top" wrapText="1"/>
    </xf>
    <xf numFmtId="0" fontId="226" fillId="6" borderId="1" xfId="0" applyFont="1" applyFill="1" applyBorder="1" applyAlignment="1">
      <alignment horizontal="center" vertical="center"/>
    </xf>
    <xf numFmtId="0" fontId="147" fillId="6" borderId="37" xfId="0" applyFont="1" applyFill="1" applyBorder="1" applyAlignment="1">
      <alignment horizontal="left" vertical="center"/>
    </xf>
    <xf numFmtId="0" fontId="147" fillId="6" borderId="54" xfId="0" applyFont="1" applyFill="1" applyBorder="1" applyAlignment="1">
      <alignment horizontal="left" vertical="center"/>
    </xf>
    <xf numFmtId="0" fontId="147" fillId="6" borderId="3" xfId="0" applyFont="1" applyFill="1" applyBorder="1" applyAlignment="1">
      <alignment horizontal="left" vertical="center"/>
    </xf>
    <xf numFmtId="0" fontId="149" fillId="6" borderId="1" xfId="0" applyFont="1" applyFill="1" applyBorder="1" applyAlignment="1">
      <alignment horizontal="center" vertical="center"/>
    </xf>
    <xf numFmtId="0" fontId="149" fillId="6" borderId="24" xfId="0" applyFont="1" applyFill="1" applyBorder="1" applyAlignment="1">
      <alignment horizontal="center" vertical="center"/>
    </xf>
    <xf numFmtId="0" fontId="89" fillId="6" borderId="23" xfId="0" applyFont="1" applyFill="1" applyBorder="1" applyAlignment="1">
      <alignment horizontal="left" vertical="center" wrapText="1"/>
    </xf>
    <xf numFmtId="0" fontId="24" fillId="0" borderId="1" xfId="0" applyFont="1" applyFill="1" applyBorder="1" applyAlignment="1">
      <alignment horizontal="center" vertical="center"/>
    </xf>
    <xf numFmtId="0" fontId="89" fillId="0" borderId="1" xfId="0" applyFont="1" applyFill="1" applyBorder="1" applyAlignment="1">
      <alignment horizontal="center" vertical="center"/>
    </xf>
    <xf numFmtId="0" fontId="24" fillId="0" borderId="1" xfId="0" applyFont="1" applyBorder="1" applyAlignment="1"/>
    <xf numFmtId="0" fontId="89" fillId="6" borderId="1" xfId="0" applyFont="1" applyFill="1" applyBorder="1" applyAlignment="1">
      <alignment horizontal="left" vertical="center" wrapText="1"/>
    </xf>
    <xf numFmtId="0" fontId="150" fillId="6" borderId="55" xfId="0" applyFont="1" applyFill="1" applyBorder="1" applyAlignment="1">
      <alignment vertical="center"/>
    </xf>
    <xf numFmtId="0" fontId="150" fillId="6" borderId="36" xfId="0" applyFont="1" applyFill="1" applyBorder="1" applyAlignment="1">
      <alignment vertical="center"/>
    </xf>
    <xf numFmtId="0" fontId="150" fillId="6" borderId="22" xfId="0" applyFont="1" applyFill="1" applyBorder="1" applyAlignment="1">
      <alignment vertical="center"/>
    </xf>
    <xf numFmtId="0" fontId="150" fillId="6" borderId="42" xfId="0" applyFont="1" applyFill="1" applyBorder="1" applyAlignment="1">
      <alignment vertical="center"/>
    </xf>
    <xf numFmtId="0" fontId="150" fillId="6" borderId="47" xfId="0" applyFont="1" applyFill="1" applyBorder="1" applyAlignment="1">
      <alignment vertical="center"/>
    </xf>
    <xf numFmtId="0" fontId="150" fillId="6" borderId="73" xfId="0" applyFont="1" applyFill="1" applyBorder="1" applyAlignment="1">
      <alignment vertical="center"/>
    </xf>
    <xf numFmtId="0" fontId="89" fillId="11" borderId="1" xfId="0" applyFont="1" applyFill="1" applyBorder="1" applyAlignment="1">
      <alignment horizontal="center" vertical="center"/>
    </xf>
    <xf numFmtId="0" fontId="24" fillId="0" borderId="1" xfId="0" applyFont="1" applyBorder="1" applyAlignment="1">
      <alignment horizontal="center"/>
    </xf>
    <xf numFmtId="0" fontId="150" fillId="11" borderId="5" xfId="0" applyFont="1" applyFill="1" applyBorder="1" applyAlignment="1">
      <alignment horizontal="left" vertical="center"/>
    </xf>
    <xf numFmtId="0" fontId="150" fillId="11" borderId="54" xfId="0" applyFont="1" applyFill="1" applyBorder="1" applyAlignment="1">
      <alignment horizontal="left" vertical="center"/>
    </xf>
    <xf numFmtId="0" fontId="150" fillId="11" borderId="3" xfId="0" applyFont="1" applyFill="1" applyBorder="1" applyAlignment="1">
      <alignment horizontal="left" vertical="center"/>
    </xf>
    <xf numFmtId="0" fontId="59" fillId="6" borderId="13" xfId="0" applyFont="1" applyFill="1" applyBorder="1" applyAlignment="1" applyProtection="1">
      <alignment horizontal="center" vertical="center"/>
    </xf>
    <xf numFmtId="0" fontId="59" fillId="6" borderId="15" xfId="0"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2" fillId="6" borderId="5"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9" fillId="6" borderId="46" xfId="0" applyFont="1" applyFill="1" applyBorder="1" applyAlignment="1" applyProtection="1">
      <alignment horizontal="center" vertical="center"/>
    </xf>
    <xf numFmtId="0" fontId="59" fillId="6" borderId="22" xfId="0" applyFont="1" applyFill="1" applyBorder="1" applyAlignment="1" applyProtection="1">
      <alignment horizontal="center" vertical="center"/>
    </xf>
    <xf numFmtId="0" fontId="59" fillId="6" borderId="58" xfId="0" applyFont="1" applyFill="1" applyBorder="1" applyAlignment="1" applyProtection="1">
      <alignment horizontal="center" vertical="center"/>
    </xf>
    <xf numFmtId="0" fontId="59"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10" xfId="0" applyFont="1" applyFill="1" applyBorder="1" applyAlignment="1" applyProtection="1">
      <alignment horizontal="center" vertical="center" wrapText="1"/>
    </xf>
    <xf numFmtId="0" fontId="59" fillId="6" borderId="30" xfId="0" applyFont="1" applyFill="1" applyBorder="1" applyAlignment="1" applyProtection="1">
      <alignment horizontal="center" vertical="center" wrapText="1"/>
    </xf>
    <xf numFmtId="0" fontId="59" fillId="6" borderId="28" xfId="0" applyFont="1" applyFill="1" applyBorder="1" applyAlignment="1" applyProtection="1">
      <alignment horizontal="center" vertical="center" wrapText="1"/>
    </xf>
    <xf numFmtId="0" fontId="59" fillId="6" borderId="46"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0" fontId="59" fillId="6" borderId="58"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0" fontId="59" fillId="6" borderId="7"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xf>
    <xf numFmtId="0" fontId="59" fillId="6" borderId="7" xfId="0"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9" fillId="6" borderId="5" xfId="0" applyFont="1" applyFill="1" applyBorder="1" applyAlignment="1" applyProtection="1">
      <alignment horizontal="center" vertical="center" wrapText="1"/>
    </xf>
    <xf numFmtId="0" fontId="59" fillId="6" borderId="3"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wrapText="1"/>
    </xf>
    <xf numFmtId="0" fontId="59" fillId="6" borderId="1" xfId="0" applyNumberFormat="1" applyFont="1" applyFill="1" applyBorder="1" applyAlignment="1" applyProtection="1">
      <alignment horizontal="center" vertical="center"/>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11" xfId="0" applyFont="1" applyFill="1" applyBorder="1" applyAlignment="1" applyProtection="1">
      <alignment horizontal="center" vertical="center" textRotation="255" wrapText="1"/>
    </xf>
    <xf numFmtId="0" fontId="59" fillId="6" borderId="14" xfId="0" applyFont="1" applyFill="1" applyBorder="1" applyAlignment="1" applyProtection="1">
      <alignment horizontal="center" vertical="center" textRotation="255" wrapText="1"/>
    </xf>
    <xf numFmtId="0" fontId="59" fillId="6" borderId="41" xfId="0" applyFont="1" applyFill="1" applyBorder="1" applyAlignment="1" applyProtection="1">
      <alignment horizontal="center" vertical="center" textRotation="255" wrapText="1"/>
    </xf>
    <xf numFmtId="0" fontId="59" fillId="6" borderId="15" xfId="0" applyFont="1" applyFill="1" applyBorder="1" applyAlignment="1" applyProtection="1">
      <alignment horizontal="center" vertical="center" textRotation="255" wrapText="1"/>
    </xf>
    <xf numFmtId="0" fontId="59" fillId="6" borderId="2" xfId="0" applyFont="1" applyFill="1" applyBorder="1" applyAlignment="1" applyProtection="1">
      <alignment horizontal="center" vertical="center" textRotation="255" wrapText="1"/>
    </xf>
    <xf numFmtId="0" fontId="59" fillId="6" borderId="11"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59" fillId="6" borderId="17" xfId="0" applyFont="1" applyFill="1" applyBorder="1" applyAlignment="1" applyProtection="1">
      <alignment horizontal="center" vertical="center"/>
    </xf>
    <xf numFmtId="0" fontId="59" fillId="6" borderId="29" xfId="0" applyFont="1" applyFill="1" applyBorder="1" applyAlignment="1" applyProtection="1">
      <alignment horizontal="center" vertical="center"/>
    </xf>
    <xf numFmtId="0" fontId="59" fillId="6" borderId="39" xfId="0" applyFont="1" applyFill="1" applyBorder="1" applyAlignment="1" applyProtection="1">
      <alignment horizontal="center" vertical="center"/>
    </xf>
    <xf numFmtId="0" fontId="59" fillId="6" borderId="62" xfId="0" applyFont="1" applyFill="1" applyBorder="1" applyAlignment="1" applyProtection="1">
      <alignment horizontal="center" vertical="center"/>
    </xf>
    <xf numFmtId="0" fontId="59" fillId="6" borderId="53" xfId="0" applyFont="1" applyFill="1" applyBorder="1" applyAlignment="1" applyProtection="1">
      <alignment horizontal="center" vertical="center"/>
    </xf>
    <xf numFmtId="0" fontId="59" fillId="6" borderId="8" xfId="0" applyFont="1" applyFill="1" applyBorder="1" applyAlignment="1" applyProtection="1">
      <alignment horizontal="center" vertical="center"/>
    </xf>
    <xf numFmtId="0" fontId="59" fillId="6" borderId="16"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59" fillId="6" borderId="18" xfId="0" applyFont="1" applyFill="1" applyBorder="1" applyAlignment="1" applyProtection="1">
      <alignment horizontal="center" vertical="center" wrapText="1"/>
    </xf>
    <xf numFmtId="0" fontId="59" fillId="6" borderId="69"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xf>
    <xf numFmtId="0" fontId="52" fillId="6" borderId="37" xfId="0" applyFont="1" applyFill="1" applyBorder="1" applyAlignment="1" applyProtection="1">
      <alignment horizontal="center" vertical="center"/>
    </xf>
    <xf numFmtId="0" fontId="59" fillId="6" borderId="38" xfId="0" applyFont="1" applyFill="1" applyBorder="1" applyAlignment="1" applyProtection="1">
      <alignment horizontal="center" vertical="center" wrapText="1"/>
    </xf>
    <xf numFmtId="0" fontId="59" fillId="6" borderId="66" xfId="0" applyFont="1" applyFill="1" applyBorder="1" applyAlignment="1" applyProtection="1">
      <alignment horizontal="center" vertical="center" wrapText="1"/>
    </xf>
    <xf numFmtId="0" fontId="58" fillId="6" borderId="32" xfId="0" applyNumberFormat="1" applyFont="1" applyFill="1" applyBorder="1" applyAlignment="1" applyProtection="1">
      <alignment horizontal="center" vertical="center"/>
    </xf>
    <xf numFmtId="0" fontId="59" fillId="6" borderId="13" xfId="0" applyFont="1" applyFill="1" applyBorder="1" applyAlignment="1" applyProtection="1">
      <alignment horizontal="center" vertical="center" textRotation="255" wrapText="1"/>
    </xf>
    <xf numFmtId="186" fontId="59" fillId="6" borderId="1" xfId="0" applyNumberFormat="1" applyFont="1" applyFill="1" applyBorder="1" applyAlignment="1" applyProtection="1">
      <alignment horizontal="center" vertical="center"/>
    </xf>
    <xf numFmtId="186" fontId="58" fillId="6" borderId="1" xfId="0" applyNumberFormat="1" applyFont="1" applyFill="1" applyBorder="1" applyAlignment="1" applyProtection="1">
      <alignment horizontal="center" vertical="center"/>
    </xf>
    <xf numFmtId="0" fontId="59" fillId="6" borderId="9" xfId="0" applyFont="1" applyFill="1" applyBorder="1" applyAlignment="1" applyProtection="1">
      <alignment horizontal="center" vertical="center" wrapText="1"/>
    </xf>
    <xf numFmtId="0" fontId="110" fillId="6" borderId="23" xfId="0" applyFont="1" applyFill="1" applyBorder="1" applyAlignment="1" applyProtection="1">
      <alignment horizontal="center" vertical="center"/>
    </xf>
    <xf numFmtId="0" fontId="59" fillId="0" borderId="11" xfId="0" applyFont="1" applyFill="1" applyBorder="1" applyAlignment="1" applyProtection="1">
      <alignment horizontal="center" vertical="center" wrapText="1"/>
      <protection locked="0"/>
    </xf>
    <xf numFmtId="0" fontId="59" fillId="0" borderId="61"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59" fillId="0" borderId="46" xfId="0" applyFont="1" applyFill="1" applyBorder="1" applyAlignment="1" applyProtection="1">
      <alignment horizontal="center" vertical="center" wrapText="1"/>
      <protection locked="0"/>
    </xf>
    <xf numFmtId="49" fontId="61" fillId="6" borderId="40" xfId="0" applyNumberFormat="1" applyFont="1" applyFill="1" applyBorder="1" applyAlignment="1" applyProtection="1">
      <alignment horizontal="center" vertical="center" wrapText="1"/>
    </xf>
    <xf numFmtId="49" fontId="61" fillId="6" borderId="12" xfId="0" applyNumberFormat="1" applyFont="1" applyFill="1" applyBorder="1" applyAlignment="1" applyProtection="1">
      <alignment horizontal="center" vertical="center" wrapText="1"/>
    </xf>
    <xf numFmtId="0" fontId="113" fillId="6" borderId="0" xfId="0" applyFont="1" applyFill="1" applyAlignment="1" applyProtection="1">
      <alignment horizontal="center" vertical="center"/>
    </xf>
    <xf numFmtId="0" fontId="110" fillId="0" borderId="0" xfId="0" applyFont="1" applyAlignment="1" applyProtection="1">
      <alignment horizontal="left"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53" fillId="6" borderId="13" xfId="0" applyFont="1" applyFill="1" applyBorder="1" applyAlignment="1" applyProtection="1">
      <alignment vertical="center" wrapText="1"/>
    </xf>
    <xf numFmtId="0" fontId="153" fillId="6" borderId="15" xfId="0" applyFont="1" applyFill="1" applyBorder="1" applyAlignment="1" applyProtection="1">
      <alignment vertical="center" wrapText="1"/>
    </xf>
    <xf numFmtId="0" fontId="153" fillId="6" borderId="2" xfId="0" applyFont="1" applyFill="1" applyBorder="1" applyAlignment="1" applyProtection="1">
      <alignment vertical="center" wrapText="1"/>
    </xf>
    <xf numFmtId="0" fontId="61" fillId="6" borderId="29" xfId="0" applyFont="1" applyFill="1" applyBorder="1" applyAlignment="1" applyProtection="1">
      <alignment horizontal="center" vertical="center" wrapText="1"/>
    </xf>
    <xf numFmtId="0" fontId="61" fillId="6" borderId="39" xfId="0" applyFont="1" applyFill="1" applyBorder="1" applyAlignment="1" applyProtection="1">
      <alignment horizontal="center" vertical="center" wrapText="1"/>
    </xf>
    <xf numFmtId="0" fontId="61" fillId="6" borderId="54" xfId="8" applyFont="1" applyFill="1" applyBorder="1" applyAlignment="1" applyProtection="1">
      <alignment horizontal="right" vertical="center" wrapText="1"/>
      <protection locked="0"/>
    </xf>
    <xf numFmtId="0" fontId="61" fillId="6" borderId="3" xfId="8" applyFont="1" applyFill="1" applyBorder="1" applyAlignment="1" applyProtection="1">
      <alignment horizontal="right" vertical="center" wrapText="1"/>
      <protection locked="0"/>
    </xf>
    <xf numFmtId="0" fontId="61" fillId="6" borderId="3" xfId="8" applyFont="1" applyFill="1" applyBorder="1" applyAlignment="1" applyProtection="1">
      <alignment horizontal="center" vertical="center" wrapText="1"/>
      <protection locked="0"/>
    </xf>
    <xf numFmtId="0" fontId="65" fillId="6" borderId="5" xfId="0" applyFont="1" applyFill="1" applyBorder="1" applyAlignment="1" applyProtection="1">
      <alignment horizontal="center" vertical="center" wrapText="1"/>
    </xf>
    <xf numFmtId="0" fontId="65" fillId="6" borderId="54" xfId="0" applyFont="1" applyFill="1" applyBorder="1" applyAlignment="1" applyProtection="1">
      <alignment horizontal="center" vertical="center" wrapText="1"/>
    </xf>
    <xf numFmtId="0" fontId="65" fillId="6" borderId="0" xfId="0" applyFont="1" applyFill="1" applyBorder="1" applyAlignment="1" applyProtection="1">
      <alignment horizontal="center" vertical="center" wrapText="1"/>
    </xf>
    <xf numFmtId="0" fontId="65" fillId="6" borderId="22" xfId="0" applyFont="1" applyFill="1" applyBorder="1" applyAlignment="1" applyProtection="1">
      <alignment horizontal="center" vertical="center" wrapText="1"/>
    </xf>
    <xf numFmtId="49" fontId="61" fillId="6" borderId="14" xfId="0" applyNumberFormat="1" applyFont="1" applyFill="1" applyBorder="1" applyAlignment="1" applyProtection="1">
      <alignment horizontal="center" vertical="center" wrapText="1"/>
    </xf>
    <xf numFmtId="49" fontId="109" fillId="6" borderId="18" xfId="0" applyNumberFormat="1" applyFont="1" applyFill="1" applyBorder="1" applyAlignment="1" applyProtection="1">
      <alignment horizontal="center" vertical="center" wrapText="1"/>
    </xf>
    <xf numFmtId="49" fontId="109" fillId="6" borderId="12" xfId="0" applyNumberFormat="1"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xf>
    <xf numFmtId="0" fontId="150" fillId="0" borderId="0" xfId="9" applyFont="1" applyAlignment="1">
      <alignment horizontal="center" vertical="center"/>
    </xf>
    <xf numFmtId="0" fontId="113" fillId="0" borderId="0" xfId="9" applyFont="1" applyAlignment="1">
      <alignment horizontal="center" vertical="center"/>
    </xf>
    <xf numFmtId="0" fontId="157" fillId="12" borderId="132" xfId="9" applyFont="1" applyFill="1" applyBorder="1" applyAlignment="1" applyProtection="1">
      <alignment horizontal="center" vertical="center" wrapText="1"/>
    </xf>
    <xf numFmtId="0" fontId="157" fillId="12" borderId="126" xfId="9" applyFont="1" applyFill="1" applyBorder="1" applyAlignment="1" applyProtection="1">
      <alignment horizontal="center" vertical="center" wrapText="1"/>
    </xf>
    <xf numFmtId="0" fontId="157" fillId="12" borderId="128" xfId="9" applyFont="1" applyFill="1" applyBorder="1" applyAlignment="1" applyProtection="1">
      <alignment horizontal="center" vertical="center" wrapText="1"/>
    </xf>
    <xf numFmtId="0" fontId="155" fillId="0" borderId="0" xfId="9" applyFont="1" applyAlignment="1">
      <alignment horizontal="center" vertical="center"/>
    </xf>
    <xf numFmtId="0" fontId="157" fillId="12" borderId="123" xfId="9" applyFont="1" applyFill="1" applyBorder="1" applyAlignment="1" applyProtection="1">
      <alignment horizontal="center" vertical="center" wrapText="1"/>
    </xf>
    <xf numFmtId="0" fontId="110" fillId="12" borderId="132" xfId="9" applyFont="1" applyFill="1" applyBorder="1" applyAlignment="1" applyProtection="1">
      <alignment horizontal="center" vertical="center" wrapText="1"/>
    </xf>
    <xf numFmtId="0" fontId="110" fillId="12" borderId="126" xfId="9" applyFont="1" applyFill="1" applyBorder="1" applyAlignment="1" applyProtection="1">
      <alignment horizontal="center" vertical="center" wrapText="1"/>
    </xf>
    <xf numFmtId="0" fontId="110" fillId="12" borderId="128" xfId="9" applyFont="1" applyFill="1" applyBorder="1" applyAlignment="1" applyProtection="1">
      <alignment horizontal="center" vertical="center" wrapText="1"/>
    </xf>
    <xf numFmtId="0" fontId="157" fillId="12" borderId="155" xfId="9"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xf>
    <xf numFmtId="0" fontId="55" fillId="6" borderId="75" xfId="0" applyFont="1" applyFill="1" applyBorder="1" applyAlignment="1" applyProtection="1">
      <alignment horizontal="center" vertical="center"/>
      <protection locked="0"/>
    </xf>
    <xf numFmtId="0" fontId="55" fillId="6" borderId="47" xfId="0" applyFont="1" applyFill="1" applyBorder="1" applyAlignment="1" applyProtection="1">
      <alignment horizontal="center" vertical="center"/>
      <protection locked="0"/>
    </xf>
    <xf numFmtId="0" fontId="55" fillId="6" borderId="73" xfId="0" applyFont="1" applyFill="1" applyBorder="1" applyAlignment="1" applyProtection="1">
      <alignment horizontal="center" vertical="center"/>
      <protection locked="0"/>
    </xf>
    <xf numFmtId="0" fontId="134" fillId="6" borderId="0" xfId="0" applyFont="1" applyFill="1" applyAlignment="1" applyProtection="1">
      <alignment horizontal="center" vertical="center"/>
    </xf>
    <xf numFmtId="0" fontId="123" fillId="6" borderId="0" xfId="0" applyFont="1" applyFill="1" applyBorder="1" applyAlignment="1" applyProtection="1">
      <alignment horizontal="left" vertical="center"/>
    </xf>
    <xf numFmtId="0" fontId="122" fillId="6" borderId="6" xfId="0" applyFont="1" applyFill="1" applyBorder="1" applyAlignment="1" applyProtection="1">
      <alignment horizontal="center" vertical="center" wrapText="1"/>
    </xf>
    <xf numFmtId="0" fontId="122" fillId="6" borderId="25" xfId="0" applyFont="1" applyFill="1" applyBorder="1" applyAlignment="1" applyProtection="1">
      <alignment horizontal="center" vertical="center" wrapText="1"/>
    </xf>
    <xf numFmtId="0" fontId="0" fillId="0" borderId="1" xfId="0" applyBorder="1" applyAlignment="1">
      <alignment horizontal="left" vertical="top"/>
    </xf>
    <xf numFmtId="0" fontId="52" fillId="22" borderId="23" xfId="0" applyFont="1" applyFill="1" applyBorder="1" applyAlignment="1" applyProtection="1">
      <alignment vertical="center"/>
      <protection locked="0"/>
    </xf>
    <xf numFmtId="181" fontId="60" fillId="22" borderId="61" xfId="0" applyNumberFormat="1" applyFont="1" applyFill="1" applyBorder="1" applyAlignment="1" applyProtection="1">
      <alignment horizontal="center" vertical="center"/>
      <protection locked="0"/>
    </xf>
    <xf numFmtId="181" fontId="52" fillId="22" borderId="1" xfId="0" applyNumberFormat="1" applyFont="1" applyFill="1" applyBorder="1" applyAlignment="1" applyProtection="1">
      <alignment vertical="center"/>
      <protection locked="0"/>
    </xf>
  </cellXfs>
  <cellStyles count="20">
    <cellStyle name="百分比 2" xfId="14"/>
    <cellStyle name="常规" xfId="0" builtinId="0"/>
    <cellStyle name="常规 10" xfId="17"/>
    <cellStyle name="常规 11" xfId="18"/>
    <cellStyle name="常规 12"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466871</xdr:colOff>
      <xdr:row>30</xdr:row>
      <xdr:rowOff>39893</xdr:rowOff>
    </xdr:from>
    <xdr:to>
      <xdr:col>13</xdr:col>
      <xdr:colOff>371474</xdr:colOff>
      <xdr:row>56</xdr:row>
      <xdr:rowOff>38665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1271" y="9288668"/>
          <a:ext cx="6819753" cy="4456472"/>
        </a:xfrm>
        <a:prstGeom prst="rect">
          <a:avLst/>
        </a:prstGeom>
      </xdr:spPr>
    </xdr:pic>
    <xdr:clientData/>
  </xdr:twoCellAnchor>
  <xdr:twoCellAnchor editAs="oneCell">
    <xdr:from>
      <xdr:col>4</xdr:col>
      <xdr:colOff>445421</xdr:colOff>
      <xdr:row>10</xdr:row>
      <xdr:rowOff>266700</xdr:rowOff>
    </xdr:from>
    <xdr:to>
      <xdr:col>13</xdr:col>
      <xdr:colOff>350024</xdr:colOff>
      <xdr:row>29</xdr:row>
      <xdr:rowOff>129543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69821" y="3971925"/>
          <a:ext cx="6819753" cy="5139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504825</xdr:colOff>
      <xdr:row>42</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420225" cy="7248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488207</xdr:colOff>
      <xdr:row>0</xdr:row>
      <xdr:rowOff>0</xdr:rowOff>
    </xdr:from>
    <xdr:to>
      <xdr:col>15</xdr:col>
      <xdr:colOff>85725</xdr:colOff>
      <xdr:row>30</xdr:row>
      <xdr:rowOff>53067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03007" y="0"/>
          <a:ext cx="5769718" cy="5196567"/>
        </a:xfrm>
        <a:prstGeom prst="rect">
          <a:avLst/>
        </a:prstGeom>
      </xdr:spPr>
    </xdr:pic>
    <xdr:clientData/>
  </xdr:twoCellAnchor>
  <xdr:twoCellAnchor editAs="oneCell">
    <xdr:from>
      <xdr:col>6</xdr:col>
      <xdr:colOff>413551</xdr:colOff>
      <xdr:row>61</xdr:row>
      <xdr:rowOff>35700</xdr:rowOff>
    </xdr:from>
    <xdr:to>
      <xdr:col>15</xdr:col>
      <xdr:colOff>57460</xdr:colOff>
      <xdr:row>91</xdr:row>
      <xdr:rowOff>88767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28351" y="10494150"/>
          <a:ext cx="5816109" cy="5196567"/>
        </a:xfrm>
        <a:prstGeom prst="rect">
          <a:avLst/>
        </a:prstGeom>
      </xdr:spPr>
    </xdr:pic>
    <xdr:clientData/>
  </xdr:twoCellAnchor>
  <xdr:twoCellAnchor editAs="oneCell">
    <xdr:from>
      <xdr:col>15</xdr:col>
      <xdr:colOff>83082</xdr:colOff>
      <xdr:row>0</xdr:row>
      <xdr:rowOff>0</xdr:rowOff>
    </xdr:from>
    <xdr:to>
      <xdr:col>23</xdr:col>
      <xdr:colOff>461925</xdr:colOff>
      <xdr:row>30</xdr:row>
      <xdr:rowOff>46699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70082" y="0"/>
          <a:ext cx="5865243" cy="5190199"/>
        </a:xfrm>
        <a:prstGeom prst="rect">
          <a:avLst/>
        </a:prstGeom>
      </xdr:spPr>
    </xdr:pic>
    <xdr:clientData/>
  </xdr:twoCellAnchor>
  <xdr:twoCellAnchor editAs="oneCell">
    <xdr:from>
      <xdr:col>14</xdr:col>
      <xdr:colOff>587432</xdr:colOff>
      <xdr:row>30</xdr:row>
      <xdr:rowOff>49950</xdr:rowOff>
    </xdr:from>
    <xdr:to>
      <xdr:col>22</xdr:col>
      <xdr:colOff>297599</xdr:colOff>
      <xdr:row>60</xdr:row>
      <xdr:rowOff>103017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88632" y="5193450"/>
          <a:ext cx="5196567" cy="5196567"/>
        </a:xfrm>
        <a:prstGeom prst="rect">
          <a:avLst/>
        </a:prstGeom>
      </xdr:spPr>
    </xdr:pic>
    <xdr:clientData/>
  </xdr:twoCellAnchor>
  <xdr:twoCellAnchor editAs="oneCell">
    <xdr:from>
      <xdr:col>6</xdr:col>
      <xdr:colOff>470732</xdr:colOff>
      <xdr:row>30</xdr:row>
      <xdr:rowOff>72117</xdr:rowOff>
    </xdr:from>
    <xdr:to>
      <xdr:col>14</xdr:col>
      <xdr:colOff>180899</xdr:colOff>
      <xdr:row>61</xdr:row>
      <xdr:rowOff>60944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585532" y="5215617"/>
          <a:ext cx="5196567" cy="53037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133350</xdr:rowOff>
    </xdr:from>
    <xdr:to>
      <xdr:col>9</xdr:col>
      <xdr:colOff>791578</xdr:colOff>
      <xdr:row>48</xdr:row>
      <xdr:rowOff>152426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733800"/>
          <a:ext cx="7754353" cy="46482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133350</xdr:colOff>
      <xdr:row>28</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734550" cy="4895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65288;&#20161;&#24576;10-12&#21495;&#27004;&#21450;&#22269;&#37202;&#26032;&#22478;&#21335;&#2130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Sheet1"/>
      <sheetName val="数据-汇总表"/>
      <sheetName val="数据-取费表"/>
      <sheetName val="估价对象房地状况"/>
      <sheetName val="10-12 租约"/>
      <sheetName val="系统读取表"/>
      <sheetName val="结果表（10-12号楼）"/>
      <sheetName val="成本法（10-12号楼）"/>
      <sheetName val="成本法 (元)"/>
      <sheetName val="假设开发法"/>
      <sheetName val="收益法（10-12号楼）"/>
      <sheetName val="收益法 (元)"/>
      <sheetName val="结果表（国酒新城南区）"/>
      <sheetName val="成本法（国酒新城南区）"/>
      <sheetName val="收益法（国酒新城南区）"/>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31148.5</v>
          </cell>
        </row>
        <row r="2">
          <cell r="B2">
            <v>0</v>
          </cell>
        </row>
        <row r="5">
          <cell r="B5">
            <v>14532</v>
          </cell>
        </row>
        <row r="6">
          <cell r="B6">
            <v>14532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贵州省遵义市仁怀市盐津街道办事处城南社区酒都广场局部房地产房地产抵押价值预评估</v>
      </c>
    </row>
    <row r="3" spans="1:2" s="1591" customFormat="1">
      <c r="A3" s="1589" t="s">
        <v>1217</v>
      </c>
      <c r="B3" s="1590" t="str">
        <f>'预评函-封皮'!B40</f>
        <v>中信信托有限责任公司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受贵公司委托，我公司对贵州省遵义市仁怀市盐津街道办事处城南社区酒都广场局部房地产房地产抵押价值进行了预评估。</v>
      </c>
    </row>
    <row r="7" spans="1:2" s="1591" customFormat="1">
      <c r="A7" s="1589" t="s">
        <v>1260</v>
      </c>
      <c r="B7" s="1590" t="str">
        <f>'预评函-1'!A7</f>
        <v>估价对象为贵州省遵义市仁怀市盐津街道办事处城南社区酒都广场局部房地产房地产，为仁怀市城市开发建设投资经营有限责任公司所有。根据《国有土地使用证》[]，估价对象（分摊）出让国有建设用地使用权面积为0平方米，建筑面积为10771.04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贵州省遵义市仁怀市盐津街道办事处城南社区酒都广场局部房地产房地产,属仁怀市城市开发建设投资经营有限责任公司开发建设的综合项目（商业、办公），该项目尚在开发建设中。根据《国有土地使用证》[]，估价对象（分摊）出让国有建设用地使用权面积为0平方米，规划建筑面积为10771.04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仁怀市城市开发建设投资经营有限责任公司拟使用贵州省遵义市仁怀市盐津街道办事处城南社区酒都广场局部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2019年7月25日（评估专业人员实地查勘之日）</v>
      </c>
    </row>
    <row r="13" spans="1:2" s="1591" customFormat="1">
      <c r="A13" s="1589" t="s">
        <v>1223</v>
      </c>
      <c r="B13" s="1590" t="str">
        <f>'预评函-1'!A18</f>
        <v>本次估价的“房地产价值”是指在正常市场情况下，在价值时点2019年7月25日，估价对象规划用途为办公、商业，土地取得方式为出让，出让国有建设用地使用权剩余土地使用年限为商业37.46年，假定未设立法定优先受偿款下的房地产市场价值。</v>
      </c>
    </row>
    <row r="14" spans="1:2" s="1591" customFormat="1">
      <c r="A14" s="1589" t="s">
        <v>1224</v>
      </c>
      <c r="B14" s="1590" t="str">
        <f>'预评函-1'!A19</f>
        <v>其中，“出让国有建设用地使用权价值”是指估价对象用途为办公、商业，实际开发程度为宗地红线外“七通”（即通路、通电、通讯、通上水、通下水、、）、红线内场地平整条件下，剩余土地使用年限为商业37.46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6561</v>
      </c>
    </row>
    <row r="21" spans="1:2" s="1591" customFormat="1">
      <c r="A21" s="1589" t="s">
        <v>1231</v>
      </c>
      <c r="B21" s="1590">
        <f ca="1">'预评函-2'!D7</f>
        <v>11704</v>
      </c>
    </row>
    <row r="22" spans="1:2" s="1591" customFormat="1">
      <c r="A22" s="1589" t="s">
        <v>1232</v>
      </c>
      <c r="B22" s="1590" t="str">
        <f ca="1">'预评函-2'!D6</f>
        <v>陆仟伍佰陆拾壹万元整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6561</v>
      </c>
    </row>
    <row r="31" spans="1:2" s="1591" customFormat="1">
      <c r="A31" s="1589" t="s">
        <v>1270</v>
      </c>
      <c r="B31" s="1590">
        <f ca="1">'预评函-2'!D15</f>
        <v>6091</v>
      </c>
    </row>
    <row r="32" spans="1:2" s="1591" customFormat="1">
      <c r="A32" s="1589" t="s">
        <v>1237</v>
      </c>
      <c r="B32" s="1590" t="str">
        <f ca="1">'预评函-2'!D14</f>
        <v>陆仟伍佰陆拾壹万元整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贵州省遵义市仁怀市盐津街道办事处城南社区酒都广场局部房地产房地产</v>
      </c>
    </row>
    <row r="42" spans="1:2" s="1591" customFormat="1">
      <c r="A42" s="1589" t="s">
        <v>1284</v>
      </c>
      <c r="B42" s="1590" t="str">
        <f>'预评函-3'!B2</f>
        <v>建筑面积</v>
      </c>
    </row>
    <row r="43" spans="1:2" s="1591" customFormat="1">
      <c r="A43" s="1589" t="s">
        <v>1285</v>
      </c>
      <c r="B43" s="1590">
        <f>'预评函-3'!B4</f>
        <v>10771.04</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f ca="1">'预评函-3'!D4</f>
        <v>1161</v>
      </c>
    </row>
    <row r="48" spans="1:2" s="1591" customFormat="1">
      <c r="A48" s="1589" t="s">
        <v>1243</v>
      </c>
      <c r="B48" s="1590">
        <f ca="1">'预评函-3'!E4</f>
        <v>2071</v>
      </c>
    </row>
    <row r="49" spans="1:2" s="1591" customFormat="1">
      <c r="A49" s="1589" t="s">
        <v>1244</v>
      </c>
      <c r="B49" s="1590" t="str">
        <f ca="1">'预评函-3'!D5</f>
        <v>壹仟壹佰陆拾壹万元整</v>
      </c>
    </row>
    <row r="50" spans="1:2" s="1591" customFormat="1">
      <c r="A50" s="1589" t="s">
        <v>1268</v>
      </c>
      <c r="B50" s="1590" t="str">
        <f>'预评函-3'!F2</f>
        <v>建筑物价值</v>
      </c>
    </row>
    <row r="51" spans="1:2" s="1591" customFormat="1">
      <c r="A51" s="1589" t="s">
        <v>1245</v>
      </c>
      <c r="B51" s="1590">
        <f ca="1">'预评函-3'!F4</f>
        <v>5400</v>
      </c>
    </row>
    <row r="52" spans="1:2" s="1591" customFormat="1">
      <c r="A52" s="1589" t="s">
        <v>1246</v>
      </c>
      <c r="B52" s="1590">
        <f ca="1">'预评函-3'!G4</f>
        <v>9633</v>
      </c>
    </row>
    <row r="53" spans="1:2" s="1591" customFormat="1">
      <c r="A53" s="1589" t="s">
        <v>1274</v>
      </c>
      <c r="B53" s="1590" t="str">
        <f ca="1">'预评函-3'!F5</f>
        <v>伍仟肆佰万元整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2" sqref="B32"/>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3117</v>
      </c>
      <c r="C18" s="2012"/>
    </row>
    <row r="19" spans="1:3">
      <c r="A19" s="2011" t="s">
        <v>1763</v>
      </c>
      <c r="B19" s="2011" t="s">
        <v>3118</v>
      </c>
      <c r="C19" s="2012"/>
    </row>
    <row r="20" spans="1:3">
      <c r="A20" s="2011" t="s">
        <v>1764</v>
      </c>
      <c r="B20" s="2011" t="s">
        <v>757</v>
      </c>
      <c r="C20" s="2012"/>
    </row>
    <row r="21" spans="1:3">
      <c r="A21" s="2011" t="s">
        <v>1765</v>
      </c>
      <c r="B21" s="2011" t="s">
        <v>3350</v>
      </c>
      <c r="C21" s="2012"/>
    </row>
    <row r="22" spans="1:3">
      <c r="A22" s="2011" t="s">
        <v>1766</v>
      </c>
      <c r="B22" s="2011" t="s">
        <v>3247</v>
      </c>
      <c r="C22" s="2012"/>
    </row>
    <row r="23" spans="1:3">
      <c r="A23" s="2011" t="s">
        <v>1767</v>
      </c>
      <c r="B23" s="2011" t="s">
        <v>757</v>
      </c>
      <c r="C23" s="2012"/>
    </row>
    <row r="24" spans="1:3">
      <c r="A24" s="2011" t="s">
        <v>1768</v>
      </c>
      <c r="B24" s="2011" t="s">
        <v>3351</v>
      </c>
      <c r="C24" s="2012"/>
    </row>
    <row r="25" spans="1:3">
      <c r="A25" s="2011" t="s">
        <v>1769</v>
      </c>
      <c r="B25" s="2011" t="s">
        <v>3353</v>
      </c>
      <c r="C25" s="2012"/>
    </row>
    <row r="26" spans="1:3">
      <c r="A26" s="2011" t="s">
        <v>1770</v>
      </c>
      <c r="B26" s="2011" t="s">
        <v>757</v>
      </c>
      <c r="C26" s="2012"/>
    </row>
    <row r="27" spans="1:3">
      <c r="A27" s="2011" t="s">
        <v>757</v>
      </c>
      <c r="B27" s="2011" t="s">
        <v>3352</v>
      </c>
      <c r="C27" s="2012"/>
    </row>
    <row r="28" spans="1:3">
      <c r="A28" s="2011" t="s">
        <v>757</v>
      </c>
      <c r="B28" s="2011" t="s">
        <v>3354</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仁怀市城市开发建设投资经营有限责任公司拟使用贵州省遵义市仁怀市盐津街道办事处城南社区酒都广场局部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9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25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092"/>
      <c r="B54" s="2019" t="s">
        <v>861</v>
      </c>
      <c r="C54" s="2016" t="s">
        <v>1277</v>
      </c>
    </row>
    <row r="55" spans="1:4">
      <c r="A55" s="3092"/>
      <c r="B55" s="2019" t="s">
        <v>862</v>
      </c>
      <c r="C55" s="2016" t="s">
        <v>1278</v>
      </c>
    </row>
    <row r="56" spans="1:4">
      <c r="A56" s="3092"/>
      <c r="B56" s="2019" t="s">
        <v>863</v>
      </c>
      <c r="C56" s="2016" t="s">
        <v>1282</v>
      </c>
    </row>
    <row r="57" spans="1:4">
      <c r="A57" s="309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2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1771</v>
      </c>
      <c r="B1" s="3093" t="str">
        <f>IF(B10="北京市","北京市",C10)&amp;F10&amp;IF('结果表（四羊方尊）'!G1="在建","出让国有建设用地使用权及在建建筑物",IF('结果表（四羊方尊）'!G1="土地","出让国有建设用地使用权",))&amp;B9&amp;"预评估"</f>
        <v>贵州省遵义市仁怀市盐津街道办事处城南社区酒都广场局部房地产房地产抵押价值预评估</v>
      </c>
      <c r="C1" s="3094"/>
      <c r="D1" s="3094"/>
      <c r="E1" s="3094"/>
      <c r="F1" s="3094"/>
      <c r="G1" s="3094"/>
      <c r="H1" s="3094"/>
      <c r="I1" s="3095"/>
      <c r="J1" s="2023"/>
      <c r="K1" s="2024"/>
      <c r="L1" s="2025"/>
      <c r="M1" s="2025"/>
      <c r="N1" s="2026"/>
      <c r="O1" s="2027"/>
      <c r="P1" s="2026"/>
      <c r="Q1" s="2026"/>
      <c r="R1" s="2026"/>
      <c r="S1" s="2028" t="str">
        <f>IF(B10="北京市","北京市",C10)&amp;F10&amp;IF('结果表（四羊方尊）'!G1="在建","出让国有建设用地使用权及在建建筑物房地产抵押价值",IF('结果表（四羊方尊）'!G1="土地","出让国有建设用地使用权抵押价值",B9))</f>
        <v>贵州省遵义市仁怀市盐津街道办事处城南社区酒都广场局部房地产房地产抵押价值</v>
      </c>
    </row>
    <row r="2" spans="1:19" ht="18" customHeight="1">
      <c r="A2" s="2023" t="s">
        <v>1772</v>
      </c>
      <c r="B2" s="1039"/>
      <c r="C2" s="2030"/>
      <c r="D2" s="2023"/>
      <c r="E2" s="2031"/>
      <c r="F2" s="2031"/>
      <c r="G2" s="2023"/>
      <c r="H2" s="2023"/>
      <c r="I2" s="2023"/>
      <c r="J2" s="2023"/>
      <c r="K2" s="2024"/>
      <c r="L2" s="2025"/>
      <c r="M2" s="2025"/>
      <c r="N2" s="2026"/>
      <c r="O2" s="2027"/>
      <c r="P2" s="2026"/>
      <c r="Q2" s="2026"/>
      <c r="R2" s="2026"/>
      <c r="S2" s="2028" t="str">
        <f>IF(B10="北京市","北京市",C10)&amp;F10&amp;IF('结果表（四羊方尊）'!G1="在建","出让国有建设用地使用权及在建建筑物房地产",IF('结果表（四羊方尊）'!G1="土地","出让国有建设用地使用权","房地产"))</f>
        <v>贵州省遵义市仁怀市盐津街道办事处城南社区酒都广场局部房地产房地产</v>
      </c>
    </row>
    <row r="3" spans="1:19" ht="18" customHeight="1">
      <c r="A3" s="2032" t="s">
        <v>1773</v>
      </c>
      <c r="B3" s="2033">
        <v>43671</v>
      </c>
      <c r="C3" s="2034" t="s">
        <v>1774</v>
      </c>
      <c r="D3" s="2033">
        <f>B3</f>
        <v>43671</v>
      </c>
      <c r="E3" s="2023"/>
      <c r="F3" s="2023"/>
      <c r="G3" s="2023"/>
      <c r="H3" s="2023"/>
      <c r="I3" s="2023"/>
      <c r="J3" s="2023"/>
      <c r="K3" s="2024"/>
      <c r="L3" s="2025"/>
      <c r="M3" s="2025"/>
      <c r="N3" s="2026"/>
      <c r="O3" s="2027"/>
      <c r="P3" s="2026"/>
      <c r="Q3" s="2026"/>
      <c r="R3" s="2026"/>
      <c r="S3" s="2028"/>
    </row>
    <row r="4" spans="1:19" ht="18" customHeight="1" thickBot="1">
      <c r="A4" s="2035" t="s">
        <v>1775</v>
      </c>
      <c r="B4" s="2036" t="s">
        <v>3049</v>
      </c>
      <c r="C4" s="1037">
        <f ca="1">SUMIF(注册房地产估价师,B4,估价师及机构信息!B3:B24)</f>
        <v>1120070131</v>
      </c>
      <c r="D4" s="2036" t="s">
        <v>3050</v>
      </c>
      <c r="E4" s="1038">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1776</v>
      </c>
      <c r="B5" s="2042" t="str">
        <f>B6</f>
        <v>中信信托有限责任公司</v>
      </c>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971" t="s">
        <v>3051</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5" t="s">
        <v>1778</v>
      </c>
      <c r="B7" s="2049" t="str">
        <f>C11</f>
        <v>仁怀市城市开发建设投资经营有限责任公司</v>
      </c>
      <c r="C7" s="2046"/>
      <c r="D7" s="2047"/>
      <c r="E7" s="2031"/>
      <c r="F7" s="2039"/>
      <c r="G7" s="2039"/>
      <c r="H7" s="2039"/>
      <c r="I7" s="2039"/>
      <c r="J7" s="2039"/>
      <c r="K7" s="2050"/>
      <c r="L7" s="2025"/>
      <c r="M7" s="2025"/>
      <c r="N7" s="2026"/>
      <c r="O7" s="2027"/>
      <c r="P7" s="2026"/>
      <c r="Q7" s="2026"/>
      <c r="R7" s="2026"/>
    </row>
    <row r="8" spans="1:19" ht="18" customHeight="1">
      <c r="A8" s="2045" t="s">
        <v>1779</v>
      </c>
      <c r="B8" s="2051" t="s">
        <v>3098</v>
      </c>
      <c r="C8" s="2052"/>
      <c r="D8" s="3096" t="s">
        <v>1780</v>
      </c>
      <c r="E8" s="2053" t="s">
        <v>3099</v>
      </c>
      <c r="F8" s="2054"/>
      <c r="G8" s="2023"/>
      <c r="H8" s="2023"/>
      <c r="I8" s="2023"/>
      <c r="J8" s="2039"/>
      <c r="K8" s="2040"/>
      <c r="L8" s="2025"/>
      <c r="M8" s="2025"/>
      <c r="N8" s="2026"/>
      <c r="O8" s="2027"/>
      <c r="P8" s="2026"/>
      <c r="Q8" s="2026"/>
      <c r="R8" s="2026"/>
    </row>
    <row r="9" spans="1:19" ht="18" customHeight="1" thickBot="1">
      <c r="A9" s="2037" t="s">
        <v>1781</v>
      </c>
      <c r="B9" s="2055" t="s">
        <v>3099</v>
      </c>
      <c r="C9" s="2056"/>
      <c r="D9" s="3097"/>
      <c r="E9" s="2055" t="s">
        <v>70</v>
      </c>
      <c r="F9" s="2057"/>
      <c r="G9" s="2058"/>
      <c r="H9" s="2058"/>
      <c r="I9" s="2058"/>
      <c r="J9" s="2039"/>
      <c r="K9" s="2050"/>
      <c r="L9" s="2025"/>
      <c r="M9" s="2025"/>
      <c r="N9" s="2026"/>
      <c r="O9" s="2027"/>
      <c r="P9" s="2026"/>
      <c r="Q9" s="2026"/>
      <c r="R9" s="2026"/>
    </row>
    <row r="10" spans="1:19" ht="18" customHeight="1" thickTop="1">
      <c r="A10" s="2059" t="s">
        <v>1782</v>
      </c>
      <c r="B10" s="2060" t="s">
        <v>3094</v>
      </c>
      <c r="C10" s="2976" t="s">
        <v>3096</v>
      </c>
      <c r="D10" s="2044"/>
      <c r="E10" s="2061" t="s">
        <v>1783</v>
      </c>
      <c r="F10" s="2977" t="s">
        <v>3097</v>
      </c>
      <c r="G10" s="2062"/>
      <c r="H10" s="2063"/>
      <c r="I10" s="2044"/>
      <c r="J10" s="2039"/>
      <c r="K10" s="2050"/>
      <c r="L10" s="2025"/>
      <c r="M10" s="2025"/>
      <c r="N10" s="2026"/>
      <c r="O10" s="2027"/>
      <c r="P10" s="2026"/>
      <c r="Q10" s="2026"/>
      <c r="R10" s="2026"/>
    </row>
    <row r="11" spans="1:19" ht="18" customHeight="1">
      <c r="A11" s="2064" t="s">
        <v>1784</v>
      </c>
      <c r="B11" s="2065" t="s">
        <v>3095</v>
      </c>
      <c r="C11" s="2066" t="str">
        <f>抵押物清单!C5</f>
        <v>仁怀市城市开发建设投资经营有限责任公司</v>
      </c>
      <c r="D11" s="2067"/>
      <c r="E11" s="2039"/>
      <c r="F11" s="2039"/>
      <c r="G11" s="2039"/>
      <c r="H11" s="2039"/>
      <c r="I11" s="2039"/>
      <c r="J11" s="2039"/>
      <c r="K11" s="2050"/>
      <c r="L11" s="2025"/>
      <c r="M11" s="2025"/>
      <c r="N11" s="2026"/>
      <c r="O11" s="2027"/>
      <c r="P11" s="2026"/>
      <c r="Q11" s="2026"/>
      <c r="R11" s="2026"/>
    </row>
    <row r="12" spans="1:19" ht="18" customHeight="1">
      <c r="A12" s="2068" t="s">
        <v>1785</v>
      </c>
      <c r="B12" s="2065" t="s">
        <v>3100</v>
      </c>
      <c r="C12" s="2069" t="s">
        <v>1786</v>
      </c>
      <c r="D12" s="2070" t="s">
        <v>1787</v>
      </c>
      <c r="E12" s="2070" t="s">
        <v>1788</v>
      </c>
      <c r="F12" s="2070" t="s">
        <v>1789</v>
      </c>
      <c r="G12" s="2070" t="s">
        <v>1790</v>
      </c>
      <c r="H12" s="2070" t="s">
        <v>1791</v>
      </c>
      <c r="I12" s="2070" t="s">
        <v>1792</v>
      </c>
      <c r="J12" s="2039"/>
      <c r="K12" s="2050"/>
      <c r="L12" s="2025"/>
      <c r="M12" s="2025"/>
      <c r="N12" s="2026"/>
      <c r="O12" s="2027"/>
      <c r="P12" s="2026"/>
      <c r="Q12" s="2026"/>
      <c r="R12" s="2026"/>
    </row>
    <row r="13" spans="1:19" ht="18" customHeight="1">
      <c r="A13" s="2071"/>
      <c r="B13" s="2072"/>
      <c r="C13" s="2073" t="s">
        <v>1793</v>
      </c>
      <c r="D13" s="2074"/>
      <c r="E13" s="2074">
        <f>抵押物清单!H5</f>
        <v>57347</v>
      </c>
      <c r="F13" s="2074"/>
      <c r="G13" s="2074"/>
      <c r="H13" s="2074"/>
      <c r="I13" s="1047">
        <v>45382</v>
      </c>
      <c r="J13" s="2039"/>
      <c r="K13" s="2050"/>
      <c r="L13" s="2025"/>
      <c r="M13" s="2025"/>
      <c r="N13" s="2026"/>
      <c r="O13" s="2027"/>
      <c r="P13" s="2026"/>
      <c r="Q13" s="2026"/>
      <c r="R13" s="2026"/>
    </row>
    <row r="14" spans="1:19" ht="18" customHeight="1">
      <c r="A14" s="2071"/>
      <c r="B14" s="2072"/>
      <c r="C14" s="2073" t="s">
        <v>1794</v>
      </c>
      <c r="D14" s="1050"/>
      <c r="E14" s="1050">
        <v>40</v>
      </c>
      <c r="F14" s="1050"/>
      <c r="G14" s="1050"/>
      <c r="H14" s="1050"/>
      <c r="I14" s="1050"/>
      <c r="J14" s="2039"/>
      <c r="K14" s="2075"/>
      <c r="L14" s="2025"/>
      <c r="M14" s="2025"/>
      <c r="N14" s="2026"/>
      <c r="O14" s="2027"/>
      <c r="P14" s="2026"/>
      <c r="Q14" s="2026"/>
      <c r="R14" s="2026"/>
    </row>
    <row r="15" spans="1:19" ht="18" customHeight="1">
      <c r="A15" s="2059"/>
      <c r="B15" s="2076"/>
      <c r="C15" s="2073" t="s">
        <v>1795</v>
      </c>
      <c r="D15" s="1049" t="str">
        <f>IF(B12="出让",IF(D13="","",ROUNDDOWN(MIN((D13-$D$3)/365,D14),2)),D14)</f>
        <v/>
      </c>
      <c r="E15" s="1049">
        <f>IF(B12="出让",IF(E13="","",ROUNDDOWN(MIN((E13-$D$3)/365,E14),2)),E14)</f>
        <v>37.46</v>
      </c>
      <c r="F15" s="1049" t="str">
        <f>IF(B12="出让",IF(F13="","",ROUNDDOWN(MIN((F13-$D$3)/365,F14),2)),F14)</f>
        <v/>
      </c>
      <c r="G15" s="1049" t="str">
        <f>IF(B12="出让",IF(G13="","",ROUNDDOWN(MIN((G13-$D$3)/365,G14),2)),G14)</f>
        <v/>
      </c>
      <c r="H15" s="1049" t="str">
        <f>IF(B12="出让",IF(H13="","",ROUNDDOWN(MIN((H13-$D$3)/365,H14),2)),H14)</f>
        <v/>
      </c>
      <c r="I15" s="1049">
        <f>IF(B12="出让",IF(I13="","",ROUNDDOWN(MIN((I13-$D$3)/365,I14),2)),I14)</f>
        <v>4.68</v>
      </c>
      <c r="J15" s="2039"/>
      <c r="K15" s="2077"/>
      <c r="L15" s="2078"/>
      <c r="M15" s="2078"/>
      <c r="N15" s="2079"/>
      <c r="O15" s="2078"/>
      <c r="P15" s="2079"/>
      <c r="Q15" s="2026"/>
      <c r="R15" s="2026"/>
    </row>
    <row r="16" spans="1:19" ht="30.75" customHeight="1">
      <c r="A16" s="2061" t="s">
        <v>1796</v>
      </c>
      <c r="B16" s="3103" t="s">
        <v>3102</v>
      </c>
      <c r="C16" s="3104"/>
      <c r="D16" s="3105"/>
      <c r="E16" s="2080" t="s">
        <v>1797</v>
      </c>
      <c r="F16" s="3106" t="s">
        <v>3101</v>
      </c>
      <c r="G16" s="3107"/>
      <c r="H16" s="3107"/>
      <c r="I16" s="3108"/>
      <c r="J16" s="2026"/>
      <c r="K16" s="2077"/>
      <c r="L16" s="2078"/>
      <c r="M16" s="2078"/>
      <c r="N16" s="2079"/>
      <c r="O16" s="2078"/>
      <c r="P16" s="2079"/>
      <c r="Q16" s="2026"/>
      <c r="R16" s="2026"/>
    </row>
    <row r="17" spans="1:22" ht="18" customHeight="1">
      <c r="A17" s="2081" t="s">
        <v>1798</v>
      </c>
      <c r="B17" s="2032" t="s">
        <v>1799</v>
      </c>
      <c r="C17" s="1054">
        <f>'数据-汇总表'!E3</f>
        <v>10771.04</v>
      </c>
      <c r="D17" s="2082" t="s">
        <v>1800</v>
      </c>
      <c r="E17" s="3109" t="s">
        <v>1801</v>
      </c>
      <c r="F17" s="3110"/>
      <c r="G17" s="3110"/>
      <c r="H17" s="3110"/>
      <c r="I17" s="3111"/>
      <c r="J17" s="2026"/>
      <c r="K17" s="2083"/>
      <c r="L17" s="2078"/>
      <c r="M17" s="2078"/>
      <c r="N17" s="2079"/>
      <c r="O17" s="2078"/>
      <c r="P17" s="2079"/>
      <c r="Q17" s="2026"/>
      <c r="R17" s="2026"/>
      <c r="S17" s="2026"/>
      <c r="T17" s="2026"/>
      <c r="U17" s="2026"/>
      <c r="V17" s="2026"/>
    </row>
    <row r="18" spans="1:22" ht="36" customHeight="1" thickBot="1">
      <c r="A18" s="2084" t="s">
        <v>1802</v>
      </c>
      <c r="B18" s="2035" t="s">
        <v>1803</v>
      </c>
      <c r="C18" s="1443">
        <f>'数据-汇总表'!D3</f>
        <v>0</v>
      </c>
      <c r="D18" s="2085" t="s">
        <v>1800</v>
      </c>
      <c r="E18" s="3112" t="s">
        <v>1804</v>
      </c>
      <c r="F18" s="3113"/>
      <c r="G18" s="3113"/>
      <c r="H18" s="3113"/>
      <c r="I18" s="3114"/>
      <c r="J18" s="2026"/>
      <c r="K18" s="2083"/>
      <c r="L18" s="2078"/>
      <c r="M18" s="2078"/>
      <c r="N18" s="2079"/>
      <c r="O18" s="2078"/>
      <c r="P18" s="2079"/>
      <c r="Q18" s="2026"/>
      <c r="R18" s="2026"/>
      <c r="S18" s="2026"/>
      <c r="T18" s="2026"/>
      <c r="U18" s="2026"/>
      <c r="V18" s="2026"/>
    </row>
    <row r="19" spans="1:22" ht="37.5" customHeight="1" thickTop="1" thickBot="1">
      <c r="A19" s="373" t="s">
        <v>1805</v>
      </c>
      <c r="B19" s="352" t="s">
        <v>1806</v>
      </c>
      <c r="C19" s="2086" t="s">
        <v>3103</v>
      </c>
      <c r="D19" s="2087" t="s">
        <v>1807</v>
      </c>
      <c r="E19" s="2088"/>
      <c r="F19" s="2089" t="str">
        <f>IF(AND(C19="是",E19="否"),"是否提供他项权证或相关说明","")</f>
        <v/>
      </c>
      <c r="G19" s="2090"/>
      <c r="H19" s="2039"/>
      <c r="I19" s="2039"/>
      <c r="J19" s="2039"/>
      <c r="K19" s="2050"/>
      <c r="L19" s="2025"/>
      <c r="M19" s="2025"/>
      <c r="N19" s="2079"/>
      <c r="O19" s="2078"/>
      <c r="P19" s="2079"/>
      <c r="Q19" s="2026"/>
      <c r="R19" s="2026"/>
      <c r="S19" s="2026"/>
      <c r="T19" s="2026"/>
      <c r="U19" s="2026"/>
      <c r="V19" s="2026"/>
    </row>
    <row r="20" spans="1:22" ht="18" customHeight="1">
      <c r="A20" s="2091" t="s">
        <v>1808</v>
      </c>
      <c r="B20" s="3099" t="s">
        <v>1809</v>
      </c>
      <c r="C20" s="3100"/>
      <c r="D20" s="3101" t="s">
        <v>1810</v>
      </c>
      <c r="E20" s="3102"/>
      <c r="F20" s="2092" t="s">
        <v>1811</v>
      </c>
      <c r="G20" s="2039"/>
      <c r="H20" s="2039"/>
      <c r="I20" s="2039"/>
      <c r="J20" s="2039"/>
      <c r="K20" s="3098" t="s">
        <v>1812</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9"/>
      <c r="O20" s="2078"/>
      <c r="P20" s="2079"/>
      <c r="Q20" s="2026"/>
      <c r="R20" s="2026"/>
      <c r="S20" s="2026"/>
      <c r="T20" s="2026"/>
      <c r="U20" s="2026"/>
      <c r="V20" s="2026"/>
    </row>
    <row r="21" spans="1:22" ht="24.75" customHeight="1">
      <c r="A21" s="2091"/>
      <c r="B21" s="2093" t="s">
        <v>3104</v>
      </c>
      <c r="C21" s="2094" t="s">
        <v>3105</v>
      </c>
      <c r="D21" s="2095" t="s">
        <v>1814</v>
      </c>
      <c r="E21" s="2096" t="s">
        <v>1813</v>
      </c>
      <c r="F21" s="2097"/>
      <c r="G21" s="2039"/>
      <c r="H21" s="2039"/>
      <c r="I21" s="2039"/>
      <c r="J21" s="2039"/>
      <c r="K21" s="30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c r="C22" s="2094"/>
      <c r="D22" s="2023"/>
      <c r="E22" s="2023"/>
      <c r="F22" s="2099"/>
      <c r="G22" s="2039"/>
      <c r="H22" s="2039"/>
      <c r="I22" s="2039"/>
      <c r="J22" s="2039"/>
      <c r="K22" s="3098"/>
      <c r="L22" s="748" t="str">
        <f>IF(E19="否","",IF('结果表（四羊方尊）'!D36="同一抵押权人同一抵押物续贷","由于本次评估为同一抵押权人的续贷房地产抵押估价，故未将已抵押担保的债权数额（"&amp;C26&amp;"）作为法定优先受偿款予以扣减。",IF('结果表（四羊方尊）'!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1815</v>
      </c>
      <c r="B23" s="183" t="s">
        <v>1816</v>
      </c>
      <c r="C23" s="2101"/>
      <c r="D23" s="2102" t="s">
        <v>1816</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1817</v>
      </c>
      <c r="C24" s="2106"/>
      <c r="D24" s="2100" t="s">
        <v>1817</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1818</v>
      </c>
      <c r="C25" s="2106"/>
      <c r="D25" s="2100" t="s">
        <v>1818</v>
      </c>
      <c r="E25" s="2107"/>
      <c r="F25" s="2099"/>
      <c r="G25" s="2039"/>
      <c r="H25" s="2039"/>
      <c r="I25" s="2039"/>
      <c r="J25" s="2039"/>
      <c r="K25" s="2050"/>
      <c r="L25" s="2025"/>
      <c r="M25" s="2025"/>
      <c r="N25" s="2079"/>
      <c r="O25" s="2078"/>
      <c r="P25" s="2079"/>
      <c r="Q25" s="2026"/>
      <c r="R25" s="2026"/>
      <c r="S25" s="2026"/>
      <c r="T25" s="2026"/>
      <c r="U25" s="2026"/>
      <c r="V25" s="2026"/>
    </row>
    <row r="26" spans="1:22" ht="18" customHeight="1" thickBot="1">
      <c r="A26" s="2108"/>
      <c r="B26" s="2109" t="s">
        <v>1819</v>
      </c>
      <c r="C26" s="2110"/>
      <c r="D26" s="2111" t="s">
        <v>1820</v>
      </c>
      <c r="E26" s="2112"/>
      <c r="F26" s="2113"/>
      <c r="G26" s="2058"/>
      <c r="H26" s="2058"/>
      <c r="I26" s="2058"/>
      <c r="J26" s="2039"/>
      <c r="K26" s="2050"/>
      <c r="L26" s="2025"/>
      <c r="M26" s="2025"/>
      <c r="N26" s="2079"/>
      <c r="O26" s="2078"/>
      <c r="P26" s="2079"/>
      <c r="Q26" s="2026"/>
      <c r="R26" s="2026"/>
      <c r="S26" s="2026"/>
      <c r="T26" s="2026"/>
      <c r="U26" s="2026"/>
      <c r="V26" s="2026"/>
    </row>
    <row r="27" spans="1:22" ht="18" customHeight="1" thickTop="1">
      <c r="A27" s="3116" t="s">
        <v>1821</v>
      </c>
      <c r="B27" s="2059" t="s">
        <v>1822</v>
      </c>
      <c r="C27" s="2114" t="s">
        <v>3106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116"/>
      <c r="B28" s="2032" t="s">
        <v>1823</v>
      </c>
      <c r="C28" s="2116"/>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116"/>
      <c r="B29" s="2032" t="s">
        <v>1824</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117"/>
      <c r="B30" s="2032" t="s">
        <v>1825</v>
      </c>
      <c r="C30" s="3118"/>
      <c r="D30" s="3119"/>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120" t="s">
        <v>1826</v>
      </c>
      <c r="B31" s="2121" t="s">
        <v>3107</v>
      </c>
      <c r="C31" s="2122" t="str">
        <f>IF(B31="现房","成新及维护状况正常否",IF(B31="在建","工程状态是否正常",IF(B31="土地","是否闲置","-")))</f>
        <v>成新及维护状况正常否</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121"/>
      <c r="B32" s="2121"/>
      <c r="C32" s="2122" t="str">
        <f>IF(B32="现房","成新及维护状况是否正常",IF(B32="在建","工程状态是否正常",IF(B32="土地","是否闲置","-")))</f>
        <v>-</v>
      </c>
      <c r="D32" s="2123"/>
      <c r="E32" s="2124"/>
      <c r="F32" s="2039"/>
      <c r="G32" s="2039"/>
      <c r="H32" s="2039"/>
      <c r="I32" s="2039"/>
      <c r="J32" s="2039"/>
      <c r="K32" s="2050"/>
      <c r="L32" s="2025"/>
      <c r="M32" s="2025"/>
      <c r="N32" s="2026"/>
      <c r="O32" s="2027"/>
      <c r="P32" s="2026"/>
      <c r="Q32" s="2026"/>
      <c r="R32" s="2026"/>
      <c r="S32" s="2026"/>
      <c r="T32" s="2026"/>
      <c r="U32" s="2026"/>
      <c r="V32" s="2026"/>
    </row>
    <row r="33" spans="1:22" ht="18" customHeight="1">
      <c r="A33" s="3121"/>
      <c r="B33" s="2125"/>
      <c r="C33" s="2064" t="str">
        <f>IF(B33="现房","成新及维护状况是否正常",IF(B33="在建","工程状态是否正常",IF(B33="土地","是否闲置","-")))</f>
        <v>-</v>
      </c>
      <c r="D33" s="2126"/>
      <c r="E33" s="2127"/>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1827</v>
      </c>
      <c r="B34" s="2128" t="s">
        <v>3108</v>
      </c>
      <c r="C34" s="2128" t="s">
        <v>3109</v>
      </c>
      <c r="D34" s="2128" t="s">
        <v>3110</v>
      </c>
      <c r="E34" s="2128" t="s">
        <v>3111</v>
      </c>
      <c r="F34" s="2128" t="s">
        <v>3112</v>
      </c>
      <c r="G34" s="2128"/>
      <c r="H34" s="2128"/>
      <c r="I34" s="2039"/>
      <c r="J34" s="2039"/>
      <c r="K34" s="1793">
        <f>COUNTIF(B34:H34,"——")</f>
        <v>0</v>
      </c>
      <c r="L34" s="2069" t="s">
        <v>1828</v>
      </c>
      <c r="M34" s="2069" t="s">
        <v>1829</v>
      </c>
      <c r="N34" s="2069" t="s">
        <v>1830</v>
      </c>
      <c r="O34" s="2069" t="s">
        <v>1831</v>
      </c>
      <c r="P34" s="2069" t="s">
        <v>1832</v>
      </c>
      <c r="Q34" s="2069" t="s">
        <v>1833</v>
      </c>
      <c r="R34" s="2069" t="s">
        <v>1834</v>
      </c>
      <c r="S34" s="3115" t="s">
        <v>1835</v>
      </c>
      <c r="T34" s="2129" t="str">
        <f>NUMBERSTRING(7-K34,1)&amp;"通"</f>
        <v>七通</v>
      </c>
      <c r="U34" s="2026"/>
      <c r="V34" s="2026"/>
    </row>
    <row r="35" spans="1:22" ht="18" customHeight="1">
      <c r="A35" s="2130"/>
      <c r="B35" s="3122" t="s">
        <v>1836</v>
      </c>
      <c r="C35" s="3122"/>
      <c r="D35" s="3122"/>
      <c r="E35" s="3122"/>
      <c r="F35" s="2131" t="str">
        <f>C10</f>
        <v>贵州省遵义市</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15"/>
      <c r="T35" s="48" t="str">
        <f>IF(T34="一通",L35,IF(T34="二通",M35,IF(T34="三通",N35,IF(T34="四通",O35,IF(T34="五通",P35,IF(T34="六通",Q35,R35))))))</f>
        <v>通路、通电、通讯、通上水、通下水、、</v>
      </c>
      <c r="U35" s="2026"/>
      <c r="V35" s="2026"/>
    </row>
    <row r="36" spans="1:22" ht="18" customHeight="1">
      <c r="A36" s="2132"/>
      <c r="B36" s="2131" t="s">
        <v>1837</v>
      </c>
      <c r="C36" s="2131" t="s">
        <v>1838</v>
      </c>
      <c r="D36" s="2131" t="s">
        <v>1839</v>
      </c>
      <c r="E36" s="2131" t="s">
        <v>1840</v>
      </c>
      <c r="F36" s="2133"/>
      <c r="G36" s="2039"/>
      <c r="H36" s="2039"/>
      <c r="I36" s="2039"/>
      <c r="J36" s="2039"/>
      <c r="K36" s="2050"/>
      <c r="L36" s="2025"/>
      <c r="M36" s="2025"/>
      <c r="N36" s="2026"/>
      <c r="O36" s="2027"/>
      <c r="P36" s="2026"/>
      <c r="Q36" s="2026"/>
      <c r="R36" s="2026"/>
      <c r="S36" s="2026"/>
      <c r="T36" s="2026"/>
      <c r="U36" s="2026"/>
      <c r="V36" s="2026"/>
    </row>
    <row r="37" spans="1:22" ht="18" customHeight="1">
      <c r="A37" s="2134" t="s">
        <v>1841</v>
      </c>
      <c r="B37" s="2135"/>
      <c r="C37" s="2135"/>
      <c r="D37" s="2135"/>
      <c r="E37" s="2135"/>
      <c r="F37" s="2133"/>
      <c r="G37" s="2039"/>
      <c r="H37" s="2039"/>
      <c r="I37" s="2039"/>
      <c r="J37" s="2039"/>
      <c r="K37" s="2050"/>
      <c r="L37" s="2025"/>
      <c r="M37" s="2025"/>
      <c r="N37" s="2026"/>
      <c r="O37" s="2027"/>
      <c r="P37" s="2026"/>
      <c r="Q37" s="2026"/>
      <c r="R37" s="2026"/>
      <c r="S37" s="2026"/>
      <c r="T37" s="2026"/>
      <c r="U37" s="2026"/>
      <c r="V37" s="2026"/>
    </row>
    <row r="38" spans="1:22" ht="18" customHeight="1" thickBot="1">
      <c r="A38" s="2136" t="s">
        <v>1842</v>
      </c>
      <c r="B38" s="2137"/>
      <c r="C38" s="2137"/>
      <c r="D38" s="2137"/>
      <c r="E38" s="2137"/>
      <c r="F38" s="2138"/>
      <c r="G38" s="2058"/>
      <c r="H38" s="2058"/>
      <c r="I38" s="2058"/>
      <c r="J38" s="2039"/>
      <c r="K38" s="2050"/>
      <c r="L38" s="2025"/>
      <c r="M38" s="2025"/>
      <c r="N38" s="2026"/>
      <c r="O38" s="2027"/>
      <c r="P38" s="2026"/>
      <c r="Q38" s="2026"/>
      <c r="R38" s="2026"/>
      <c r="S38" s="2026"/>
      <c r="T38" s="2026"/>
      <c r="U38" s="2026"/>
      <c r="V38" s="2026"/>
    </row>
    <row r="39" spans="1:22" s="2143" customFormat="1" ht="18" customHeight="1" thickTop="1" thickBot="1">
      <c r="A39" s="2139" t="s">
        <v>1843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1845</v>
      </c>
      <c r="B42" s="1793" t="s">
        <v>1846</v>
      </c>
      <c r="C42" s="1793" t="s">
        <v>1847</v>
      </c>
      <c r="D42" s="1793" t="s">
        <v>1848</v>
      </c>
      <c r="E42" s="1793" t="s">
        <v>1849</v>
      </c>
      <c r="F42" s="1793" t="s">
        <v>1850</v>
      </c>
      <c r="G42" s="1793" t="s">
        <v>1851</v>
      </c>
      <c r="H42" s="1793" t="s">
        <v>1852</v>
      </c>
      <c r="I42" s="1793" t="s">
        <v>1853</v>
      </c>
      <c r="J42" s="2147" t="s">
        <v>1854</v>
      </c>
      <c r="K42" s="2070" t="s">
        <v>1855</v>
      </c>
      <c r="L42" s="2070" t="s">
        <v>1856</v>
      </c>
      <c r="M42" s="2070" t="s">
        <v>1857</v>
      </c>
      <c r="N42" s="1793" t="s">
        <v>1858</v>
      </c>
      <c r="O42" s="1793" t="s">
        <v>1859</v>
      </c>
      <c r="P42" s="1793" t="s">
        <v>1860</v>
      </c>
      <c r="Q42" s="2069" t="s">
        <v>1861</v>
      </c>
      <c r="R42" s="2069" t="s">
        <v>1862</v>
      </c>
      <c r="S42" s="2026"/>
      <c r="T42" s="2026"/>
      <c r="U42" s="2026"/>
      <c r="V42" s="2026"/>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1"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A22:K2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1865</v>
      </c>
      <c r="B2" s="11" t="s">
        <v>1866</v>
      </c>
      <c r="C2" s="11" t="s">
        <v>1867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1868</v>
      </c>
      <c r="AZ2" s="1270" t="s">
        <v>1869</v>
      </c>
      <c r="BA2" s="11" t="s">
        <v>1870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10771.04</v>
      </c>
      <c r="C3" s="2163" t="s">
        <v>1871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1872</v>
      </c>
      <c r="B5" s="1801"/>
      <c r="C5" s="1801"/>
      <c r="D5" s="1804"/>
      <c r="E5" s="16" t="s">
        <v>1</v>
      </c>
      <c r="F5" s="16">
        <f>SUM(F13:F587)</f>
        <v>0</v>
      </c>
      <c r="G5" s="16">
        <f>SUM(G13:G587)</f>
        <v>10771.04</v>
      </c>
      <c r="H5" s="16">
        <f t="shared" ref="H5:AT5" si="0">SUM(H13:H656)</f>
        <v>10771.04</v>
      </c>
      <c r="I5" s="16">
        <f t="shared" si="0"/>
        <v>5605.68</v>
      </c>
      <c r="J5" s="16">
        <f t="shared" si="0"/>
        <v>0</v>
      </c>
      <c r="K5" s="16">
        <f t="shared" si="0"/>
        <v>5165.3600000000006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10771.04</v>
      </c>
      <c r="BA5" s="18">
        <f t="shared" si="1"/>
        <v>10771.04</v>
      </c>
      <c r="BB5" s="18">
        <f t="shared" si="1"/>
        <v>5605.68</v>
      </c>
      <c r="BC5" s="18">
        <f t="shared" si="1"/>
        <v>5165.3600000000006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1873</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1873</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1874</v>
      </c>
      <c r="B7" s="2104" t="s">
        <v>1875</v>
      </c>
      <c r="C7" s="2104" t="s">
        <v>1876</v>
      </c>
      <c r="D7" s="2104" t="s">
        <v>1877</v>
      </c>
      <c r="E7" s="2104" t="s">
        <v>1878</v>
      </c>
      <c r="F7" s="2104" t="s">
        <v>1879</v>
      </c>
      <c r="G7" s="2173" t="s">
        <v>1880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1881</v>
      </c>
      <c r="AV7" s="23" t="s">
        <v>1882</v>
      </c>
      <c r="AW7" s="2161" t="s">
        <v>1883</v>
      </c>
      <c r="AX7" s="23" t="s">
        <v>1876</v>
      </c>
      <c r="AY7" s="1801" t="s">
        <v>1884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1885</v>
      </c>
      <c r="H8" s="2179" t="s">
        <v>1886</v>
      </c>
      <c r="I8" s="2180"/>
      <c r="J8" s="1816"/>
      <c r="K8" s="1816"/>
      <c r="L8" s="1816"/>
      <c r="M8" s="1816"/>
      <c r="N8" s="1816"/>
      <c r="O8" s="1816"/>
      <c r="P8" s="1816"/>
      <c r="Q8" s="1816"/>
      <c r="R8" s="1816"/>
      <c r="S8" s="1816"/>
      <c r="T8" s="1816"/>
      <c r="U8" s="1816"/>
      <c r="V8" s="2181"/>
      <c r="W8" s="1816"/>
      <c r="X8" s="1816"/>
      <c r="Y8" s="1816"/>
      <c r="Z8" s="1816"/>
      <c r="AA8" s="2181"/>
      <c r="AB8" s="2182"/>
      <c r="AC8" s="981" t="s">
        <v>1887</v>
      </c>
      <c r="AD8" s="2183"/>
      <c r="AE8" s="2175"/>
      <c r="AF8" s="1816"/>
      <c r="AG8" s="1816"/>
      <c r="AH8" s="1816"/>
      <c r="AI8" s="1816"/>
      <c r="AJ8" s="1816"/>
      <c r="AK8" s="1816"/>
      <c r="AL8" s="1816"/>
      <c r="AM8" s="1816"/>
      <c r="AN8" s="1816"/>
      <c r="AO8" s="1816"/>
      <c r="AP8" s="1816"/>
      <c r="AQ8" s="1816"/>
      <c r="AR8" s="1816"/>
      <c r="AS8" s="1816"/>
      <c r="AT8" s="1292" t="s">
        <v>1888</v>
      </c>
      <c r="AU8" s="2177" t="s">
        <v>1889</v>
      </c>
      <c r="AV8" s="1292"/>
      <c r="AW8" s="2160"/>
      <c r="AX8" s="1292"/>
      <c r="AY8" s="2161"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2"/>
      <c r="H9" s="2185" t="s">
        <v>1892</v>
      </c>
      <c r="I9" s="2186" t="s">
        <v>3093</v>
      </c>
      <c r="J9" s="981"/>
      <c r="K9" s="2186" t="s">
        <v>3093</v>
      </c>
      <c r="L9" s="981"/>
      <c r="M9" s="2186" t="s">
        <v>3093</v>
      </c>
      <c r="N9" s="981"/>
      <c r="O9" s="2186" t="s">
        <v>3093</v>
      </c>
      <c r="P9" s="981"/>
      <c r="Q9" s="2186"/>
      <c r="R9" s="981"/>
      <c r="S9" s="2186"/>
      <c r="T9" s="981"/>
      <c r="U9" s="2186"/>
      <c r="V9" s="981"/>
      <c r="W9" s="2186"/>
      <c r="X9" s="2187"/>
      <c r="Y9" s="2186"/>
      <c r="Z9" s="981"/>
      <c r="AA9" s="2186"/>
      <c r="AB9" s="981"/>
      <c r="AC9" s="2178"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8"/>
      <c r="AT9" s="2177"/>
      <c r="AU9" s="2177" t="s">
        <v>1895</v>
      </c>
      <c r="AV9" s="1292"/>
      <c r="AW9" s="2160"/>
      <c r="AX9" s="1292"/>
      <c r="AY9" s="28"/>
      <c r="AZ9" s="28" t="s">
        <v>1885</v>
      </c>
      <c r="BA9" s="2189" t="s">
        <v>1896</v>
      </c>
      <c r="BB9" s="2190"/>
      <c r="BC9" s="1338"/>
      <c r="BD9" s="1338"/>
      <c r="BE9" s="1338"/>
      <c r="BF9" s="1338"/>
      <c r="BG9" s="1338"/>
      <c r="BH9" s="1338"/>
      <c r="BI9" s="1338"/>
      <c r="BJ9" s="1338"/>
      <c r="BK9" s="2191"/>
      <c r="BL9" s="15" t="s">
        <v>1897</v>
      </c>
      <c r="BM9" s="1816"/>
      <c r="BN9" s="2180"/>
      <c r="BO9" s="1816"/>
      <c r="BP9" s="1816"/>
      <c r="BQ9" s="1816"/>
      <c r="BR9" s="1816"/>
      <c r="BS9" s="1816"/>
      <c r="BT9" s="26"/>
    </row>
    <row r="10" spans="1:72" s="2184" customFormat="1" ht="12.75">
      <c r="A10" s="2177"/>
      <c r="B10" s="2177"/>
      <c r="C10" s="2177"/>
      <c r="D10" s="2177"/>
      <c r="E10" s="2177"/>
      <c r="F10" s="2177"/>
      <c r="G10" s="1292"/>
      <c r="H10" s="28"/>
      <c r="I10" s="2186" t="s">
        <v>1373</v>
      </c>
      <c r="J10" s="981"/>
      <c r="K10" s="2192" t="s">
        <v>1373</v>
      </c>
      <c r="L10" s="981"/>
      <c r="M10" s="2192" t="s">
        <v>1373</v>
      </c>
      <c r="N10" s="981"/>
      <c r="O10" s="2192" t="s">
        <v>1373</v>
      </c>
      <c r="P10" s="981"/>
      <c r="Q10" s="2192"/>
      <c r="R10" s="981"/>
      <c r="S10" s="2192"/>
      <c r="T10" s="981"/>
      <c r="U10" s="2192"/>
      <c r="V10" s="981"/>
      <c r="W10" s="2192"/>
      <c r="X10" s="981"/>
      <c r="Y10" s="2192"/>
      <c r="Z10" s="981"/>
      <c r="AA10" s="2192"/>
      <c r="AB10" s="981"/>
      <c r="AC10" s="1292"/>
      <c r="AD10" s="15" t="s">
        <v>1898</v>
      </c>
      <c r="AE10" s="2193"/>
      <c r="AF10" s="15" t="s">
        <v>1898</v>
      </c>
      <c r="AG10" s="2193"/>
      <c r="AH10" s="15" t="s">
        <v>1899</v>
      </c>
      <c r="AI10" s="2193"/>
      <c r="AJ10" s="15" t="s">
        <v>1899</v>
      </c>
      <c r="AK10" s="2193"/>
      <c r="AL10" s="15" t="s">
        <v>1900</v>
      </c>
      <c r="AM10" s="1298"/>
      <c r="AN10" s="15" t="s">
        <v>1900</v>
      </c>
      <c r="AO10" s="1298"/>
      <c r="AP10" s="15" t="s">
        <v>1901</v>
      </c>
      <c r="AQ10" s="1298"/>
      <c r="AR10" s="15" t="s">
        <v>1901</v>
      </c>
      <c r="AS10" s="1298"/>
      <c r="AT10" s="2177"/>
      <c r="AU10" s="2177"/>
      <c r="AV10" s="1292"/>
      <c r="AW10" s="2160"/>
      <c r="AX10" s="1292"/>
      <c r="AY10" s="28"/>
      <c r="AZ10" s="28"/>
      <c r="BA10" s="2194" t="s">
        <v>1892</v>
      </c>
      <c r="BB10" s="2195" t="str">
        <f>I9</f>
        <v>地上</v>
      </c>
      <c r="BC10" s="29" t="str">
        <f>K9</f>
        <v>地上</v>
      </c>
      <c r="BD10" s="29" t="str">
        <f>M9</f>
        <v>地上</v>
      </c>
      <c r="BE10" s="29" t="str">
        <f>O9</f>
        <v>地上</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2"/>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2"/>
      <c r="AD11" s="2199" t="s">
        <v>1902</v>
      </c>
      <c r="AE11" s="1817"/>
      <c r="AF11" s="2199" t="s">
        <v>1902</v>
      </c>
      <c r="AG11" s="1817"/>
      <c r="AH11" s="2199" t="s">
        <v>1903</v>
      </c>
      <c r="AI11" s="2200"/>
      <c r="AJ11" s="2199" t="s">
        <v>1903</v>
      </c>
      <c r="AK11" s="1817"/>
      <c r="AL11" s="1815"/>
      <c r="AM11" s="1817"/>
      <c r="AN11" s="1815"/>
      <c r="AO11" s="1817"/>
      <c r="AP11" s="1815"/>
      <c r="AQ11" s="1817"/>
      <c r="AR11" s="1815"/>
      <c r="AS11" s="1817"/>
      <c r="AT11" s="2160"/>
      <c r="AU11" s="2177"/>
      <c r="AV11" s="1292"/>
      <c r="AW11" s="2160"/>
      <c r="AX11" s="1292"/>
      <c r="AY11" s="28"/>
      <c r="AZ11" s="28"/>
      <c r="BA11" s="28"/>
      <c r="BB11" s="2182" t="str">
        <f>I10</f>
        <v>商业</v>
      </c>
      <c r="BC11" s="2182" t="str">
        <f>K10</f>
        <v>商业</v>
      </c>
      <c r="BD11" s="2182" t="str">
        <f>M10</f>
        <v>商业</v>
      </c>
      <c r="BE11" s="2182" t="str">
        <f>O10</f>
        <v>商业</v>
      </c>
      <c r="BF11" s="2182">
        <f>Q10</f>
        <v>0</v>
      </c>
      <c r="BG11" s="2182">
        <f>S10</f>
        <v>0</v>
      </c>
      <c r="BH11" s="2182">
        <f>U10</f>
        <v>0</v>
      </c>
      <c r="BI11" s="2182">
        <f>W10</f>
        <v>0</v>
      </c>
      <c r="BJ11" s="2182">
        <f>Y10</f>
        <v>0</v>
      </c>
      <c r="BK11" s="2182">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4"/>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2" t="s">
        <v>1905</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c r="D13" s="2208" t="s">
        <v>3092</v>
      </c>
      <c r="E13" s="16">
        <f>IF($C$3="是",ROUND($A$3*G13/$B$3,2),ROUND($A$3*(G13-AT13)/$B$3,2))</f>
        <v>0</v>
      </c>
      <c r="F13" s="32"/>
      <c r="G13" s="33">
        <f>H13+AC13+AT13</f>
        <v>10771.04</v>
      </c>
      <c r="H13" s="20">
        <f>SUMIF(I$12:AB$12,"总值",I13:AB13)</f>
        <v>10771.04</v>
      </c>
      <c r="I13" s="2209">
        <f>抵押物清单!G4</f>
        <v>5605.68</v>
      </c>
      <c r="J13" s="2209"/>
      <c r="K13" s="2209">
        <f>抵押物清单!G10</f>
        <v>5165.3600000000006</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0</v>
      </c>
      <c r="AZ13" s="16">
        <f>BA13+BL13</f>
        <v>10771.04</v>
      </c>
      <c r="BA13" s="16">
        <f>SUM(BB13:BK13)</f>
        <v>10771.04</v>
      </c>
      <c r="BB13" s="16">
        <f>IF($D13="是",I13-J13,0)</f>
        <v>5605.68</v>
      </c>
      <c r="BC13" s="16">
        <f>IF($D13="是",K13-L13,0)</f>
        <v>5165.3600000000006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3" t="s">
        <v>0</v>
      </c>
      <c r="B1" s="3123" t="s">
        <v>4</v>
      </c>
      <c r="C1" s="3123" t="s">
        <v>5</v>
      </c>
      <c r="D1" s="3124" t="s">
        <v>53</v>
      </c>
      <c r="E1" s="3124" t="s">
        <v>54</v>
      </c>
      <c r="F1" s="3124"/>
      <c r="G1" s="3124"/>
      <c r="H1" s="3124"/>
      <c r="I1" s="3124"/>
      <c r="J1" s="3124"/>
      <c r="K1" s="3124"/>
      <c r="L1" s="3124"/>
      <c r="M1" s="3124"/>
    </row>
    <row r="2" spans="1:13" ht="27" customHeight="1">
      <c r="A2" s="3123"/>
      <c r="B2" s="3123"/>
      <c r="C2" s="3123"/>
      <c r="D2" s="3124"/>
      <c r="E2" s="3124" t="s">
        <v>37</v>
      </c>
      <c r="F2" s="3124" t="s">
        <v>38</v>
      </c>
      <c r="G2" s="3124"/>
      <c r="H2" s="3124"/>
      <c r="I2" s="3124"/>
      <c r="J2" s="3124" t="s">
        <v>39</v>
      </c>
      <c r="K2" s="3124"/>
      <c r="L2" s="3124"/>
      <c r="M2" s="3124"/>
    </row>
    <row r="3" spans="1:13" ht="28.5">
      <c r="A3" s="3123"/>
      <c r="B3" s="3123"/>
      <c r="C3" s="3123"/>
      <c r="D3" s="3124"/>
      <c r="E3" s="31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4" t="s">
        <v>55</v>
      </c>
      <c r="B9" s="3124"/>
      <c r="C9" s="31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4" sqref="D4:D8"/>
    </sheetView>
  </sheetViews>
  <sheetFormatPr defaultColWidth="9" defaultRowHeight="13.5"/>
  <cols>
    <col min="1" max="1" width="9" style="2995"/>
    <col min="2" max="2" width="29.75" style="2995" customWidth="1"/>
    <col min="3" max="3" width="12.5" style="2995" customWidth="1"/>
    <col min="4" max="4" width="24" style="2995" customWidth="1"/>
    <col min="5" max="5" width="51.125" style="2995" customWidth="1"/>
    <col min="6" max="16384" width="9" style="2995"/>
  </cols>
  <sheetData>
    <row r="1" spans="1:5" ht="27">
      <c r="A1" s="3130" t="s">
        <v>3256</v>
      </c>
      <c r="B1" s="3130"/>
      <c r="C1" s="3130"/>
      <c r="D1" s="3130"/>
      <c r="E1" s="3130"/>
    </row>
    <row r="2" spans="1:5" ht="14.25">
      <c r="A2" s="2996" t="s">
        <v>3257</v>
      </c>
      <c r="B2" s="2996" t="s">
        <v>3258</v>
      </c>
      <c r="C2" s="2996" t="s">
        <v>3259</v>
      </c>
      <c r="D2" s="2996" t="s">
        <v>3260</v>
      </c>
      <c r="E2" s="2996" t="s">
        <v>3261</v>
      </c>
    </row>
    <row r="3" spans="1:5" ht="20.25">
      <c r="A3" s="2997">
        <v>1</v>
      </c>
      <c r="B3" s="2997" t="s">
        <v>3262</v>
      </c>
      <c r="C3" s="2997" t="s">
        <v>1373</v>
      </c>
      <c r="D3" s="2998">
        <v>5605.68</v>
      </c>
      <c r="E3" s="2997" t="s">
        <v>3088</v>
      </c>
    </row>
    <row r="4" spans="1:5" ht="20.25">
      <c r="A4" s="2997">
        <v>2</v>
      </c>
      <c r="B4" s="2997" t="s">
        <v>3070</v>
      </c>
      <c r="C4" s="2997" t="s">
        <v>3263</v>
      </c>
      <c r="D4" s="2998">
        <v>1675.4</v>
      </c>
      <c r="E4" s="2997" t="s">
        <v>3063</v>
      </c>
    </row>
    <row r="5" spans="1:5" ht="20.25">
      <c r="A5" s="2997">
        <v>3</v>
      </c>
      <c r="B5" s="2997" t="s">
        <v>3074</v>
      </c>
      <c r="C5" s="2997" t="s">
        <v>3263</v>
      </c>
      <c r="D5" s="2998">
        <v>1050.98</v>
      </c>
      <c r="E5" s="2997" t="s">
        <v>3072</v>
      </c>
    </row>
    <row r="6" spans="1:5" ht="20.25">
      <c r="A6" s="2997">
        <v>4</v>
      </c>
      <c r="B6" s="2997" t="s">
        <v>3078</v>
      </c>
      <c r="C6" s="2997" t="s">
        <v>3263</v>
      </c>
      <c r="D6" s="2998">
        <v>987.07</v>
      </c>
      <c r="E6" s="2997" t="s">
        <v>3076</v>
      </c>
    </row>
    <row r="7" spans="1:5" ht="20.25">
      <c r="A7" s="2997">
        <v>5</v>
      </c>
      <c r="B7" s="2997" t="s">
        <v>3082</v>
      </c>
      <c r="C7" s="2997" t="s">
        <v>3263</v>
      </c>
      <c r="D7" s="2998">
        <v>1159.07</v>
      </c>
      <c r="E7" s="2997" t="s">
        <v>3080</v>
      </c>
    </row>
    <row r="8" spans="1:5" ht="20.25">
      <c r="A8" s="2997">
        <v>6</v>
      </c>
      <c r="B8" s="2997" t="s">
        <v>3086</v>
      </c>
      <c r="C8" s="2997" t="s">
        <v>3263</v>
      </c>
      <c r="D8" s="2998">
        <v>292.83999999999997</v>
      </c>
      <c r="E8" s="2997" t="s">
        <v>3084</v>
      </c>
    </row>
    <row r="9" spans="1:5" ht="20.25">
      <c r="A9" s="2997">
        <v>7</v>
      </c>
      <c r="B9" s="2997" t="s">
        <v>3264</v>
      </c>
      <c r="C9" s="2997" t="s">
        <v>1373</v>
      </c>
      <c r="D9" s="2997">
        <v>10002</v>
      </c>
      <c r="E9" s="2997" t="s">
        <v>3265</v>
      </c>
    </row>
    <row r="10" spans="1:5" ht="20.25">
      <c r="A10" s="2997">
        <v>8</v>
      </c>
      <c r="B10" s="2997" t="s">
        <v>3266</v>
      </c>
      <c r="C10" s="2997" t="s">
        <v>1373</v>
      </c>
      <c r="D10" s="2997">
        <v>11218.46</v>
      </c>
      <c r="E10" s="2997" t="s">
        <v>3265</v>
      </c>
    </row>
    <row r="11" spans="1:5" ht="20.25">
      <c r="A11" s="2997">
        <v>9</v>
      </c>
      <c r="B11" s="2997" t="s">
        <v>3267</v>
      </c>
      <c r="C11" s="2997" t="s">
        <v>1373</v>
      </c>
      <c r="D11" s="2997">
        <v>9908.9</v>
      </c>
      <c r="E11" s="2997" t="s">
        <v>3265</v>
      </c>
    </row>
    <row r="12" spans="1:5">
      <c r="D12" s="2995">
        <f>SUM(D3:D11)</f>
        <v>41900.400000000001</v>
      </c>
    </row>
  </sheetData>
  <mergeCells count="1">
    <mergeCell ref="A1:E1"/>
  </mergeCells>
  <phoneticPr fontId="148" type="noConversion"/>
  <pageMargins left="0.69930555555555596" right="0.69930555555555596"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M30"/>
  <sheetViews>
    <sheetView workbookViewId="0">
      <pane ySplit="2" topLeftCell="A12" activePane="bottomLeft" state="frozen"/>
      <selection pane="bottomLeft" activeCell="D25" sqref="D25"/>
    </sheetView>
  </sheetViews>
  <sheetFormatPr defaultRowHeight="13.5"/>
  <cols>
    <col min="1" max="1" width="1.625" customWidth="1"/>
    <col min="2" max="2" width="19.625" customWidth="1"/>
    <col min="3" max="3" width="17.5" customWidth="1"/>
    <col min="4" max="4" width="23.25" customWidth="1"/>
    <col min="5" max="5" width="18" customWidth="1"/>
    <col min="8" max="8" width="9.75" bestFit="1" customWidth="1"/>
    <col min="12" max="12" width="9" style="3009"/>
  </cols>
  <sheetData>
    <row r="1" spans="2:13">
      <c r="B1" s="2972"/>
      <c r="C1" s="2972"/>
      <c r="D1" s="2972"/>
      <c r="E1" s="2972"/>
      <c r="F1" s="2972"/>
      <c r="G1" s="2972"/>
      <c r="H1" s="2972"/>
      <c r="I1" s="2972"/>
      <c r="J1" s="2972"/>
      <c r="K1" s="2972"/>
      <c r="L1" s="3006"/>
      <c r="M1" s="2972"/>
    </row>
    <row r="2" spans="2:13" ht="14.25">
      <c r="B2" s="2973" t="s">
        <v>3052</v>
      </c>
      <c r="C2" s="2973" t="s">
        <v>3053</v>
      </c>
      <c r="D2" s="2973" t="s">
        <v>3054</v>
      </c>
      <c r="E2" s="2973" t="s">
        <v>3055</v>
      </c>
      <c r="F2" s="2973" t="s">
        <v>1371</v>
      </c>
      <c r="G2" s="2973" t="s">
        <v>3056</v>
      </c>
      <c r="H2" s="2973" t="s">
        <v>3057</v>
      </c>
      <c r="I2" s="2973" t="s">
        <v>3058</v>
      </c>
      <c r="J2" s="2973" t="s">
        <v>3059</v>
      </c>
      <c r="K2" s="2974" t="s">
        <v>3060</v>
      </c>
      <c r="L2" s="2974" t="s">
        <v>3061</v>
      </c>
      <c r="M2" s="2974" t="s">
        <v>3062</v>
      </c>
    </row>
    <row r="3" spans="2:13" ht="37.5" customHeight="1">
      <c r="B3" s="2973" t="s">
        <v>3088</v>
      </c>
      <c r="C3" s="2973" t="s">
        <v>3064</v>
      </c>
      <c r="D3" s="2973" t="s">
        <v>3359</v>
      </c>
      <c r="E3" s="2973" t="s">
        <v>3089</v>
      </c>
      <c r="F3" s="2973" t="s">
        <v>3067</v>
      </c>
      <c r="G3" s="2973">
        <v>5605.68</v>
      </c>
      <c r="H3" s="2975">
        <v>57347</v>
      </c>
      <c r="I3" s="2973" t="s">
        <v>3068</v>
      </c>
      <c r="J3" s="2973">
        <v>12</v>
      </c>
      <c r="K3" s="2974" t="s">
        <v>3090</v>
      </c>
      <c r="L3" s="2974" t="s">
        <v>3091</v>
      </c>
      <c r="M3" s="2974" t="s">
        <v>3071</v>
      </c>
    </row>
    <row r="4" spans="2:13" s="2978" customFormat="1" ht="19.5" customHeight="1">
      <c r="G4" s="2980">
        <f>SUM(G3)</f>
        <v>5605.68</v>
      </c>
      <c r="L4" s="3008"/>
    </row>
    <row r="5" spans="2:13" ht="37.5" customHeight="1">
      <c r="B5" s="2973" t="s">
        <v>3063</v>
      </c>
      <c r="C5" s="2973" t="s">
        <v>3385</v>
      </c>
      <c r="D5" s="2973" t="s">
        <v>3065</v>
      </c>
      <c r="E5" s="2973" t="s">
        <v>3066</v>
      </c>
      <c r="F5" s="2973" t="s">
        <v>3067</v>
      </c>
      <c r="G5" s="2973">
        <v>1675.4</v>
      </c>
      <c r="H5" s="2975">
        <v>57347</v>
      </c>
      <c r="I5" s="2973" t="s">
        <v>3068</v>
      </c>
      <c r="J5" s="2973">
        <v>2</v>
      </c>
      <c r="K5" s="2974" t="s">
        <v>3069</v>
      </c>
      <c r="L5" s="2974" t="s">
        <v>3070</v>
      </c>
      <c r="M5" s="2974" t="s">
        <v>3071</v>
      </c>
    </row>
    <row r="6" spans="2:13" ht="37.5" customHeight="1">
      <c r="B6" s="2973" t="s">
        <v>3072</v>
      </c>
      <c r="C6" s="2973" t="s">
        <v>3064</v>
      </c>
      <c r="D6" s="2973" t="s">
        <v>3065</v>
      </c>
      <c r="E6" s="2973" t="s">
        <v>3073</v>
      </c>
      <c r="F6" s="2973" t="s">
        <v>3067</v>
      </c>
      <c r="G6" s="2973">
        <v>1050.98</v>
      </c>
      <c r="H6" s="2975">
        <v>57347</v>
      </c>
      <c r="I6" s="2973" t="s">
        <v>3068</v>
      </c>
      <c r="J6" s="2973">
        <v>2</v>
      </c>
      <c r="K6" s="2974" t="s">
        <v>3069</v>
      </c>
      <c r="L6" s="2974" t="s">
        <v>3074</v>
      </c>
      <c r="M6" s="2974" t="s">
        <v>3075</v>
      </c>
    </row>
    <row r="7" spans="2:13" ht="37.5" customHeight="1">
      <c r="B7" s="2973" t="s">
        <v>3076</v>
      </c>
      <c r="C7" s="2973" t="s">
        <v>3064</v>
      </c>
      <c r="D7" s="2973" t="s">
        <v>3065</v>
      </c>
      <c r="E7" s="2973" t="s">
        <v>3077</v>
      </c>
      <c r="F7" s="2973" t="s">
        <v>3067</v>
      </c>
      <c r="G7" s="2973">
        <v>987.07</v>
      </c>
      <c r="H7" s="2975">
        <v>57347</v>
      </c>
      <c r="I7" s="2973" t="s">
        <v>3068</v>
      </c>
      <c r="J7" s="2973">
        <v>2</v>
      </c>
      <c r="K7" s="2974" t="s">
        <v>3069</v>
      </c>
      <c r="L7" s="2974" t="s">
        <v>3078</v>
      </c>
      <c r="M7" s="2974" t="s">
        <v>3079</v>
      </c>
    </row>
    <row r="8" spans="2:13" ht="37.5" customHeight="1">
      <c r="B8" s="2973" t="s">
        <v>3080</v>
      </c>
      <c r="C8" s="2973" t="s">
        <v>3064</v>
      </c>
      <c r="D8" s="2973" t="s">
        <v>3065</v>
      </c>
      <c r="E8" s="2973" t="s">
        <v>3081</v>
      </c>
      <c r="F8" s="2973" t="s">
        <v>3067</v>
      </c>
      <c r="G8" s="2973">
        <v>1159.07</v>
      </c>
      <c r="H8" s="2975">
        <v>57347</v>
      </c>
      <c r="I8" s="2973" t="s">
        <v>3068</v>
      </c>
      <c r="J8" s="2973">
        <v>2</v>
      </c>
      <c r="K8" s="2974" t="s">
        <v>3069</v>
      </c>
      <c r="L8" s="2974" t="s">
        <v>3082</v>
      </c>
      <c r="M8" s="2974" t="s">
        <v>3083</v>
      </c>
    </row>
    <row r="9" spans="2:13" ht="37.5" customHeight="1">
      <c r="B9" s="2973" t="s">
        <v>3084</v>
      </c>
      <c r="C9" s="2973" t="s">
        <v>3064</v>
      </c>
      <c r="D9" s="2973" t="s">
        <v>3065</v>
      </c>
      <c r="E9" s="2973" t="s">
        <v>3085</v>
      </c>
      <c r="F9" s="2973" t="s">
        <v>3067</v>
      </c>
      <c r="G9" s="2973">
        <v>292.83999999999997</v>
      </c>
      <c r="H9" s="2975">
        <v>57347</v>
      </c>
      <c r="I9" s="2973" t="s">
        <v>3068</v>
      </c>
      <c r="J9" s="2973">
        <v>2</v>
      </c>
      <c r="K9" s="2974" t="s">
        <v>3069</v>
      </c>
      <c r="L9" s="2974" t="s">
        <v>3086</v>
      </c>
      <c r="M9" s="2974" t="s">
        <v>3087</v>
      </c>
    </row>
    <row r="10" spans="2:13" s="2978" customFormat="1" ht="19.5" customHeight="1">
      <c r="B10" s="2979"/>
      <c r="C10" s="2979"/>
      <c r="D10" s="2979"/>
      <c r="E10" s="2979"/>
      <c r="F10" s="2979"/>
      <c r="G10" s="2980">
        <f>SUM(G5:G9)</f>
        <v>5165.3600000000006</v>
      </c>
      <c r="H10" s="2979"/>
      <c r="I10" s="2979"/>
      <c r="J10" s="2979"/>
      <c r="K10" s="2979"/>
      <c r="L10" s="3007"/>
      <c r="M10" s="2979"/>
    </row>
    <row r="11" spans="2:13" ht="37.5" customHeight="1" thickBot="1">
      <c r="B11" s="2973"/>
      <c r="C11" s="2973"/>
      <c r="D11" s="2973"/>
      <c r="E11" s="2973"/>
      <c r="F11" s="2973"/>
      <c r="G11" s="2973"/>
      <c r="H11" s="2975"/>
      <c r="I11" s="2973"/>
      <c r="J11" s="2973"/>
      <c r="K11" s="2974"/>
      <c r="L11" s="2974"/>
      <c r="M11" s="2974"/>
    </row>
    <row r="12" spans="2:13" ht="21" customHeight="1">
      <c r="B12" s="3125" t="s">
        <v>3375</v>
      </c>
      <c r="C12" s="3016" t="s">
        <v>3363</v>
      </c>
      <c r="D12" s="3017">
        <v>75.69</v>
      </c>
      <c r="E12" s="3014"/>
      <c r="F12" s="3014"/>
      <c r="G12" s="3014"/>
      <c r="H12" s="2975"/>
      <c r="I12" s="2973"/>
      <c r="J12" s="2973"/>
      <c r="K12" s="2974"/>
      <c r="L12" s="2974"/>
      <c r="M12" s="2974"/>
    </row>
    <row r="13" spans="2:13" ht="21" customHeight="1">
      <c r="B13" s="3126"/>
      <c r="C13" s="3015" t="s">
        <v>3364</v>
      </c>
      <c r="D13" s="3018">
        <v>608.20000000000005</v>
      </c>
      <c r="E13" s="3014"/>
      <c r="F13" s="3014"/>
      <c r="G13" s="3014"/>
    </row>
    <row r="14" spans="2:13" ht="21" customHeight="1">
      <c r="B14" s="3126"/>
      <c r="C14" s="3015" t="s">
        <v>3365</v>
      </c>
      <c r="D14" s="3018">
        <v>5605.68</v>
      </c>
      <c r="E14" s="3014"/>
      <c r="F14" s="3014"/>
      <c r="G14" s="3014"/>
    </row>
    <row r="15" spans="2:13" ht="21" customHeight="1">
      <c r="B15" s="3126"/>
      <c r="C15" s="3015" t="s">
        <v>3366</v>
      </c>
      <c r="D15" s="3018">
        <v>11726.35</v>
      </c>
      <c r="E15" s="3014"/>
      <c r="F15" s="3014"/>
      <c r="G15" s="3014"/>
    </row>
    <row r="16" spans="2:13" ht="21" customHeight="1">
      <c r="B16" s="3126"/>
      <c r="C16" s="3015" t="s">
        <v>3367</v>
      </c>
      <c r="D16" s="3018">
        <v>7579.93</v>
      </c>
      <c r="E16" s="3014"/>
      <c r="F16" s="3014"/>
      <c r="G16" s="3014"/>
    </row>
    <row r="17" spans="2:7" ht="21" customHeight="1">
      <c r="B17" s="3126"/>
      <c r="C17" s="3015" t="s">
        <v>3368</v>
      </c>
      <c r="D17" s="3018">
        <v>25884.99</v>
      </c>
      <c r="E17" s="3014"/>
      <c r="F17" s="3014"/>
      <c r="G17" s="3014"/>
    </row>
    <row r="18" spans="2:7" ht="21" customHeight="1">
      <c r="B18" s="3126"/>
      <c r="C18" s="3015" t="s">
        <v>3369</v>
      </c>
      <c r="D18" s="3018">
        <v>35546.82</v>
      </c>
      <c r="E18" s="3014"/>
      <c r="F18" s="3014"/>
      <c r="G18" s="3014"/>
    </row>
    <row r="19" spans="2:7" ht="21" customHeight="1">
      <c r="B19" s="3126"/>
      <c r="C19" s="3015" t="s">
        <v>3370</v>
      </c>
      <c r="D19" s="3018">
        <v>14303.93</v>
      </c>
      <c r="E19" s="3014"/>
      <c r="F19" s="3014"/>
      <c r="G19" s="3014"/>
    </row>
    <row r="20" spans="2:7" ht="21" customHeight="1">
      <c r="B20" s="3126"/>
      <c r="C20" s="3015" t="s">
        <v>3371</v>
      </c>
      <c r="D20" s="3018">
        <v>27728.13</v>
      </c>
      <c r="E20" s="3014"/>
      <c r="F20" s="3014"/>
      <c r="G20" s="3014"/>
    </row>
    <row r="21" spans="2:7" ht="21" customHeight="1">
      <c r="B21" s="3126"/>
      <c r="C21" s="3015" t="s">
        <v>3372</v>
      </c>
      <c r="D21" s="3018">
        <v>91572.6</v>
      </c>
      <c r="E21" s="3014"/>
      <c r="F21" s="3014"/>
      <c r="G21" s="3014"/>
    </row>
    <row r="22" spans="2:7" ht="21" customHeight="1">
      <c r="B22" s="3126"/>
      <c r="C22" s="3015" t="s">
        <v>3373</v>
      </c>
      <c r="D22" s="3018">
        <v>5165.3599999999997</v>
      </c>
      <c r="E22" s="3014"/>
      <c r="F22" s="3014"/>
      <c r="G22" s="3014"/>
    </row>
    <row r="23" spans="2:7" ht="21" customHeight="1" thickBot="1">
      <c r="B23" s="3127"/>
      <c r="C23" s="3019" t="s">
        <v>3374</v>
      </c>
      <c r="D23" s="3020">
        <f>SUM(D12:D22)</f>
        <v>225797.68</v>
      </c>
      <c r="E23" s="3014"/>
      <c r="F23" s="3014"/>
      <c r="G23" s="3014"/>
    </row>
    <row r="24" spans="2:7" ht="21" customHeight="1" thickBot="1">
      <c r="B24" s="3128" t="s">
        <v>3376</v>
      </c>
      <c r="C24" s="3129"/>
      <c r="D24" s="3021">
        <v>103234.42</v>
      </c>
      <c r="E24" s="3014"/>
      <c r="F24" s="3014"/>
      <c r="G24" s="3014"/>
    </row>
    <row r="25" spans="2:7" ht="21" customHeight="1" thickBot="1">
      <c r="B25" s="3128" t="s">
        <v>3377</v>
      </c>
      <c r="C25" s="3129"/>
      <c r="D25" s="3021">
        <f>ROUND(D23/D24,2)</f>
        <v>2.19</v>
      </c>
      <c r="E25" s="3014"/>
      <c r="F25" s="3014"/>
      <c r="G25" s="3014"/>
    </row>
    <row r="26" spans="2:7" ht="21" customHeight="1">
      <c r="C26" s="3014"/>
      <c r="D26" s="3014"/>
      <c r="E26" s="3014"/>
      <c r="F26" s="3014"/>
      <c r="G26" s="3014"/>
    </row>
    <row r="27" spans="2:7" ht="21" customHeight="1">
      <c r="C27" s="3014"/>
      <c r="D27" s="3014"/>
      <c r="E27" s="3014"/>
      <c r="F27" s="3014"/>
      <c r="G27" s="3014"/>
    </row>
    <row r="28" spans="2:7" ht="21" customHeight="1">
      <c r="C28" s="3014"/>
      <c r="D28" s="3014"/>
      <c r="E28" s="3014"/>
      <c r="F28" s="3014"/>
      <c r="G28" s="3014"/>
    </row>
    <row r="29" spans="2:7" ht="21" customHeight="1">
      <c r="C29" s="3014"/>
      <c r="D29" s="3014"/>
      <c r="E29" s="3014"/>
      <c r="F29" s="3014"/>
      <c r="G29" s="3014"/>
    </row>
    <row r="30" spans="2:7" ht="21" customHeight="1">
      <c r="C30" s="3014"/>
      <c r="D30" s="3014"/>
      <c r="E30" s="3014"/>
      <c r="F30" s="3014"/>
      <c r="G30" s="3014"/>
    </row>
  </sheetData>
  <mergeCells count="3">
    <mergeCell ref="B12:B23"/>
    <mergeCell ref="B24:C24"/>
    <mergeCell ref="B25:C25"/>
  </mergeCells>
  <phoneticPr fontId="1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1931</v>
      </c>
      <c r="B1" s="1391"/>
      <c r="C1" s="1391"/>
      <c r="D1" s="1391"/>
      <c r="E1" s="1391"/>
      <c r="F1" s="1391"/>
      <c r="G1" s="1391"/>
      <c r="H1" s="1391"/>
      <c r="I1" s="1391"/>
      <c r="J1" s="1391"/>
      <c r="K1" s="1391"/>
      <c r="L1" s="1391"/>
      <c r="M1" s="1391"/>
      <c r="N1" s="1391"/>
      <c r="O1" s="1391"/>
      <c r="P1" s="1391"/>
    </row>
    <row r="2" spans="1:16" ht="15">
      <c r="A2" s="3140" t="s">
        <v>1932</v>
      </c>
      <c r="B2" s="3140"/>
      <c r="C2" s="3140"/>
      <c r="D2" s="967" t="s">
        <v>1908</v>
      </c>
      <c r="E2" s="2222" t="s">
        <v>1909</v>
      </c>
      <c r="F2" s="1391"/>
      <c r="G2" s="2223"/>
      <c r="H2" s="2224"/>
      <c r="I2" s="2225" t="s">
        <v>1933</v>
      </c>
      <c r="J2" s="1391"/>
      <c r="K2" s="1391"/>
      <c r="L2" s="1391"/>
      <c r="M2" s="1391"/>
      <c r="N2" s="1426"/>
      <c r="O2" s="1391"/>
      <c r="P2" s="1391"/>
    </row>
    <row r="3" spans="1:16" ht="15.75" thickBot="1">
      <c r="A3" s="3141" t="s">
        <v>1906</v>
      </c>
      <c r="B3" s="3141"/>
      <c r="C3" s="3141"/>
      <c r="D3" s="46">
        <f>'数据-基础表'!AY6</f>
        <v>0</v>
      </c>
      <c r="E3" s="46">
        <f>'数据-基础表'!AZ5</f>
        <v>10771.04</v>
      </c>
      <c r="F3" s="1391"/>
      <c r="G3" s="1398"/>
      <c r="H3" s="1247" t="s">
        <v>1907</v>
      </c>
      <c r="I3" s="55" t="e">
        <f>ROUND('数据-基础表'!B3/'数据-基础表'!A3,2)</f>
        <v>#DIV/0!</v>
      </c>
      <c r="J3" s="1391"/>
      <c r="K3" s="1391"/>
      <c r="L3" s="1391"/>
      <c r="M3" s="1391"/>
      <c r="N3" s="1426"/>
      <c r="O3" s="1391"/>
      <c r="P3" s="1391"/>
    </row>
    <row r="4" spans="1:16" ht="15">
      <c r="A4" s="3142"/>
      <c r="B4" s="3143"/>
      <c r="C4" s="3144"/>
      <c r="D4" s="2226" t="s">
        <v>1908</v>
      </c>
      <c r="E4" s="2227" t="s">
        <v>1909</v>
      </c>
      <c r="F4" s="1391"/>
      <c r="G4" s="2228" t="s">
        <v>1934</v>
      </c>
      <c r="H4" s="1247" t="s">
        <v>1914</v>
      </c>
      <c r="I4" s="55" t="e">
        <f>ROUND(SUMIF('数据-基础表'!I9:AS9,"地上",'数据-基础表'!I5:AS5)/'数据-基础表'!A3,2)</f>
        <v>#DIV/0!</v>
      </c>
      <c r="J4" s="1391"/>
      <c r="K4" s="1391"/>
      <c r="L4" s="1391"/>
      <c r="M4" s="1391"/>
      <c r="N4" s="1426"/>
      <c r="O4" s="1391"/>
      <c r="P4" s="1391"/>
    </row>
    <row r="5" spans="1:16">
      <c r="A5" s="47" t="s">
        <v>1910</v>
      </c>
      <c r="B5" s="3145" t="s">
        <v>1911</v>
      </c>
      <c r="C5" s="3145"/>
      <c r="D5" s="48">
        <f>ROUND($D$3*E5/$E$3,2)</f>
        <v>0</v>
      </c>
      <c r="E5" s="49">
        <f>SUMIF('数据-基础表'!$11:$11,"住宅",'数据-基础表'!$5:$5)</f>
        <v>0</v>
      </c>
      <c r="F5" s="1391"/>
      <c r="G5" s="1398"/>
      <c r="H5" s="1247" t="s">
        <v>1907</v>
      </c>
      <c r="I5" s="55" t="e">
        <f>ROUND(E31/D31,2)</f>
        <v>#DIV/0!</v>
      </c>
      <c r="J5" s="1391"/>
      <c r="K5" s="1391"/>
      <c r="L5" s="1391"/>
      <c r="M5" s="1391"/>
      <c r="N5" s="1391"/>
      <c r="O5" s="1391"/>
      <c r="P5" s="1391"/>
    </row>
    <row r="6" spans="1:16" ht="15" thickBot="1">
      <c r="A6" s="2229"/>
      <c r="B6" s="3145" t="s">
        <v>1912</v>
      </c>
      <c r="C6" s="3145"/>
      <c r="D6" s="48">
        <f>ROUND($D$3*E6/$E$3,2)</f>
        <v>0</v>
      </c>
      <c r="E6" s="49">
        <f>E3-E5</f>
        <v>10771.04</v>
      </c>
      <c r="F6" s="1391"/>
      <c r="G6" s="2230" t="s">
        <v>1913</v>
      </c>
      <c r="H6" s="1398" t="s">
        <v>1914</v>
      </c>
      <c r="I6" s="939" t="e">
        <f>ROUND(F31/D31,2)</f>
        <v>#DIV/0!</v>
      </c>
      <c r="J6" s="1391"/>
      <c r="K6" s="1391"/>
      <c r="L6" s="1391"/>
      <c r="M6" s="1391"/>
      <c r="N6" s="1391"/>
      <c r="O6" s="1391"/>
      <c r="P6" s="1391"/>
    </row>
    <row r="7" spans="1:16" ht="15">
      <c r="A7" s="3137"/>
      <c r="B7" s="3138"/>
      <c r="C7" s="3139"/>
      <c r="D7" s="2226" t="s">
        <v>1908</v>
      </c>
      <c r="E7" s="2231" t="s">
        <v>1915</v>
      </c>
      <c r="F7" s="1391"/>
      <c r="G7" s="2223" t="s">
        <v>1916</v>
      </c>
      <c r="H7" s="64"/>
      <c r="I7" s="420"/>
      <c r="J7" s="1391"/>
      <c r="K7" s="1391"/>
      <c r="L7" s="1391"/>
      <c r="M7" s="1391"/>
      <c r="N7" s="1391"/>
      <c r="O7" s="1391"/>
      <c r="P7" s="1391"/>
    </row>
    <row r="8" spans="1:16">
      <c r="A8" s="47" t="s">
        <v>1917</v>
      </c>
      <c r="B8" s="50" t="s">
        <v>1918</v>
      </c>
      <c r="C8" s="48" t="s">
        <v>1919</v>
      </c>
      <c r="D8" s="48">
        <f t="shared" ref="D8:D15" si="0">ROUND($D$3*E8/$E$3,2)</f>
        <v>0</v>
      </c>
      <c r="E8" s="51">
        <f>SUMIF('数据-基础表'!BB10:BK10,"地上",'数据-基础表'!BB5:BK5)</f>
        <v>10771.04</v>
      </c>
      <c r="F8" s="1391"/>
      <c r="G8" s="2232"/>
      <c r="H8" s="2232"/>
      <c r="I8" s="1391"/>
      <c r="J8" s="1391"/>
      <c r="K8" s="1391"/>
      <c r="L8" s="1391"/>
      <c r="M8" s="1391"/>
      <c r="N8" s="1391"/>
      <c r="O8" s="1391"/>
      <c r="P8" s="1391"/>
    </row>
    <row r="9" spans="1:16">
      <c r="A9" s="2233"/>
      <c r="B9" s="2234"/>
      <c r="C9" s="48" t="s">
        <v>1920</v>
      </c>
      <c r="D9" s="48">
        <f t="shared" si="0"/>
        <v>0</v>
      </c>
      <c r="E9" s="52">
        <v>0</v>
      </c>
      <c r="F9" s="1391"/>
      <c r="G9" s="2232"/>
      <c r="H9" s="2232"/>
      <c r="I9" s="1391"/>
      <c r="J9" s="1391"/>
      <c r="K9" s="1391"/>
      <c r="L9" s="1391"/>
      <c r="M9" s="1391"/>
      <c r="N9" s="1391"/>
      <c r="O9" s="1391"/>
      <c r="P9" s="1391"/>
    </row>
    <row r="10" spans="1:16">
      <c r="A10" s="2233"/>
      <c r="B10" s="2234"/>
      <c r="C10" s="48" t="s">
        <v>1929</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1921</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1922</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1923</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1935</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1930</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1924</v>
      </c>
      <c r="D16" s="50">
        <f>SUM(D8:D15)</f>
        <v>0</v>
      </c>
      <c r="E16" s="53">
        <f>SUM(E8:E15)</f>
        <v>10771.04</v>
      </c>
      <c r="F16" s="1391"/>
      <c r="G16" s="2232"/>
      <c r="H16" s="2235" t="s">
        <v>1936</v>
      </c>
      <c r="I16" s="2236"/>
      <c r="J16" s="1391"/>
      <c r="K16" s="3134" t="s">
        <v>1936</v>
      </c>
      <c r="L16" s="3135"/>
      <c r="M16" s="3135"/>
      <c r="N16" s="3135"/>
      <c r="O16" s="3135"/>
      <c r="P16" s="3136"/>
    </row>
    <row r="17" spans="1:19" ht="15">
      <c r="A17" s="2237" t="s">
        <v>1937</v>
      </c>
      <c r="B17" s="2238" t="s">
        <v>1938</v>
      </c>
      <c r="C17" s="2239" t="s">
        <v>1939</v>
      </c>
      <c r="D17" s="2240" t="s">
        <v>1927</v>
      </c>
      <c r="E17" s="2241" t="s">
        <v>1928</v>
      </c>
      <c r="F17" s="2242"/>
      <c r="G17" s="2243"/>
      <c r="H17" s="2244" t="s">
        <v>1940</v>
      </c>
      <c r="I17" s="2245" t="s">
        <v>1925</v>
      </c>
      <c r="J17" s="1391"/>
      <c r="K17" s="3131" t="s">
        <v>1941</v>
      </c>
      <c r="L17" s="3132"/>
      <c r="M17" s="3133"/>
      <c r="N17" s="3131" t="s">
        <v>1942</v>
      </c>
      <c r="O17" s="3132"/>
      <c r="P17" s="3133"/>
      <c r="R17" s="2223" t="s">
        <v>1943</v>
      </c>
      <c r="S17" s="64"/>
    </row>
    <row r="18" spans="1:19" ht="15">
      <c r="A18" s="2233"/>
      <c r="B18" s="2246"/>
      <c r="C18" s="2247"/>
      <c r="D18" s="2248"/>
      <c r="E18" s="2249" t="s">
        <v>1944</v>
      </c>
      <c r="F18" s="2250" t="s">
        <v>1945</v>
      </c>
      <c r="G18" s="2251" t="s">
        <v>1946</v>
      </c>
      <c r="H18" s="1262" t="s">
        <v>1947</v>
      </c>
      <c r="I18" s="2252" t="s">
        <v>1948</v>
      </c>
      <c r="J18" s="1391"/>
      <c r="K18" s="1262" t="s">
        <v>1949</v>
      </c>
      <c r="L18" s="2253" t="s">
        <v>1950</v>
      </c>
      <c r="M18" s="1046" t="s">
        <v>1951</v>
      </c>
      <c r="N18" s="1262" t="s">
        <v>1949</v>
      </c>
      <c r="O18" s="2253" t="s">
        <v>1950</v>
      </c>
      <c r="P18" s="1046" t="s">
        <v>1951</v>
      </c>
      <c r="R18" s="1247" t="s">
        <v>1952</v>
      </c>
      <c r="S18" s="1247" t="s">
        <v>1953</v>
      </c>
    </row>
    <row r="19" spans="1:19">
      <c r="A19" s="2254"/>
      <c r="B19" s="50" t="s">
        <v>1926</v>
      </c>
      <c r="C19" s="2981" t="s">
        <v>3355</v>
      </c>
      <c r="D19" s="48">
        <f>ROUND($D$3*E19/$E$3,2)</f>
        <v>0</v>
      </c>
      <c r="E19" s="56">
        <f t="shared" ref="E19:E26" si="1">SUM(F19:G19)</f>
        <v>5605.68</v>
      </c>
      <c r="F19" s="57">
        <f>'数据-基础表'!I13</f>
        <v>5605.68</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6"/>
      <c r="O19" s="2257"/>
      <c r="P19" s="1402">
        <f>N19+O19</f>
        <v>0</v>
      </c>
      <c r="R19" s="1247">
        <f t="shared" ref="R19:S26" si="5">D19+H19</f>
        <v>0</v>
      </c>
      <c r="S19" s="1248">
        <f t="shared" si="5"/>
        <v>5605.68</v>
      </c>
    </row>
    <row r="20" spans="1:19">
      <c r="A20" s="2258"/>
      <c r="B20" s="50" t="s">
        <v>1954</v>
      </c>
      <c r="C20" s="2981" t="s">
        <v>3360</v>
      </c>
      <c r="D20" s="48">
        <f t="shared" ref="D20:D26" si="6">ROUND($D$3*E20/$E$3,2)</f>
        <v>0</v>
      </c>
      <c r="E20" s="56">
        <f t="shared" si="1"/>
        <v>5165.3600000000006</v>
      </c>
      <c r="F20" s="57">
        <f>'数据-基础表'!K13</f>
        <v>5165.3600000000006</v>
      </c>
      <c r="G20" s="58"/>
      <c r="H20" s="723">
        <f t="shared" ref="H20:H26" si="7">ROUND($D$3*I20/$E$3,2)</f>
        <v>0</v>
      </c>
      <c r="I20" s="51">
        <f t="shared" si="2"/>
        <v>0</v>
      </c>
      <c r="J20" s="1391"/>
      <c r="K20" s="1390">
        <f t="shared" si="3"/>
        <v>0</v>
      </c>
      <c r="L20" s="1247">
        <f t="shared" si="4"/>
        <v>0</v>
      </c>
      <c r="M20" s="1402">
        <f t="shared" ref="M20:M26" si="8">K20+L20</f>
        <v>0</v>
      </c>
      <c r="N20" s="2256"/>
      <c r="O20" s="2257"/>
      <c r="P20" s="1402">
        <f t="shared" ref="P20:P26" si="9">N20+O20</f>
        <v>0</v>
      </c>
      <c r="R20" s="1247">
        <f t="shared" si="5"/>
        <v>0</v>
      </c>
      <c r="S20" s="1248">
        <f t="shared" si="5"/>
        <v>5165.3600000000006</v>
      </c>
    </row>
    <row r="21" spans="1:19">
      <c r="A21" s="2258"/>
      <c r="B21" s="50" t="s">
        <v>1954</v>
      </c>
      <c r="C21" s="2255"/>
      <c r="D21" s="48">
        <f t="shared" si="6"/>
        <v>0</v>
      </c>
      <c r="E21" s="56">
        <f t="shared" si="1"/>
        <v>0</v>
      </c>
      <c r="F21" s="57"/>
      <c r="G21" s="58"/>
      <c r="H21" s="723">
        <f t="shared" si="7"/>
        <v>0</v>
      </c>
      <c r="I21" s="51">
        <f t="shared" si="2"/>
        <v>0</v>
      </c>
      <c r="J21" s="1391"/>
      <c r="K21" s="1390">
        <f t="shared" si="3"/>
        <v>0</v>
      </c>
      <c r="L21" s="1247">
        <f t="shared" si="4"/>
        <v>0</v>
      </c>
      <c r="M21" s="1402">
        <f t="shared" si="8"/>
        <v>0</v>
      </c>
      <c r="N21" s="2256"/>
      <c r="O21" s="2257"/>
      <c r="P21" s="1402">
        <f t="shared" si="9"/>
        <v>0</v>
      </c>
      <c r="R21" s="1247">
        <f t="shared" si="5"/>
        <v>0</v>
      </c>
      <c r="S21" s="1248">
        <f t="shared" si="5"/>
        <v>0</v>
      </c>
    </row>
    <row r="22" spans="1:19">
      <c r="A22" s="2258"/>
      <c r="B22" s="50" t="s">
        <v>1954</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6"/>
      <c r="O22" s="2257"/>
      <c r="P22" s="1402">
        <f t="shared" si="9"/>
        <v>0</v>
      </c>
      <c r="R22" s="1247">
        <f t="shared" si="5"/>
        <v>0</v>
      </c>
      <c r="S22" s="1248">
        <f t="shared" si="5"/>
        <v>0</v>
      </c>
    </row>
    <row r="23" spans="1:19">
      <c r="A23" s="2258"/>
      <c r="B23" s="50" t="s">
        <v>1954</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6"/>
      <c r="O23" s="2257"/>
      <c r="P23" s="1402">
        <f t="shared" si="9"/>
        <v>0</v>
      </c>
      <c r="R23" s="1247">
        <f t="shared" si="5"/>
        <v>0</v>
      </c>
      <c r="S23" s="1248">
        <f t="shared" si="5"/>
        <v>0</v>
      </c>
    </row>
    <row r="24" spans="1:19">
      <c r="A24" s="2258"/>
      <c r="B24" s="50" t="s">
        <v>1954</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6"/>
      <c r="O24" s="2257"/>
      <c r="P24" s="1402">
        <f t="shared" si="9"/>
        <v>0</v>
      </c>
      <c r="R24" s="1247">
        <f t="shared" si="5"/>
        <v>0</v>
      </c>
      <c r="S24" s="1248">
        <f t="shared" si="5"/>
        <v>0</v>
      </c>
    </row>
    <row r="25" spans="1:19">
      <c r="A25" s="2258"/>
      <c r="B25" s="50" t="s">
        <v>1954</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6"/>
      <c r="O25" s="2257"/>
      <c r="P25" s="1402">
        <f t="shared" si="9"/>
        <v>0</v>
      </c>
      <c r="R25" s="1247">
        <f t="shared" si="5"/>
        <v>0</v>
      </c>
      <c r="S25" s="1248">
        <f t="shared" si="5"/>
        <v>0</v>
      </c>
    </row>
    <row r="26" spans="1:19">
      <c r="A26" s="2258"/>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7">
        <f t="shared" si="5"/>
        <v>0</v>
      </c>
      <c r="S26" s="1248">
        <f t="shared" si="5"/>
        <v>0</v>
      </c>
    </row>
    <row r="27" spans="1:19" ht="15.75" thickBot="1">
      <c r="A27" s="2258"/>
      <c r="B27" s="48"/>
      <c r="C27" s="2261" t="s">
        <v>1955</v>
      </c>
      <c r="D27" s="1392">
        <f>SUM(D19:D26)</f>
        <v>0</v>
      </c>
      <c r="E27" s="1393">
        <f>IF(SUM(E19:E26)='数据-基础表'!BA5,SUM(E19:E26),IF(F27="地上面积有误","面积有误","地下面积有误"))</f>
        <v>10771.04</v>
      </c>
      <c r="F27" s="1392">
        <f>IF(SUM(F19:F26)=E8,SUM(F19:F26),"地上面积有误")</f>
        <v>10771.04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0</v>
      </c>
      <c r="S27" s="1247">
        <f>IF(SUM(S19:S26)=$E$3,SUM(S19:S26),SUM(S19:S26)&amp;"误差"&amp;ROUND(SUM(S19:S26)-E3,2))</f>
        <v>10771.04</v>
      </c>
    </row>
    <row r="28" spans="1:19">
      <c r="A28" s="2258"/>
      <c r="B28" s="50" t="s">
        <v>1956</v>
      </c>
      <c r="C28" s="1259"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1956</v>
      </c>
      <c r="C29" s="2262"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1959</v>
      </c>
      <c r="D31" s="729">
        <f>D27+D30</f>
        <v>0</v>
      </c>
      <c r="E31" s="729">
        <f>E27+E30</f>
        <v>10771.04</v>
      </c>
      <c r="F31" s="730">
        <f>F27+F30</f>
        <v>10771.04</v>
      </c>
      <c r="G31" s="731">
        <f>G27+G30</f>
        <v>0</v>
      </c>
      <c r="H31" s="1391"/>
      <c r="I31" s="1391"/>
      <c r="J31" s="1391"/>
      <c r="K31" s="1391"/>
      <c r="L31" s="1391"/>
      <c r="M31" s="1391"/>
      <c r="N31" s="1391"/>
      <c r="O31" s="1391"/>
      <c r="P31" s="1391"/>
    </row>
    <row r="32" spans="1:19">
      <c r="A32" s="2228"/>
      <c r="B32" s="2228" t="s">
        <v>1960</v>
      </c>
      <c r="C32" s="2228"/>
      <c r="D32" s="2228"/>
      <c r="E32" s="1274">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26" width="6.25" style="2270" customWidth="1"/>
    <col min="27"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1" t="s">
        <v>1962</v>
      </c>
      <c r="B2" s="1266">
        <f>项目基本情况!D3</f>
        <v>43671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39" t="s">
        <v>1967</v>
      </c>
      <c r="AA4" s="2239"/>
      <c r="AB4" s="2239"/>
      <c r="AC4" s="2239"/>
      <c r="AD4" s="2239"/>
      <c r="AE4" s="2237" t="s">
        <v>1968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1969</v>
      </c>
      <c r="B5" s="2285" t="s">
        <v>1970</v>
      </c>
      <c r="C5" s="2286" t="s">
        <v>1971</v>
      </c>
      <c r="D5" s="2287" t="s">
        <v>1972</v>
      </c>
      <c r="E5" s="1268" t="s">
        <v>1973</v>
      </c>
      <c r="F5" s="2288" t="s">
        <v>1974</v>
      </c>
      <c r="G5" s="1268" t="s">
        <v>1975</v>
      </c>
      <c r="H5" s="1268" t="s">
        <v>1976</v>
      </c>
      <c r="I5" s="1268" t="s">
        <v>1977</v>
      </c>
      <c r="J5" s="2289" t="s">
        <v>1978</v>
      </c>
      <c r="K5" s="2290" t="s">
        <v>1979</v>
      </c>
      <c r="L5" s="2291" t="s">
        <v>1980</v>
      </c>
      <c r="M5" s="2292" t="s">
        <v>1981</v>
      </c>
      <c r="N5" s="2293" t="s">
        <v>3115</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69"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四羊方尊</v>
      </c>
      <c r="B6" s="2302" t="str">
        <f>IF(A6=0,"","经营性")</f>
        <v>经营性</v>
      </c>
      <c r="C6" s="2303" t="s">
        <v>1373</v>
      </c>
      <c r="D6" s="1051">
        <f>SUMIF(项目基本情况!D$12:I$12,C6,项目基本情况!D$14:I$14)</f>
        <v>40</v>
      </c>
      <c r="E6" s="1048">
        <f>IF(B6="","",SUMIF(项目基本情况!D$12:I$12,C6,项目基本情况!D$13:I$13))</f>
        <v>57347</v>
      </c>
      <c r="F6" s="72">
        <f>SUMIF(项目基本情况!D$12:I$12,C6,项目基本情况!D$15:I$15)</f>
        <v>37.46</v>
      </c>
      <c r="G6" s="73">
        <f>IF(ISERROR(ROUND(POWER(1+H6,D6-F6)*(POWER(1+H6,F6)-1)/(POWER(1+H6,D6)-1),3)),0,ROUND(POWER(1+H6,D6-F6)*(POWER(1+H6,F6)-1)/(POWER(1+H6,D6)-1),3))</f>
        <v>0.97799999999999998</v>
      </c>
      <c r="H6" s="802">
        <v>0.05</v>
      </c>
      <c r="I6" s="802">
        <v>5.5E-2</v>
      </c>
      <c r="J6" s="74">
        <v>8.5000000000000006E-2</v>
      </c>
      <c r="K6" s="1251">
        <f>SUMIF('数据-汇总表'!C$19:C$33,A6,'数据-汇总表'!E$19:E$33)</f>
        <v>5605.68</v>
      </c>
      <c r="L6" s="803">
        <v>9000</v>
      </c>
      <c r="M6" s="75">
        <f t="shared" ref="M6:M14" si="0">ROUND(K6*L6/10000,0)</f>
        <v>5045</v>
      </c>
      <c r="N6" s="801">
        <f>ROUND(1-(2019-2018)/60,2)</f>
        <v>0.98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2">
        <f>ROUND($L$14*S6/10000,0)</f>
        <v>0</v>
      </c>
      <c r="U6" s="78">
        <v>1.5</v>
      </c>
      <c r="V6" s="79">
        <v>0.03</v>
      </c>
      <c r="W6" s="79">
        <v>0.1</v>
      </c>
      <c r="X6" s="1261"/>
      <c r="Y6" s="3047">
        <f>N6</f>
        <v>0.98</v>
      </c>
      <c r="Z6" s="81"/>
      <c r="AA6" s="74"/>
      <c r="AB6" s="74"/>
      <c r="AC6" s="1261"/>
      <c r="AD6" s="82"/>
      <c r="AE6" s="1262">
        <f ca="1">IF(AN6="",0,SUMIF(INDIRECT("'"&amp;AN6&amp;"'"&amp;"!E:E"),$AE$5,INDIRECT("'"&amp;AN6&amp;"'"&amp;"!F:F")))</f>
        <v>37.46</v>
      </c>
      <c r="AF6" s="1802"/>
      <c r="AG6" s="147">
        <f>IF(AF6="",0,AE6-AF6)</f>
        <v>0</v>
      </c>
      <c r="AH6" s="83"/>
      <c r="AI6" s="85">
        <v>365</v>
      </c>
      <c r="AJ6" s="86"/>
      <c r="AK6" s="87">
        <v>1.4999999999999999E-2</v>
      </c>
      <c r="AL6" s="88">
        <v>1.5E-3</v>
      </c>
      <c r="AM6" s="89">
        <v>0.01</v>
      </c>
      <c r="AN6" s="2304" t="s">
        <v>3117</v>
      </c>
      <c r="AO6" s="55">
        <f ca="1">SUMIF(INDIRECT("'"&amp;AN6&amp;"'"&amp;"!A:A"),"总价",INDIRECT("'"&amp;AN6&amp;"'"&amp;"!B:B"))</f>
        <v>2679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天街</v>
      </c>
      <c r="B7" s="2302" t="str">
        <f t="shared" ref="B7:B13" si="1">IF(A7=0,"","经营性")</f>
        <v>经营性</v>
      </c>
      <c r="C7" s="2303" t="s">
        <v>1373</v>
      </c>
      <c r="D7" s="1051">
        <f>SUMIF(项目基本情况!D$12:I$12,C7,项目基本情况!D$14:I$14)</f>
        <v>40</v>
      </c>
      <c r="E7" s="1048">
        <f>IF(B7="","",SUMIF(项目基本情况!D$12:I$12,C7,项目基本情况!D$13:I$13))</f>
        <v>57347</v>
      </c>
      <c r="F7" s="72">
        <f>SUMIF(项目基本情况!D$12:I$12,C7,项目基本情况!D$15:I$15)</f>
        <v>37.46</v>
      </c>
      <c r="G7" s="73">
        <f t="shared" ref="G7:G11" si="2">IF(ISERROR(ROUND(POWER(1+H7,D7-F7)*(POWER(1+H7,F7)-1)/(POWER(1+H7,D7)-1),3)),0,ROUND(POWER(1+H7,D7-F7)*(POWER(1+H7,F7)-1)/(POWER(1+H7,D7)-1),3))</f>
        <v>0.97799999999999998</v>
      </c>
      <c r="H7" s="802">
        <v>0.05</v>
      </c>
      <c r="I7" s="802">
        <v>5.5E-2</v>
      </c>
      <c r="J7" s="74">
        <v>8.5000000000000006E-2</v>
      </c>
      <c r="K7" s="1251">
        <f>SUMIF('数据-汇总表'!C$19:C$33,A7,'数据-汇总表'!E$19:E$33)</f>
        <v>5165.3600000000006</v>
      </c>
      <c r="L7" s="803">
        <v>2500</v>
      </c>
      <c r="M7" s="75">
        <f t="shared" si="0"/>
        <v>1291</v>
      </c>
      <c r="N7" s="801">
        <f>ROUND(1-(2019-2018)/60,2)</f>
        <v>0.98</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391">
        <f ca="1">ROUND(天街租约台账!CD18,2)</f>
        <v>1.23</v>
      </c>
      <c r="V7" s="79">
        <v>0</v>
      </c>
      <c r="W7" s="3393">
        <v>0</v>
      </c>
      <c r="X7" s="1261"/>
      <c r="Y7" s="3047">
        <f>N7</f>
        <v>0.98</v>
      </c>
      <c r="Z7" s="78">
        <v>1.8</v>
      </c>
      <c r="AA7" s="79">
        <v>0.03</v>
      </c>
      <c r="AB7" s="79">
        <v>0.1</v>
      </c>
      <c r="AC7" s="1261"/>
      <c r="AD7" s="3048">
        <f>ROUND(1-(2019-(2018-AF7))/60,2)</f>
        <v>0.91</v>
      </c>
      <c r="AE7" s="1262">
        <f t="shared" ref="AE7:AE13" ca="1" si="6">IF(AN7="",0,SUMIF(INDIRECT("'"&amp;AN7&amp;"'"&amp;"!E:E"),$AE$5,INDIRECT("'"&amp;AN7&amp;"'"&amp;"!F:F")))</f>
        <v>37.46</v>
      </c>
      <c r="AF7" s="1802">
        <f>项目基本情况!I15</f>
        <v>4.68</v>
      </c>
      <c r="AG7" s="147">
        <f t="shared" ref="AG7:AG13" ca="1" si="7">IF(AF7="",0,AE7-AF7)</f>
        <v>32.78</v>
      </c>
      <c r="AH7" s="83"/>
      <c r="AI7" s="85">
        <v>365</v>
      </c>
      <c r="AJ7" s="86"/>
      <c r="AK7" s="87">
        <v>1.4999999999999999E-2</v>
      </c>
      <c r="AL7" s="88">
        <v>1.5E-3</v>
      </c>
      <c r="AM7" s="89">
        <v>0.01</v>
      </c>
      <c r="AN7" s="2304" t="s">
        <v>3118</v>
      </c>
      <c r="AO7" s="55">
        <f t="shared" ref="AO7:AO13" ca="1" si="8">SUMIF(INDIRECT("'"&amp;AN7&amp;"'"&amp;"!A:A"),"总价",INDIRECT("'"&amp;AN7&amp;"'"&amp;"!B:B"))</f>
        <v>4353</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2"/>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2010</v>
      </c>
      <c r="B16" s="97"/>
      <c r="C16" s="1005"/>
      <c r="D16" s="2309"/>
      <c r="E16" s="97"/>
      <c r="F16" s="97"/>
      <c r="G16" s="98">
        <f>ROUND(SUMPRODUCT(G6:G13,K6:K13)/SUMPRODUCT((G6:G13&gt;0)*(K6:K13)),3)</f>
        <v>0.97799999999999998</v>
      </c>
      <c r="H16" s="99">
        <f>ROUND(SUMPRODUCT(H6:H13,K6:K13)/SUMPRODUCT((H6:H13&gt;0)*(K6:K13)),3)</f>
        <v>0.05</v>
      </c>
      <c r="I16" s="100"/>
      <c r="J16" s="100"/>
      <c r="K16" s="101">
        <f>SUM(K6:K15)</f>
        <v>10771.04</v>
      </c>
      <c r="L16" s="102">
        <f>ROUND(M16*10000/SUM(K6:K14),0)</f>
        <v>5882</v>
      </c>
      <c r="M16" s="102">
        <f>SUM(M6:M14)</f>
        <v>6336</v>
      </c>
      <c r="N16" s="103">
        <f>ROUND(SUMPRODUCT(M6:M14,N6:N14)/M16,3)</f>
        <v>0.98</v>
      </c>
      <c r="O16" s="102">
        <f>SUM(O6:O14)</f>
        <v>0</v>
      </c>
      <c r="P16" s="102">
        <f>SUM(P6:P14)</f>
        <v>0</v>
      </c>
      <c r="Q16" s="104">
        <f>ROUND(SUMPRODUCT(Q6:Q13,K6:K13)/SUMPRODUCT((Q6:Q13&gt;0)*(K6:K13)),2)</f>
        <v>0.12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5"/>
      <c r="C18" s="2272"/>
      <c r="D18" s="2273"/>
      <c r="E18" s="2272"/>
      <c r="F18" s="2272"/>
      <c r="G18" s="2272"/>
      <c r="H18" s="2272"/>
      <c r="I18" s="2272"/>
      <c r="J18" s="2272"/>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2012</v>
      </c>
      <c r="B19" s="112">
        <v>0</v>
      </c>
      <c r="C19" s="2272" t="s">
        <v>2013</v>
      </c>
      <c r="D19" s="2273"/>
      <c r="E19" s="2272"/>
      <c r="F19" s="2272"/>
      <c r="G19" s="2272"/>
      <c r="H19" s="2272"/>
      <c r="I19" s="2272"/>
      <c r="J19" s="2272"/>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2014</v>
      </c>
      <c r="B20" s="113">
        <v>2</v>
      </c>
      <c r="C20" s="2272" t="s">
        <v>2015</v>
      </c>
      <c r="D20" s="2273"/>
      <c r="E20" s="2272"/>
      <c r="F20" s="2272"/>
      <c r="G20" s="2272"/>
      <c r="H20" s="2272"/>
      <c r="I20" s="2272"/>
      <c r="J20" s="2272"/>
      <c r="K20" s="168"/>
      <c r="L20" s="168"/>
      <c r="M20" s="1579"/>
      <c r="N20" s="1579"/>
      <c r="O20" s="1579"/>
      <c r="P20" s="1579"/>
      <c r="Q20" s="1579"/>
      <c r="R20" s="1579"/>
      <c r="S20" s="1579"/>
      <c r="T20" s="1579"/>
      <c r="U20" s="3045" t="s">
        <v>3424</v>
      </c>
      <c r="V20" s="3045" t="s">
        <v>3425</v>
      </c>
      <c r="W20" s="3045" t="s">
        <v>3426</v>
      </c>
      <c r="X20" s="1579"/>
      <c r="Y20" s="1579"/>
      <c r="Z20" s="1579"/>
      <c r="AA20" s="1579"/>
      <c r="AB20" s="1579"/>
      <c r="AC20" s="1579"/>
      <c r="AD20" s="1579"/>
      <c r="AE20" s="1579"/>
      <c r="AF20" s="1579"/>
      <c r="AG20" s="1579"/>
      <c r="AH20" s="1579"/>
      <c r="AI20" s="1579"/>
      <c r="AJ20" s="1579"/>
      <c r="AK20" s="1579"/>
      <c r="AL20" s="1579"/>
      <c r="AM20" s="1579"/>
    </row>
    <row r="21" spans="1:67" ht="14.25">
      <c r="A21" s="2313" t="s">
        <v>2016</v>
      </c>
      <c r="B21" s="113">
        <v>2</v>
      </c>
      <c r="C21" s="2272"/>
      <c r="D21" s="2273"/>
      <c r="E21" s="2272"/>
      <c r="F21" s="2272"/>
      <c r="G21" s="2272"/>
      <c r="H21" s="2272"/>
      <c r="I21" s="2272"/>
      <c r="J21" s="2272"/>
      <c r="K21" s="168"/>
      <c r="L21" s="168"/>
      <c r="M21" s="1579"/>
      <c r="N21" s="1579"/>
      <c r="O21" s="1579"/>
      <c r="P21" s="1579"/>
      <c r="Q21" s="1579"/>
      <c r="R21" s="1579"/>
      <c r="S21" s="1579"/>
      <c r="T21" s="1579"/>
      <c r="U21" s="1579">
        <v>1</v>
      </c>
      <c r="V21" s="1579">
        <v>1</v>
      </c>
      <c r="W21" s="3046">
        <v>3</v>
      </c>
      <c r="X21" s="1579"/>
      <c r="Y21" s="1579"/>
      <c r="Z21" s="1579"/>
      <c r="AA21" s="1579"/>
      <c r="AB21" s="1579"/>
      <c r="AC21" s="1579"/>
      <c r="AD21" s="1579"/>
      <c r="AE21" s="1579"/>
      <c r="AF21" s="1579"/>
      <c r="AG21" s="1579"/>
      <c r="AH21" s="1579"/>
      <c r="AI21" s="1579"/>
      <c r="AJ21" s="1579"/>
      <c r="AK21" s="1579"/>
      <c r="AL21" s="1579"/>
      <c r="AM21" s="1579"/>
    </row>
    <row r="22" spans="1:67" ht="14.25">
      <c r="A22" s="2312" t="s">
        <v>2017</v>
      </c>
      <c r="B22" s="114">
        <f>B19+B20</f>
        <v>2</v>
      </c>
      <c r="C22" s="2272"/>
      <c r="D22" s="2273"/>
      <c r="E22" s="2272"/>
      <c r="F22" s="2272"/>
      <c r="G22" s="2272"/>
      <c r="H22" s="2272"/>
      <c r="I22" s="2272"/>
      <c r="J22" s="2272"/>
      <c r="K22" s="168"/>
      <c r="L22" s="168"/>
      <c r="M22" s="1579"/>
      <c r="N22" s="1579"/>
      <c r="O22" s="1579"/>
      <c r="P22" s="1579"/>
      <c r="Q22" s="1579"/>
      <c r="R22" s="1579"/>
      <c r="S22" s="1579"/>
      <c r="T22" s="1579"/>
      <c r="U22" s="1579">
        <v>2</v>
      </c>
      <c r="V22" s="1579">
        <v>0.6</v>
      </c>
      <c r="W22" s="3046">
        <f>$W$21*V22/$V$21</f>
        <v>1.7999999999999998</v>
      </c>
      <c r="X22" s="3046">
        <f>AVERAGE(W21:W22)</f>
        <v>2.4</v>
      </c>
      <c r="Y22" s="1579" t="s">
        <v>3429</v>
      </c>
      <c r="Z22" s="1579"/>
      <c r="AA22" s="1579"/>
      <c r="AB22" s="1579"/>
      <c r="AC22" s="1579"/>
      <c r="AD22" s="1579"/>
      <c r="AE22" s="1579"/>
      <c r="AF22" s="1579"/>
      <c r="AG22" s="1579"/>
      <c r="AH22" s="1579"/>
      <c r="AI22" s="1579"/>
      <c r="AJ22" s="1579"/>
      <c r="AK22" s="1579"/>
      <c r="AL22" s="1579"/>
      <c r="AM22" s="1579"/>
    </row>
    <row r="23" spans="1:67" ht="14.25">
      <c r="A23" s="2313" t="s">
        <v>2018</v>
      </c>
      <c r="B23" s="114">
        <f>B19+B21</f>
        <v>2</v>
      </c>
      <c r="C23" s="2272"/>
      <c r="D23" s="2273"/>
      <c r="E23" s="2272"/>
      <c r="F23" s="2272"/>
      <c r="G23" s="2272"/>
      <c r="H23" s="2272"/>
      <c r="I23" s="2272"/>
      <c r="J23" s="2272"/>
      <c r="K23" s="168"/>
      <c r="L23" s="168"/>
      <c r="M23" s="1579"/>
      <c r="N23" s="1579"/>
      <c r="O23" s="1579"/>
      <c r="P23" s="1579"/>
      <c r="Q23" s="1579"/>
      <c r="R23" s="1579"/>
      <c r="S23" s="1579"/>
      <c r="T23" s="1579"/>
      <c r="U23" s="1579">
        <v>3</v>
      </c>
      <c r="V23" s="1579">
        <v>0.5</v>
      </c>
      <c r="W23" s="3046">
        <f t="shared" ref="W23:W25" si="12">$W$21*V23/$V$21</f>
        <v>1.5</v>
      </c>
      <c r="X23" s="1579">
        <f>AVERAGE(W21:W23)</f>
        <v>2.1</v>
      </c>
      <c r="Y23" s="1579" t="s">
        <v>3427</v>
      </c>
      <c r="Z23" s="1579"/>
      <c r="AA23" s="1579"/>
      <c r="AB23" s="1579"/>
      <c r="AC23" s="1579"/>
      <c r="AD23" s="1579"/>
      <c r="AE23" s="1579"/>
      <c r="AF23" s="1579"/>
      <c r="AG23" s="1579"/>
      <c r="AH23" s="1579"/>
      <c r="AI23" s="1579"/>
      <c r="AJ23" s="1579"/>
      <c r="AK23" s="1579"/>
      <c r="AL23" s="1579"/>
      <c r="AM23" s="1579"/>
    </row>
    <row r="24" spans="1:67" ht="15" thickBot="1">
      <c r="A24" s="2314" t="s">
        <v>2019</v>
      </c>
      <c r="B24" s="115">
        <f>B20-B21</f>
        <v>0</v>
      </c>
      <c r="C24" s="2272"/>
      <c r="D24" s="2273"/>
      <c r="E24" s="2272"/>
      <c r="F24" s="2272"/>
      <c r="G24" s="2272"/>
      <c r="H24" s="2272"/>
      <c r="I24" s="2272"/>
      <c r="J24" s="2272"/>
      <c r="K24" s="168"/>
      <c r="L24" s="168"/>
      <c r="M24" s="1579"/>
      <c r="N24" s="1579"/>
      <c r="O24" s="1579"/>
      <c r="P24" s="1579"/>
      <c r="Q24" s="1579"/>
      <c r="R24" s="1579"/>
      <c r="S24" s="1579"/>
      <c r="T24" s="1579"/>
      <c r="U24" s="1579">
        <v>4</v>
      </c>
      <c r="V24" s="1579">
        <v>0.45</v>
      </c>
      <c r="W24" s="3046">
        <f t="shared" si="12"/>
        <v>1.35</v>
      </c>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5"/>
      <c r="C25" s="2272"/>
      <c r="D25" s="2273"/>
      <c r="E25" s="2272"/>
      <c r="F25" s="2272"/>
      <c r="G25" s="2272"/>
      <c r="H25" s="2272"/>
      <c r="I25" s="2272"/>
      <c r="J25" s="2272"/>
      <c r="K25" s="168"/>
      <c r="L25" s="168"/>
      <c r="M25" s="1579"/>
      <c r="N25" s="1579"/>
      <c r="O25" s="1579"/>
      <c r="P25" s="1579"/>
      <c r="Q25" s="1579"/>
      <c r="R25" s="1579"/>
      <c r="S25" s="1579"/>
      <c r="T25" s="1579"/>
      <c r="U25" s="1579">
        <v>5</v>
      </c>
      <c r="V25" s="1579">
        <v>0.45</v>
      </c>
      <c r="W25" s="3046">
        <f t="shared" si="12"/>
        <v>1.35</v>
      </c>
      <c r="X25" s="3046">
        <f>AVERAGE(W24:W25)</f>
        <v>1.35</v>
      </c>
      <c r="Y25" s="1579" t="s">
        <v>3428</v>
      </c>
      <c r="Z25" s="1579"/>
      <c r="AA25" s="1579"/>
      <c r="AB25" s="1579"/>
      <c r="AC25" s="1579"/>
      <c r="AD25" s="1579"/>
      <c r="AE25" s="1579"/>
      <c r="AF25" s="1579"/>
      <c r="AG25" s="1579"/>
      <c r="AH25" s="1579"/>
      <c r="AI25" s="1579"/>
      <c r="AJ25" s="1579"/>
      <c r="AK25" s="1579"/>
      <c r="AL25" s="1579"/>
      <c r="AM25" s="1579"/>
    </row>
    <row r="26" spans="1:67" ht="15" thickBot="1">
      <c r="A26" s="2271" t="s">
        <v>2020</v>
      </c>
      <c r="B26" s="2315" t="s">
        <v>2021</v>
      </c>
      <c r="C26" s="2316" t="s">
        <v>2022</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2023</v>
      </c>
      <c r="B27" s="116">
        <v>30</v>
      </c>
      <c r="C27" s="2982" t="s">
        <v>3116</v>
      </c>
      <c r="D27" s="2318"/>
      <c r="E27" s="1426"/>
      <c r="F27" s="1426"/>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2024</v>
      </c>
      <c r="B28" s="119">
        <v>30</v>
      </c>
      <c r="C28" s="2321"/>
      <c r="D28" s="2318"/>
      <c r="E28" s="1426"/>
      <c r="F28" s="1426"/>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2025</v>
      </c>
      <c r="B29" s="121"/>
      <c r="C29" s="1762" t="s">
        <v>2026</v>
      </c>
      <c r="D29" s="2318"/>
      <c r="E29" s="1426"/>
      <c r="F29" s="1426"/>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2027</v>
      </c>
      <c r="B30" s="724">
        <v>200</v>
      </c>
      <c r="C30" s="2321"/>
      <c r="D30" s="2318"/>
      <c r="E30" s="1426"/>
      <c r="F30" s="1426"/>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2028</v>
      </c>
      <c r="B31" s="120">
        <f>B30-B32</f>
        <v>200</v>
      </c>
      <c r="C31" s="1762"/>
      <c r="D31" s="2318"/>
      <c r="E31" s="1426"/>
      <c r="F31" s="1426"/>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2029</v>
      </c>
      <c r="B32" s="725"/>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2030</v>
      </c>
      <c r="B33" s="726">
        <v>0.03</v>
      </c>
      <c r="C33" s="1761" t="s">
        <v>2031</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2032</v>
      </c>
      <c r="B34" s="122">
        <v>0</v>
      </c>
      <c r="C34" s="1761" t="s">
        <v>2033</v>
      </c>
      <c r="D34" s="2273" t="s">
        <v>2034</v>
      </c>
      <c r="E34" s="732"/>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2035</v>
      </c>
      <c r="B35" s="119">
        <v>200</v>
      </c>
      <c r="C35" s="1761" t="s">
        <v>2036</v>
      </c>
      <c r="D35" s="2318"/>
      <c r="E35" s="1426"/>
      <c r="F35" s="1426"/>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2037</v>
      </c>
      <c r="B36" s="123">
        <v>1.4999999999999999E-2</v>
      </c>
      <c r="C36" s="1761" t="s">
        <v>2038</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2039</v>
      </c>
      <c r="B37" s="124">
        <v>0.02</v>
      </c>
      <c r="C37" s="1761" t="s">
        <v>2040</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2041</v>
      </c>
      <c r="B38" s="122">
        <v>0.03</v>
      </c>
      <c r="C38" s="1761" t="s">
        <v>2040</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2042</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2043</v>
      </c>
      <c r="B40" s="1300">
        <f ca="1">存贷款利率!G1</f>
        <v>4.7500000000000001E-2</v>
      </c>
      <c r="C40" s="1761" t="s">
        <v>2044</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2045</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2046</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2047</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2048</v>
      </c>
      <c r="B44" s="128">
        <v>7.0000000000000007E-2</v>
      </c>
      <c r="C44" s="1761" t="s">
        <v>2049</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2050</v>
      </c>
      <c r="B45" s="126">
        <v>0.03</v>
      </c>
      <c r="C45" s="1762" t="s">
        <v>2051</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2052</v>
      </c>
      <c r="B46" s="126">
        <v>0.02</v>
      </c>
      <c r="C46" s="1762" t="s">
        <v>2053</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2054</v>
      </c>
      <c r="B47" s="129"/>
      <c r="C47" s="1762" t="s">
        <v>2055</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2056</v>
      </c>
      <c r="B48" s="130">
        <v>0.03</v>
      </c>
      <c r="C48" s="1769" t="s">
        <v>2057</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2058</v>
      </c>
      <c r="B49" s="126">
        <v>5.0000000000000001E-4</v>
      </c>
      <c r="C49" s="1769" t="s">
        <v>2059</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2060</v>
      </c>
      <c r="B50" s="131">
        <v>1.2E-2</v>
      </c>
      <c r="C50" s="1426"/>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2061</v>
      </c>
      <c r="B51" s="132">
        <v>0.12</v>
      </c>
      <c r="C51" s="1426"/>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2062</v>
      </c>
      <c r="B52" s="133">
        <f>SUMIF(A54:A63,B53,B54:B63)</f>
        <v>10</v>
      </c>
      <c r="C52" s="1426"/>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2063</v>
      </c>
      <c r="B53" s="2331" t="s">
        <v>212</v>
      </c>
      <c r="C53" s="1426" t="s">
        <v>2064</v>
      </c>
      <c r="D53" s="2332" t="s">
        <v>2065</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2066</v>
      </c>
      <c r="B54" s="2983">
        <v>10</v>
      </c>
      <c r="C54" s="1426">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2067</v>
      </c>
      <c r="B55" s="84"/>
      <c r="C55" s="1426">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2068</v>
      </c>
      <c r="B56" s="84"/>
      <c r="C56" s="1426">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2069</v>
      </c>
      <c r="B57" s="84"/>
      <c r="C57" s="1426">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2070</v>
      </c>
      <c r="B58" s="84"/>
      <c r="C58" s="1426">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2071</v>
      </c>
      <c r="B59" s="84"/>
      <c r="C59" s="1426">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2072</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2073</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2074</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2075</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8"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46" t="s">
        <v>2076</v>
      </c>
      <c r="B1" s="3147"/>
      <c r="C1" s="3147"/>
      <c r="D1" s="3147"/>
      <c r="E1" s="3147"/>
      <c r="F1" s="3147"/>
      <c r="G1" s="314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2077</v>
      </c>
      <c r="D2" s="2361"/>
      <c r="E2" s="2362"/>
      <c r="F2" s="2281"/>
      <c r="G2" s="2360" t="s">
        <v>2078</v>
      </c>
      <c r="H2" s="2363"/>
      <c r="I2" s="2363"/>
      <c r="J2" s="2363"/>
      <c r="K2" s="2363"/>
      <c r="L2" s="2363"/>
      <c r="M2" s="2363"/>
      <c r="N2" s="2363"/>
      <c r="O2" s="2363"/>
      <c r="P2" s="2363"/>
      <c r="Q2" s="2363"/>
      <c r="R2" s="2363"/>
    </row>
    <row r="3" spans="1:29" ht="54">
      <c r="A3" s="415" t="s">
        <v>2079</v>
      </c>
      <c r="B3" s="1268" t="s">
        <v>2080</v>
      </c>
      <c r="C3" s="2365" t="s">
        <v>2081</v>
      </c>
      <c r="D3" s="2366"/>
      <c r="E3" s="431" t="s">
        <v>2079</v>
      </c>
      <c r="F3" s="2367" t="s">
        <v>2082</v>
      </c>
      <c r="G3" s="2368" t="s">
        <v>2083</v>
      </c>
      <c r="H3" s="2363"/>
      <c r="I3" s="2363"/>
      <c r="J3" s="2363"/>
      <c r="K3" s="2363"/>
      <c r="L3" s="2363"/>
      <c r="M3" s="2363"/>
      <c r="N3" s="2363"/>
      <c r="O3" s="2363"/>
      <c r="P3" s="2363"/>
      <c r="Q3" s="2363"/>
      <c r="R3" s="2363"/>
    </row>
    <row r="4" spans="1:29" ht="41.25">
      <c r="A4" s="431"/>
      <c r="B4" s="1793" t="s">
        <v>2084</v>
      </c>
      <c r="C4" s="2369" t="s">
        <v>2085</v>
      </c>
      <c r="D4" s="2366"/>
      <c r="E4" s="2370"/>
      <c r="F4" s="42" t="s">
        <v>2086</v>
      </c>
      <c r="G4" s="2371" t="s">
        <v>2087</v>
      </c>
      <c r="H4" s="2363"/>
      <c r="I4" s="2363"/>
      <c r="J4" s="2363"/>
      <c r="K4" s="2363"/>
      <c r="L4" s="2363"/>
      <c r="M4" s="2363"/>
      <c r="N4" s="2363"/>
      <c r="O4" s="2363"/>
      <c r="P4" s="2363"/>
      <c r="Q4" s="2363"/>
      <c r="R4" s="2363"/>
    </row>
    <row r="5" spans="1:29" ht="41.25">
      <c r="A5" s="431"/>
      <c r="B5" s="1793" t="s">
        <v>2088</v>
      </c>
      <c r="C5" s="2369" t="s">
        <v>2089</v>
      </c>
      <c r="D5" s="2366"/>
      <c r="E5" s="2370"/>
      <c r="F5" s="1793" t="s">
        <v>2090</v>
      </c>
      <c r="G5" s="2371" t="s">
        <v>2091</v>
      </c>
      <c r="H5" s="2363"/>
      <c r="I5" s="2363"/>
      <c r="J5" s="2363"/>
      <c r="K5" s="2363"/>
      <c r="L5" s="2363"/>
      <c r="M5" s="2363"/>
      <c r="N5" s="2363"/>
      <c r="O5" s="2363"/>
      <c r="P5" s="2363"/>
      <c r="Q5" s="2363"/>
      <c r="R5" s="2363"/>
    </row>
    <row r="6" spans="1:29" ht="54">
      <c r="A6" s="431"/>
      <c r="B6" s="1793" t="s">
        <v>2092</v>
      </c>
      <c r="C6" s="2371" t="s">
        <v>2087</v>
      </c>
      <c r="D6" s="2366"/>
      <c r="E6" s="2370"/>
      <c r="F6" s="1793" t="s">
        <v>2093</v>
      </c>
      <c r="G6" s="2371" t="s">
        <v>2094</v>
      </c>
      <c r="H6" s="2363"/>
      <c r="I6" s="2363"/>
      <c r="J6" s="2363"/>
      <c r="K6" s="2363"/>
      <c r="L6" s="2363"/>
      <c r="M6" s="2363"/>
      <c r="N6" s="2363"/>
      <c r="O6" s="2363"/>
      <c r="P6" s="2363"/>
      <c r="Q6" s="2363"/>
      <c r="R6" s="2363"/>
    </row>
    <row r="7" spans="1:29" ht="41.25" thickBot="1">
      <c r="A7" s="431"/>
      <c r="B7" s="1793" t="s">
        <v>2090</v>
      </c>
      <c r="C7" s="2371" t="s">
        <v>2091</v>
      </c>
      <c r="D7" s="2372"/>
      <c r="E7" s="2373"/>
      <c r="F7" s="2374" t="s">
        <v>2095</v>
      </c>
      <c r="G7" s="2375" t="s">
        <v>2096</v>
      </c>
      <c r="H7" s="2363"/>
      <c r="I7" s="2363"/>
      <c r="J7" s="2363"/>
      <c r="K7" s="2363"/>
      <c r="L7" s="2363"/>
      <c r="M7" s="2363"/>
      <c r="N7" s="2363"/>
      <c r="O7" s="2363"/>
      <c r="P7" s="2363"/>
      <c r="Q7" s="2363"/>
      <c r="R7" s="2363"/>
    </row>
    <row r="8" spans="1:29" ht="27">
      <c r="A8" s="431"/>
      <c r="B8" s="1793" t="s">
        <v>2093</v>
      </c>
      <c r="C8" s="2371" t="s">
        <v>2094</v>
      </c>
      <c r="D8" s="2372"/>
      <c r="E8" s="2372"/>
      <c r="F8" s="1133"/>
      <c r="G8" s="1133"/>
      <c r="H8" s="2363"/>
      <c r="I8" s="2363"/>
      <c r="J8" s="2363"/>
      <c r="K8" s="2363"/>
      <c r="L8" s="2363"/>
      <c r="M8" s="2363"/>
      <c r="N8" s="2363"/>
      <c r="O8" s="2363"/>
      <c r="P8" s="2363"/>
      <c r="Q8" s="2363"/>
      <c r="R8" s="2363"/>
    </row>
    <row r="9" spans="1:29" ht="27">
      <c r="A9" s="431"/>
      <c r="B9" s="1793" t="s">
        <v>2097</v>
      </c>
      <c r="C9" s="2369" t="s">
        <v>2098</v>
      </c>
      <c r="D9" s="2366"/>
      <c r="E9" s="2372"/>
      <c r="F9" s="1133"/>
      <c r="G9" s="1133"/>
      <c r="H9" s="2363"/>
      <c r="I9" s="2363"/>
      <c r="J9" s="2363"/>
      <c r="K9" s="2363"/>
      <c r="L9" s="2363"/>
      <c r="M9" s="2363"/>
      <c r="N9" s="2363"/>
      <c r="O9" s="2363"/>
      <c r="P9" s="2363"/>
      <c r="Q9" s="2363"/>
      <c r="R9" s="2363"/>
    </row>
    <row r="10" spans="1:29" s="117" customFormat="1" ht="15.75" thickBot="1">
      <c r="A10" s="2376"/>
      <c r="B10" s="2377" t="s">
        <v>2099</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2100</v>
      </c>
      <c r="B13" s="2383"/>
      <c r="C13" s="2383"/>
      <c r="D13" s="2390"/>
      <c r="E13" s="2383"/>
      <c r="F13" s="2383"/>
      <c r="G13" s="2383"/>
    </row>
    <row r="14" spans="1:29" ht="15.75" thickBot="1">
      <c r="A14" s="2394"/>
      <c r="B14" s="2395"/>
      <c r="C14" s="2396" t="s">
        <v>2101</v>
      </c>
      <c r="D14" s="2366"/>
      <c r="E14" s="2397"/>
      <c r="F14" s="2397"/>
      <c r="G14" s="2360" t="s">
        <v>2102</v>
      </c>
    </row>
    <row r="15" spans="1:29" ht="57">
      <c r="A15" s="68" t="s">
        <v>2103</v>
      </c>
      <c r="B15" s="1267" t="s">
        <v>2080</v>
      </c>
      <c r="C15" s="2398" t="str">
        <f>C3</f>
        <v>估价对象周边居住用地比例、居住小区规模和社区发展完善程度，综合评价居住社区成熟度一般</v>
      </c>
      <c r="D15" s="2366"/>
      <c r="E15" s="2399" t="s">
        <v>2104</v>
      </c>
      <c r="F15" s="1267" t="s">
        <v>2105</v>
      </c>
      <c r="G15" s="135" t="str">
        <f>G3</f>
        <v>估价对象位于XX开发区，园区建设成熟度XX，产业集聚程度XX</v>
      </c>
    </row>
    <row r="16" spans="1:29" ht="42.75">
      <c r="A16" s="645"/>
      <c r="B16" s="2400" t="s">
        <v>2084</v>
      </c>
      <c r="C16" s="2401" t="str">
        <f>C4</f>
        <v>估价对象位于XX商圈，周边商业氛围成熟，人流量大，商业繁华度好</v>
      </c>
      <c r="D16" s="2366"/>
      <c r="E16" s="2402"/>
      <c r="F16" s="2403" t="s">
        <v>2086</v>
      </c>
      <c r="G16" s="136" t="str">
        <f>G4</f>
        <v>估价对象周边道路状况、公共交通通达情况、停车便捷程度，综合评价交通便捷度较好</v>
      </c>
    </row>
    <row r="17" spans="1:18" ht="42.75">
      <c r="A17" s="645"/>
      <c r="B17" s="2400" t="s">
        <v>2088</v>
      </c>
      <c r="C17" s="2401" t="str">
        <f>C5</f>
        <v>估价对象位于XX商圈，周边办公楼项目较多，入驻率高，办公集聚程度较好</v>
      </c>
      <c r="D17" s="2372"/>
      <c r="E17" s="2402"/>
      <c r="F17" s="2403" t="s">
        <v>2106</v>
      </c>
      <c r="G17" s="1567"/>
    </row>
    <row r="18" spans="1:18" ht="57">
      <c r="A18" s="645"/>
      <c r="B18" s="2403" t="s">
        <v>2092</v>
      </c>
      <c r="C18" s="136" t="str">
        <f>C6</f>
        <v>估价对象周边道路状况、公共交通通达情况、停车便捷程度，综合评价交通便捷度较好</v>
      </c>
      <c r="D18" s="2372"/>
      <c r="E18" s="2402"/>
      <c r="F18" s="2403" t="s">
        <v>2095</v>
      </c>
      <c r="G18" s="136" t="str">
        <f>G7</f>
        <v>该园区内是否有污染型企业，绿化情况，卫生条件，整体环境状况判断</v>
      </c>
    </row>
    <row r="19" spans="1:18" ht="28.5">
      <c r="A19" s="645"/>
      <c r="B19" s="2403" t="s">
        <v>2107</v>
      </c>
      <c r="C19" s="1567"/>
      <c r="D19" s="2366"/>
      <c r="E19" s="2402"/>
      <c r="F19" s="1793" t="s">
        <v>2090</v>
      </c>
      <c r="G19" s="136" t="str">
        <f>G5</f>
        <v>估价对象所在区域公共配套设施齐备情况</v>
      </c>
    </row>
    <row r="20" spans="1:18" ht="28.5">
      <c r="A20" s="645"/>
      <c r="B20" s="2403" t="s">
        <v>2108</v>
      </c>
      <c r="C20" s="2401" t="str">
        <f>C9</f>
        <v>区域自然环境：；人文环境；综合评价环境状况一般</v>
      </c>
      <c r="D20" s="2372"/>
      <c r="E20" s="2402"/>
      <c r="F20" s="1793" t="s">
        <v>2109</v>
      </c>
      <c r="G20" s="136" t="str">
        <f>G6</f>
        <v>估价对象所在区域基础设施水平</v>
      </c>
    </row>
    <row r="21" spans="1:18" ht="28.5">
      <c r="A21" s="645"/>
      <c r="B21" s="1793" t="s">
        <v>2090</v>
      </c>
      <c r="C21" s="136" t="str">
        <f>C7</f>
        <v>估价对象所在区域公共配套设施齐备情况</v>
      </c>
      <c r="D21" s="2366"/>
      <c r="E21" s="2402"/>
      <c r="F21" s="2403" t="s">
        <v>2110</v>
      </c>
      <c r="G21" s="2404"/>
    </row>
    <row r="22" spans="1:18" ht="13.5" customHeight="1">
      <c r="A22" s="645"/>
      <c r="B22" s="1793" t="s">
        <v>2093</v>
      </c>
      <c r="C22" s="136" t="str">
        <f>C8</f>
        <v>估价对象所在区域基础设施水平</v>
      </c>
      <c r="D22" s="2366"/>
      <c r="E22" s="2402"/>
      <c r="F22" s="2403" t="s">
        <v>2099</v>
      </c>
      <c r="G22" s="1567"/>
    </row>
    <row r="23" spans="1:18" s="2363"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3"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3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D41"/>
  <sheetViews>
    <sheetView workbookViewId="0">
      <pane xSplit="3" ySplit="2" topLeftCell="D3" activePane="bottomRight" state="frozen"/>
      <selection pane="topRight" activeCell="D1" sqref="D1"/>
      <selection pane="bottomLeft" activeCell="A3" sqref="A3"/>
      <selection pane="bottomRight" activeCell="G21" sqref="G21"/>
    </sheetView>
  </sheetViews>
  <sheetFormatPr defaultRowHeight="22.5" customHeight="1"/>
  <cols>
    <col min="1" max="1" width="5.375" style="3000" customWidth="1"/>
    <col min="2" max="2" width="15.5" style="3000" customWidth="1"/>
    <col min="3" max="3" width="8.25" style="3000" customWidth="1"/>
    <col min="4" max="4" width="9.875" style="3000" customWidth="1"/>
    <col min="5" max="5" width="15.625" style="3000" customWidth="1"/>
    <col min="6" max="6" width="17.75" style="2999" customWidth="1"/>
    <col min="7" max="7" width="9.375" style="3000" customWidth="1"/>
    <col min="8" max="8" width="16.25" style="3000" customWidth="1"/>
    <col min="9" max="9" width="6" style="3000" customWidth="1"/>
    <col min="10" max="11" width="13.5" style="3000" customWidth="1"/>
    <col min="12" max="12" width="10.25" style="3000" customWidth="1"/>
    <col min="13" max="15" width="10.5" style="2999" customWidth="1"/>
    <col min="16" max="79" width="5.625" style="3000" customWidth="1"/>
    <col min="80" max="80" width="19.625" style="3000" customWidth="1"/>
    <col min="81" max="81" width="22.125" style="3000" customWidth="1"/>
    <col min="82" max="16384" width="9" style="3000"/>
  </cols>
  <sheetData>
    <row r="1" spans="1:80" ht="22.5" customHeight="1">
      <c r="A1" s="3149" t="s">
        <v>3268</v>
      </c>
      <c r="B1" s="3149" t="s">
        <v>3269</v>
      </c>
      <c r="C1" s="3149" t="s">
        <v>3270</v>
      </c>
      <c r="D1" s="3149" t="s">
        <v>3271</v>
      </c>
      <c r="E1" s="3149" t="s">
        <v>3272</v>
      </c>
      <c r="F1" s="3148" t="s">
        <v>3273</v>
      </c>
      <c r="G1" s="3149" t="s">
        <v>3274</v>
      </c>
      <c r="H1" s="3149" t="s">
        <v>3275</v>
      </c>
      <c r="I1" s="3149" t="s">
        <v>3276</v>
      </c>
      <c r="J1" s="3149"/>
      <c r="K1" s="3149"/>
      <c r="L1" s="3148" t="s">
        <v>3277</v>
      </c>
      <c r="M1" s="3148" t="s">
        <v>3278</v>
      </c>
      <c r="N1" s="3148" t="s">
        <v>3279</v>
      </c>
      <c r="P1" s="2999">
        <v>2019</v>
      </c>
      <c r="Q1" s="2999"/>
      <c r="R1" s="2999"/>
      <c r="S1" s="2999"/>
      <c r="AB1" s="3010">
        <v>2020</v>
      </c>
      <c r="AC1" s="3010"/>
      <c r="AD1" s="3010"/>
      <c r="AE1" s="3010"/>
      <c r="AF1" s="3011"/>
      <c r="AG1" s="3011"/>
      <c r="AH1" s="3011"/>
      <c r="AI1" s="3011"/>
      <c r="AJ1" s="3011"/>
      <c r="AK1" s="3011"/>
      <c r="AL1" s="3011"/>
      <c r="AM1" s="3011"/>
      <c r="AN1" s="3010">
        <v>2021</v>
      </c>
      <c r="AO1" s="3010"/>
      <c r="AP1" s="3010"/>
      <c r="AQ1" s="3010"/>
      <c r="AR1" s="3011"/>
      <c r="AS1" s="3011"/>
      <c r="AT1" s="3011"/>
      <c r="AU1" s="3011"/>
      <c r="AV1" s="3011"/>
      <c r="AW1" s="3011"/>
      <c r="AX1" s="3011"/>
      <c r="AY1" s="3011"/>
      <c r="AZ1" s="3010">
        <v>2022</v>
      </c>
      <c r="BA1" s="3010"/>
      <c r="BB1" s="3010"/>
      <c r="BC1" s="3010"/>
      <c r="BD1" s="3011"/>
      <c r="BE1" s="3011"/>
      <c r="BF1" s="3011"/>
      <c r="BG1" s="3011"/>
      <c r="BH1" s="3011"/>
      <c r="BI1" s="3011"/>
      <c r="BJ1" s="3011"/>
      <c r="BK1" s="3011"/>
      <c r="BL1" s="3010">
        <v>2023</v>
      </c>
      <c r="BM1" s="3010"/>
      <c r="BN1" s="3010"/>
      <c r="BO1" s="3010"/>
      <c r="BP1" s="3011"/>
      <c r="BQ1" s="3011"/>
      <c r="BR1" s="3011"/>
      <c r="BS1" s="3011"/>
      <c r="BT1" s="3011"/>
      <c r="BU1" s="3011"/>
      <c r="BV1" s="3011"/>
      <c r="BW1" s="3011"/>
      <c r="BX1" s="3010">
        <v>2024</v>
      </c>
      <c r="BY1" s="3010"/>
      <c r="BZ1" s="3010"/>
    </row>
    <row r="2" spans="1:80" ht="22.5" customHeight="1">
      <c r="A2" s="3149"/>
      <c r="B2" s="3149"/>
      <c r="C2" s="3149"/>
      <c r="D2" s="3149"/>
      <c r="E2" s="3149"/>
      <c r="F2" s="3148"/>
      <c r="G2" s="3149"/>
      <c r="H2" s="3149"/>
      <c r="I2" s="3000" t="s">
        <v>3280</v>
      </c>
      <c r="J2" s="3000" t="s">
        <v>3281</v>
      </c>
      <c r="K2" s="3000" t="s">
        <v>3282</v>
      </c>
      <c r="L2" s="3148"/>
      <c r="M2" s="3148"/>
      <c r="N2" s="3148"/>
      <c r="P2" s="3038" t="s">
        <v>3409</v>
      </c>
      <c r="Q2" s="3038" t="s">
        <v>3410</v>
      </c>
      <c r="R2" s="3038" t="s">
        <v>3411</v>
      </c>
      <c r="S2" s="3038" t="s">
        <v>3412</v>
      </c>
      <c r="T2" s="3038" t="s">
        <v>3413</v>
      </c>
      <c r="U2" s="3038" t="s">
        <v>3414</v>
      </c>
      <c r="V2" s="3038" t="s">
        <v>3415</v>
      </c>
      <c r="W2" s="3038" t="s">
        <v>3416</v>
      </c>
      <c r="X2" s="3038" t="s">
        <v>3417</v>
      </c>
      <c r="Y2" s="3038" t="s">
        <v>3418</v>
      </c>
      <c r="Z2" s="3038" t="s">
        <v>3419</v>
      </c>
      <c r="AA2" s="3038" t="s">
        <v>3420</v>
      </c>
      <c r="AB2" s="3038" t="s">
        <v>3409</v>
      </c>
      <c r="AC2" s="3038" t="s">
        <v>3410</v>
      </c>
      <c r="AD2" s="3038" t="s">
        <v>3411</v>
      </c>
      <c r="AE2" s="3038" t="s">
        <v>3412</v>
      </c>
      <c r="AF2" s="3038" t="s">
        <v>3413</v>
      </c>
      <c r="AG2" s="3038" t="s">
        <v>3414</v>
      </c>
      <c r="AH2" s="3038" t="s">
        <v>3415</v>
      </c>
      <c r="AI2" s="3038" t="s">
        <v>3416</v>
      </c>
      <c r="AJ2" s="3038" t="s">
        <v>3417</v>
      </c>
      <c r="AK2" s="3038" t="s">
        <v>3418</v>
      </c>
      <c r="AL2" s="3038" t="s">
        <v>3419</v>
      </c>
      <c r="AM2" s="3038" t="s">
        <v>3420</v>
      </c>
      <c r="AN2" s="3038" t="s">
        <v>3409</v>
      </c>
      <c r="AO2" s="3038" t="s">
        <v>3410</v>
      </c>
      <c r="AP2" s="3038" t="s">
        <v>3411</v>
      </c>
      <c r="AQ2" s="3038" t="s">
        <v>3412</v>
      </c>
      <c r="AR2" s="3038" t="s">
        <v>3413</v>
      </c>
      <c r="AS2" s="3038" t="s">
        <v>3414</v>
      </c>
      <c r="AT2" s="3038" t="s">
        <v>3415</v>
      </c>
      <c r="AU2" s="3038" t="s">
        <v>3416</v>
      </c>
      <c r="AV2" s="3038" t="s">
        <v>3417</v>
      </c>
      <c r="AW2" s="3038" t="s">
        <v>3418</v>
      </c>
      <c r="AX2" s="3038" t="s">
        <v>3419</v>
      </c>
      <c r="AY2" s="3038" t="s">
        <v>3420</v>
      </c>
      <c r="AZ2" s="3038" t="s">
        <v>3409</v>
      </c>
      <c r="BA2" s="3038" t="s">
        <v>3410</v>
      </c>
      <c r="BB2" s="3038" t="s">
        <v>3411</v>
      </c>
      <c r="BC2" s="3038" t="s">
        <v>3412</v>
      </c>
      <c r="BD2" s="3038" t="s">
        <v>3413</v>
      </c>
      <c r="BE2" s="3038" t="s">
        <v>3414</v>
      </c>
      <c r="BF2" s="3038" t="s">
        <v>3415</v>
      </c>
      <c r="BG2" s="3038" t="s">
        <v>3416</v>
      </c>
      <c r="BH2" s="3038" t="s">
        <v>3417</v>
      </c>
      <c r="BI2" s="3038" t="s">
        <v>3418</v>
      </c>
      <c r="BJ2" s="3038" t="s">
        <v>3419</v>
      </c>
      <c r="BK2" s="3038" t="s">
        <v>3420</v>
      </c>
      <c r="BL2" s="3038" t="s">
        <v>3409</v>
      </c>
      <c r="BM2" s="3038" t="s">
        <v>3410</v>
      </c>
      <c r="BN2" s="3038" t="s">
        <v>3411</v>
      </c>
      <c r="BO2" s="3038" t="s">
        <v>3412</v>
      </c>
      <c r="BP2" s="3038" t="s">
        <v>3413</v>
      </c>
      <c r="BQ2" s="3038" t="s">
        <v>3414</v>
      </c>
      <c r="BR2" s="3038" t="s">
        <v>3415</v>
      </c>
      <c r="BS2" s="3038" t="s">
        <v>3416</v>
      </c>
      <c r="BT2" s="3038" t="s">
        <v>3417</v>
      </c>
      <c r="BU2" s="3038" t="s">
        <v>3418</v>
      </c>
      <c r="BV2" s="3038" t="s">
        <v>3419</v>
      </c>
      <c r="BW2" s="3038" t="s">
        <v>3420</v>
      </c>
      <c r="BX2" s="3038" t="s">
        <v>3409</v>
      </c>
      <c r="BY2" s="3038" t="s">
        <v>3410</v>
      </c>
      <c r="BZ2" s="3038" t="s">
        <v>3411</v>
      </c>
    </row>
    <row r="3" spans="1:80" ht="22.5" customHeight="1">
      <c r="A3" s="3000">
        <v>1</v>
      </c>
      <c r="B3" s="3000" t="s">
        <v>3283</v>
      </c>
      <c r="C3" s="3000" t="s">
        <v>3284</v>
      </c>
      <c r="D3" s="3000" t="s">
        <v>3285</v>
      </c>
      <c r="E3" s="3000" t="s">
        <v>3286</v>
      </c>
      <c r="F3" s="2999" t="s">
        <v>3287</v>
      </c>
      <c r="H3" s="3000">
        <v>180.4</v>
      </c>
      <c r="I3" s="3000">
        <v>5</v>
      </c>
      <c r="J3" s="3001">
        <v>43101</v>
      </c>
      <c r="K3" s="3001">
        <v>44926</v>
      </c>
      <c r="L3" s="2999">
        <v>45</v>
      </c>
      <c r="M3" s="2999">
        <v>15</v>
      </c>
      <c r="N3" s="2999">
        <v>20</v>
      </c>
      <c r="O3" s="2999">
        <f>(L3)*H3*12</f>
        <v>97416</v>
      </c>
      <c r="P3" s="3039">
        <v>45</v>
      </c>
      <c r="Q3" s="3039"/>
      <c r="R3" s="3039"/>
      <c r="S3" s="3039"/>
      <c r="T3" s="3039"/>
      <c r="U3" s="3039"/>
      <c r="V3" s="3039"/>
      <c r="W3" s="3039"/>
      <c r="X3" s="3039"/>
      <c r="Y3" s="3039"/>
      <c r="Z3" s="3039"/>
      <c r="AA3" s="3039"/>
      <c r="AB3" s="3039">
        <v>50</v>
      </c>
      <c r="AC3" s="3039"/>
      <c r="AD3" s="3039"/>
      <c r="AE3" s="3039"/>
      <c r="AF3" s="3039"/>
      <c r="AG3" s="3039"/>
      <c r="AH3" s="3039"/>
      <c r="AI3" s="3039"/>
      <c r="AJ3" s="3039"/>
      <c r="AK3" s="3039"/>
      <c r="AL3" s="3039"/>
      <c r="AM3" s="3039"/>
      <c r="AN3" s="3039">
        <v>55</v>
      </c>
      <c r="AO3" s="3039"/>
      <c r="AP3" s="3039"/>
      <c r="AQ3" s="3039"/>
      <c r="AR3" s="3039"/>
      <c r="AS3" s="3039"/>
      <c r="AT3" s="3039"/>
      <c r="AU3" s="3039"/>
      <c r="AV3" s="3039"/>
      <c r="AW3" s="3039"/>
      <c r="AX3" s="3039"/>
      <c r="AY3" s="3039"/>
      <c r="AZ3" s="3039">
        <v>60</v>
      </c>
      <c r="BA3" s="3039"/>
      <c r="BB3" s="3039"/>
      <c r="BC3" s="3039"/>
      <c r="BD3" s="3039"/>
      <c r="BE3" s="3039"/>
      <c r="BF3" s="3039"/>
      <c r="BG3" s="3039"/>
      <c r="BH3" s="3039"/>
      <c r="BI3" s="3039"/>
      <c r="BJ3" s="3039"/>
      <c r="BK3" s="3039"/>
      <c r="BL3" s="3040">
        <v>60</v>
      </c>
      <c r="BM3" s="3040"/>
      <c r="BN3" s="3040"/>
      <c r="BO3" s="3040"/>
      <c r="BP3" s="3040"/>
      <c r="BQ3" s="3040"/>
      <c r="BR3" s="3040"/>
      <c r="BS3" s="3040"/>
      <c r="BT3" s="3040"/>
      <c r="BU3" s="3040"/>
      <c r="BV3" s="3040"/>
      <c r="BW3" s="3040"/>
      <c r="BX3" s="3040">
        <v>60</v>
      </c>
      <c r="BY3" s="3040"/>
      <c r="BZ3" s="3040"/>
      <c r="CB3" s="3000">
        <f>(P3*5+AB3*12+AN3*12+AZ3*12+BL3*12+BX3*3)*H3</f>
        <v>560142</v>
      </c>
    </row>
    <row r="4" spans="1:80" ht="22.5" customHeight="1">
      <c r="A4" s="3000">
        <v>2</v>
      </c>
      <c r="B4" s="3000" t="s">
        <v>3288</v>
      </c>
      <c r="C4" s="3000" t="s">
        <v>3289</v>
      </c>
      <c r="D4" s="3000" t="s">
        <v>3290</v>
      </c>
      <c r="E4" s="3000" t="s">
        <v>3291</v>
      </c>
      <c r="F4" s="2999" t="s">
        <v>3292</v>
      </c>
      <c r="H4" s="3000">
        <v>208.9</v>
      </c>
      <c r="I4" s="3000">
        <v>4</v>
      </c>
      <c r="J4" s="3001">
        <v>43101</v>
      </c>
      <c r="K4" s="3001">
        <v>44561</v>
      </c>
      <c r="L4" s="3000">
        <v>40</v>
      </c>
      <c r="M4" s="2999">
        <v>15</v>
      </c>
      <c r="N4" s="2999">
        <v>30</v>
      </c>
      <c r="O4" s="3005">
        <f t="shared" ref="O4:O17" si="0">(L4)*H4*12</f>
        <v>100272</v>
      </c>
      <c r="P4" s="3039">
        <v>0</v>
      </c>
      <c r="Q4" s="3039">
        <v>40</v>
      </c>
      <c r="R4" s="3039"/>
      <c r="S4" s="3039"/>
      <c r="T4" s="3039"/>
      <c r="U4" s="3039"/>
      <c r="V4" s="3039"/>
      <c r="W4" s="3039"/>
      <c r="X4" s="3039"/>
      <c r="Y4" s="3039"/>
      <c r="Z4" s="3039"/>
      <c r="AA4" s="3039"/>
      <c r="AB4" s="3039">
        <v>45</v>
      </c>
      <c r="AC4" s="3039"/>
      <c r="AD4" s="3039"/>
      <c r="AE4" s="3039"/>
      <c r="AF4" s="3039"/>
      <c r="AG4" s="3039"/>
      <c r="AH4" s="3039"/>
      <c r="AI4" s="3039"/>
      <c r="AJ4" s="3039"/>
      <c r="AK4" s="3039"/>
      <c r="AL4" s="3039"/>
      <c r="AM4" s="3039"/>
      <c r="AN4" s="3039">
        <v>50</v>
      </c>
      <c r="AO4" s="3039"/>
      <c r="AP4" s="3039"/>
      <c r="AQ4" s="3039"/>
      <c r="AR4" s="3039"/>
      <c r="AS4" s="3039"/>
      <c r="AT4" s="3039"/>
      <c r="AU4" s="3039"/>
      <c r="AV4" s="3039"/>
      <c r="AW4" s="3039"/>
      <c r="AX4" s="3039"/>
      <c r="AY4" s="3039"/>
      <c r="AZ4" s="3040">
        <v>50</v>
      </c>
      <c r="BA4" s="3040"/>
      <c r="BB4" s="3040"/>
      <c r="BC4" s="3040"/>
      <c r="BD4" s="3040"/>
      <c r="BE4" s="3040"/>
      <c r="BF4" s="3040"/>
      <c r="BG4" s="3040"/>
      <c r="BH4" s="3040"/>
      <c r="BI4" s="3040"/>
      <c r="BJ4" s="3040"/>
      <c r="BK4" s="3040"/>
      <c r="BL4" s="3040">
        <v>50</v>
      </c>
      <c r="BM4" s="3040"/>
      <c r="BN4" s="3040"/>
      <c r="BO4" s="3040"/>
      <c r="BP4" s="3040"/>
      <c r="BQ4" s="3040"/>
      <c r="BR4" s="3040"/>
      <c r="BS4" s="3040"/>
      <c r="BT4" s="3040"/>
      <c r="BU4" s="3040"/>
      <c r="BV4" s="3040"/>
      <c r="BW4" s="3040"/>
      <c r="BX4" s="3040">
        <v>50</v>
      </c>
      <c r="BY4" s="3040"/>
      <c r="BZ4" s="3040"/>
      <c r="CB4" s="3013">
        <f>(Q4*5+AB4*12+AN4*12+AZ4*12+BL4*12+BX4*3)*H4</f>
        <v>561941</v>
      </c>
    </row>
    <row r="5" spans="1:80" ht="22.5" customHeight="1">
      <c r="A5" s="3000">
        <v>3</v>
      </c>
      <c r="B5" s="3000" t="s">
        <v>3293</v>
      </c>
      <c r="C5" s="3000" t="s">
        <v>3294</v>
      </c>
      <c r="D5" s="3000" t="s">
        <v>3295</v>
      </c>
      <c r="E5" s="3000" t="s">
        <v>3296</v>
      </c>
      <c r="F5" s="2999" t="s">
        <v>3297</v>
      </c>
      <c r="H5" s="3000">
        <v>217.7</v>
      </c>
      <c r="I5" s="3000">
        <v>4</v>
      </c>
      <c r="J5" s="3001">
        <v>43101</v>
      </c>
      <c r="K5" s="3001">
        <v>44561</v>
      </c>
      <c r="L5" s="3000">
        <v>35</v>
      </c>
      <c r="M5" s="2999">
        <v>15</v>
      </c>
      <c r="N5" s="2999">
        <v>30</v>
      </c>
      <c r="O5" s="3005">
        <f t="shared" si="0"/>
        <v>91434</v>
      </c>
      <c r="P5" s="3039">
        <v>35</v>
      </c>
      <c r="Q5" s="3039"/>
      <c r="R5" s="3039"/>
      <c r="S5" s="3039"/>
      <c r="T5" s="3039"/>
      <c r="U5" s="3039"/>
      <c r="V5" s="3039"/>
      <c r="W5" s="3039"/>
      <c r="X5" s="3039"/>
      <c r="Y5" s="3039"/>
      <c r="Z5" s="3039"/>
      <c r="AA5" s="3039"/>
      <c r="AB5" s="3039">
        <v>40</v>
      </c>
      <c r="AC5" s="3039"/>
      <c r="AD5" s="3039"/>
      <c r="AE5" s="3039"/>
      <c r="AF5" s="3039"/>
      <c r="AG5" s="3039"/>
      <c r="AH5" s="3039"/>
      <c r="AI5" s="3039"/>
      <c r="AJ5" s="3039"/>
      <c r="AK5" s="3039"/>
      <c r="AL5" s="3039"/>
      <c r="AM5" s="3039"/>
      <c r="AN5" s="3039">
        <v>45</v>
      </c>
      <c r="AO5" s="3039"/>
      <c r="AP5" s="3039"/>
      <c r="AQ5" s="3039"/>
      <c r="AR5" s="3039"/>
      <c r="AS5" s="3039"/>
      <c r="AT5" s="3039"/>
      <c r="AU5" s="3039"/>
      <c r="AV5" s="3039"/>
      <c r="AW5" s="3039"/>
      <c r="AX5" s="3039"/>
      <c r="AY5" s="3039"/>
      <c r="AZ5" s="3040">
        <v>45</v>
      </c>
      <c r="BA5" s="3040"/>
      <c r="BB5" s="3040"/>
      <c r="BC5" s="3040"/>
      <c r="BD5" s="3040"/>
      <c r="BE5" s="3040"/>
      <c r="BF5" s="3040"/>
      <c r="BG5" s="3040"/>
      <c r="BH5" s="3040"/>
      <c r="BI5" s="3040"/>
      <c r="BJ5" s="3040"/>
      <c r="BK5" s="3040"/>
      <c r="BL5" s="3040">
        <v>45</v>
      </c>
      <c r="BM5" s="3040"/>
      <c r="BN5" s="3040"/>
      <c r="BO5" s="3040"/>
      <c r="BP5" s="3040"/>
      <c r="BQ5" s="3040"/>
      <c r="BR5" s="3040"/>
      <c r="BS5" s="3040"/>
      <c r="BT5" s="3040"/>
      <c r="BU5" s="3040"/>
      <c r="BV5" s="3040"/>
      <c r="BW5" s="3040"/>
      <c r="BX5" s="3040">
        <v>45</v>
      </c>
      <c r="BY5" s="3040"/>
      <c r="BZ5" s="3040"/>
      <c r="CB5" s="3013">
        <f>(P5*5+AB5*12+AN5*12+AZ5*12+BL5*12+BX5*3)*H5</f>
        <v>524657</v>
      </c>
    </row>
    <row r="6" spans="1:80" ht="22.5" customHeight="1">
      <c r="A6" s="3000">
        <v>4</v>
      </c>
      <c r="B6" s="3000" t="s">
        <v>3298</v>
      </c>
      <c r="C6" s="3000" t="s">
        <v>3299</v>
      </c>
      <c r="D6" s="3000" t="s">
        <v>3300</v>
      </c>
      <c r="E6" s="3000" t="s">
        <v>3301</v>
      </c>
      <c r="F6" s="2999" t="s">
        <v>3302</v>
      </c>
      <c r="H6" s="3000">
        <v>229</v>
      </c>
      <c r="I6" s="3000">
        <v>5</v>
      </c>
      <c r="J6" s="3001">
        <v>43101</v>
      </c>
      <c r="K6" s="3001">
        <v>44926</v>
      </c>
      <c r="L6" s="3000">
        <v>35</v>
      </c>
      <c r="M6" s="2999">
        <v>15</v>
      </c>
      <c r="N6" s="2999">
        <v>30</v>
      </c>
      <c r="O6" s="3005">
        <f t="shared" si="0"/>
        <v>96180</v>
      </c>
      <c r="P6" s="3039">
        <v>0</v>
      </c>
      <c r="Q6" s="3039"/>
      <c r="R6" s="3039"/>
      <c r="S6" s="3039"/>
      <c r="T6" s="3039">
        <v>35</v>
      </c>
      <c r="U6" s="3039"/>
      <c r="V6" s="3039"/>
      <c r="W6" s="3039"/>
      <c r="X6" s="3039"/>
      <c r="Y6" s="3039"/>
      <c r="Z6" s="3039"/>
      <c r="AA6" s="3039"/>
      <c r="AB6" s="3039">
        <v>40</v>
      </c>
      <c r="AC6" s="3039"/>
      <c r="AD6" s="3039"/>
      <c r="AE6" s="3039"/>
      <c r="AF6" s="3039"/>
      <c r="AG6" s="3039"/>
      <c r="AH6" s="3039"/>
      <c r="AI6" s="3039"/>
      <c r="AJ6" s="3039"/>
      <c r="AK6" s="3039"/>
      <c r="AL6" s="3039"/>
      <c r="AM6" s="3039"/>
      <c r="AN6" s="3039">
        <v>45</v>
      </c>
      <c r="AO6" s="3039"/>
      <c r="AP6" s="3039"/>
      <c r="AQ6" s="3039"/>
      <c r="AR6" s="3039"/>
      <c r="AS6" s="3039"/>
      <c r="AT6" s="3039"/>
      <c r="AU6" s="3039"/>
      <c r="AV6" s="3039"/>
      <c r="AW6" s="3039"/>
      <c r="AX6" s="3039"/>
      <c r="AY6" s="3039"/>
      <c r="AZ6" s="3039">
        <v>50</v>
      </c>
      <c r="BA6" s="3039"/>
      <c r="BB6" s="3039"/>
      <c r="BC6" s="3039"/>
      <c r="BD6" s="3039"/>
      <c r="BE6" s="3039"/>
      <c r="BF6" s="3039"/>
      <c r="BG6" s="3039"/>
      <c r="BH6" s="3039"/>
      <c r="BI6" s="3039"/>
      <c r="BJ6" s="3039"/>
      <c r="BK6" s="3039"/>
      <c r="BL6" s="3040">
        <v>50</v>
      </c>
      <c r="BM6" s="3040"/>
      <c r="BN6" s="3040"/>
      <c r="BO6" s="3040"/>
      <c r="BP6" s="3040"/>
      <c r="BQ6" s="3040"/>
      <c r="BR6" s="3040"/>
      <c r="BS6" s="3040"/>
      <c r="BT6" s="3040"/>
      <c r="BU6" s="3040"/>
      <c r="BV6" s="3040"/>
      <c r="BW6" s="3040"/>
      <c r="BX6" s="3040">
        <v>50</v>
      </c>
      <c r="BY6" s="3040"/>
      <c r="BZ6" s="3040"/>
      <c r="CB6" s="3013">
        <f>(T6*5+AB6*12+AN6*12+AZ6*12+BL6*12+BX6*3)*H6</f>
        <v>582805</v>
      </c>
    </row>
    <row r="7" spans="1:80" ht="22.5" customHeight="1">
      <c r="A7" s="3000">
        <v>5</v>
      </c>
      <c r="B7" s="3000" t="s">
        <v>3303</v>
      </c>
      <c r="C7" s="3000" t="s">
        <v>3304</v>
      </c>
      <c r="D7" s="3000" t="s">
        <v>3300</v>
      </c>
      <c r="E7" s="3000" t="s">
        <v>3305</v>
      </c>
      <c r="F7" s="2999" t="s">
        <v>3306</v>
      </c>
      <c r="H7" s="3000">
        <v>238.2</v>
      </c>
      <c r="I7" s="3000">
        <v>3</v>
      </c>
      <c r="J7" s="3001">
        <v>43174</v>
      </c>
      <c r="K7" s="3001">
        <v>44269</v>
      </c>
      <c r="L7" s="3000">
        <v>40</v>
      </c>
      <c r="M7" s="2999">
        <v>15</v>
      </c>
      <c r="N7" s="2999">
        <v>30</v>
      </c>
      <c r="O7" s="3005">
        <f t="shared" si="0"/>
        <v>114336</v>
      </c>
      <c r="P7" s="3039">
        <v>35</v>
      </c>
      <c r="Q7" s="3039"/>
      <c r="R7" s="3039">
        <v>40</v>
      </c>
      <c r="S7" s="3039"/>
      <c r="T7" s="3039"/>
      <c r="U7" s="3039"/>
      <c r="V7" s="3039"/>
      <c r="W7" s="3039"/>
      <c r="X7" s="3039"/>
      <c r="Y7" s="3039"/>
      <c r="Z7" s="3039"/>
      <c r="AA7" s="3039"/>
      <c r="AB7" s="3039"/>
      <c r="AC7" s="3039"/>
      <c r="AD7" s="3039">
        <v>45</v>
      </c>
      <c r="AE7" s="3039"/>
      <c r="AF7" s="3039"/>
      <c r="AG7" s="3039"/>
      <c r="AH7" s="3039"/>
      <c r="AI7" s="3039"/>
      <c r="AJ7" s="3039"/>
      <c r="AK7" s="3039"/>
      <c r="AL7" s="3039"/>
      <c r="AM7" s="3039"/>
      <c r="AN7" s="3039"/>
      <c r="AO7" s="3039"/>
      <c r="AP7" s="3040">
        <v>45</v>
      </c>
      <c r="AQ7" s="3040"/>
      <c r="AR7" s="3040"/>
      <c r="AS7" s="3040"/>
      <c r="AT7" s="3040"/>
      <c r="AU7" s="3040"/>
      <c r="AV7" s="3040"/>
      <c r="AW7" s="3040"/>
      <c r="AX7" s="3040"/>
      <c r="AY7" s="3040"/>
      <c r="AZ7" s="3040"/>
      <c r="BA7" s="3040"/>
      <c r="BB7" s="3040">
        <v>45</v>
      </c>
      <c r="BC7" s="3040"/>
      <c r="BD7" s="3040"/>
      <c r="BE7" s="3040"/>
      <c r="BF7" s="3040"/>
      <c r="BG7" s="3040"/>
      <c r="BH7" s="3040"/>
      <c r="BI7" s="3040"/>
      <c r="BJ7" s="3040"/>
      <c r="BK7" s="3040"/>
      <c r="BL7" s="3040"/>
      <c r="BM7" s="3040"/>
      <c r="BN7" s="3040">
        <v>45</v>
      </c>
      <c r="BO7" s="3040"/>
      <c r="BP7" s="3040"/>
      <c r="BQ7" s="3040"/>
      <c r="BR7" s="3040"/>
      <c r="BS7" s="3040"/>
      <c r="BT7" s="3040"/>
      <c r="BU7" s="3040"/>
      <c r="BV7" s="3040"/>
      <c r="BW7" s="3040"/>
      <c r="BX7" s="3040"/>
      <c r="BY7" s="3040"/>
      <c r="BZ7" s="3040">
        <v>45</v>
      </c>
      <c r="CB7" s="3013">
        <f>(R7*7+AD7*12+AP7*12+BB7*12+BN7*12+BZ7*1)*H7</f>
        <v>591927</v>
      </c>
    </row>
    <row r="8" spans="1:80" ht="22.5" customHeight="1">
      <c r="A8" s="3000">
        <v>6</v>
      </c>
      <c r="B8" s="3000" t="s">
        <v>3307</v>
      </c>
      <c r="C8" s="3000" t="s">
        <v>3308</v>
      </c>
      <c r="D8" s="3000" t="s">
        <v>3309</v>
      </c>
      <c r="E8" s="3000" t="s">
        <v>3310</v>
      </c>
      <c r="F8" s="2999" t="s">
        <v>3311</v>
      </c>
      <c r="H8" s="3000">
        <v>306</v>
      </c>
      <c r="I8" s="3000">
        <v>5</v>
      </c>
      <c r="J8" s="3001">
        <v>43200</v>
      </c>
      <c r="K8" s="3001">
        <v>45025</v>
      </c>
      <c r="L8" s="3000">
        <v>45.36</v>
      </c>
      <c r="M8" s="2999">
        <v>15</v>
      </c>
      <c r="N8" s="2999">
        <v>20</v>
      </c>
      <c r="O8" s="3005">
        <f t="shared" si="0"/>
        <v>166561.91999999998</v>
      </c>
      <c r="P8" s="3039">
        <v>42</v>
      </c>
      <c r="Q8" s="3039"/>
      <c r="R8" s="3039"/>
      <c r="S8" s="3039">
        <v>45.36</v>
      </c>
      <c r="T8" s="3039"/>
      <c r="U8" s="3039"/>
      <c r="V8" s="3039"/>
      <c r="W8" s="3039"/>
      <c r="X8" s="3039"/>
      <c r="Y8" s="3039"/>
      <c r="Z8" s="3039"/>
      <c r="AA8" s="3039"/>
      <c r="AB8" s="3039"/>
      <c r="AC8" s="3039"/>
      <c r="AD8" s="3039"/>
      <c r="AE8" s="3039">
        <v>48.99</v>
      </c>
      <c r="AF8" s="3039"/>
      <c r="AG8" s="3039"/>
      <c r="AH8" s="3039"/>
      <c r="AI8" s="3039"/>
      <c r="AJ8" s="3039"/>
      <c r="AK8" s="3039"/>
      <c r="AL8" s="3039"/>
      <c r="AM8" s="3039"/>
      <c r="AN8" s="3039"/>
      <c r="AO8" s="3039"/>
      <c r="AP8" s="3039"/>
      <c r="AQ8" s="3039">
        <v>52.9</v>
      </c>
      <c r="AR8" s="3039"/>
      <c r="AS8" s="3039"/>
      <c r="AT8" s="3039"/>
      <c r="AU8" s="3039"/>
      <c r="AV8" s="3039"/>
      <c r="AW8" s="3039"/>
      <c r="AX8" s="3039"/>
      <c r="AY8" s="3039"/>
      <c r="AZ8" s="3039"/>
      <c r="BA8" s="3039"/>
      <c r="BB8" s="3039"/>
      <c r="BC8" s="3039">
        <v>57.13</v>
      </c>
      <c r="BD8" s="3039"/>
      <c r="BE8" s="3039"/>
      <c r="BF8" s="3039"/>
      <c r="BG8" s="3039"/>
      <c r="BH8" s="3039"/>
      <c r="BI8" s="3039"/>
      <c r="BJ8" s="3039"/>
      <c r="BK8" s="3039"/>
      <c r="BL8" s="3039"/>
      <c r="BM8" s="3039"/>
      <c r="BN8" s="3039"/>
      <c r="BO8" s="3040">
        <v>57.13</v>
      </c>
      <c r="BP8" s="3040"/>
      <c r="BQ8" s="3040"/>
      <c r="BR8" s="3040"/>
      <c r="BS8" s="3040"/>
      <c r="BT8" s="3040"/>
      <c r="BU8" s="3040"/>
      <c r="BV8" s="3040"/>
      <c r="BW8" s="3040"/>
      <c r="BX8" s="3040"/>
      <c r="BY8" s="3040"/>
      <c r="BZ8" s="3040"/>
      <c r="CB8" s="3013">
        <f>(S8*8+AE8*12+AQ8*12+BC8*12+BO8*12)*H8</f>
        <v>904744.08</v>
      </c>
    </row>
    <row r="9" spans="1:80" ht="22.5" customHeight="1">
      <c r="A9" s="3000">
        <v>7</v>
      </c>
      <c r="B9" s="3000" t="s">
        <v>3312</v>
      </c>
      <c r="C9" s="3000" t="s">
        <v>3313</v>
      </c>
      <c r="D9" s="3000" t="s">
        <v>3309</v>
      </c>
      <c r="E9" s="3000" t="s">
        <v>3314</v>
      </c>
      <c r="F9" s="2999" t="s">
        <v>3315</v>
      </c>
      <c r="H9" s="3000">
        <v>296.48</v>
      </c>
      <c r="I9" s="3000">
        <v>4</v>
      </c>
      <c r="J9" s="3001">
        <v>43160</v>
      </c>
      <c r="K9" s="3001">
        <v>44620</v>
      </c>
      <c r="L9" s="3000">
        <v>45</v>
      </c>
      <c r="M9" s="2999">
        <v>15</v>
      </c>
      <c r="N9" s="2999">
        <v>30</v>
      </c>
      <c r="O9" s="3005">
        <f t="shared" si="0"/>
        <v>160099.20000000001</v>
      </c>
      <c r="P9" s="3039">
        <v>40</v>
      </c>
      <c r="Q9" s="3039"/>
      <c r="R9" s="3039">
        <v>45</v>
      </c>
      <c r="S9" s="3039"/>
      <c r="T9" s="3039"/>
      <c r="U9" s="3039"/>
      <c r="V9" s="3039"/>
      <c r="W9" s="3039"/>
      <c r="X9" s="3039"/>
      <c r="Y9" s="3039"/>
      <c r="Z9" s="3039"/>
      <c r="AA9" s="3039"/>
      <c r="AB9" s="3039"/>
      <c r="AC9" s="3039"/>
      <c r="AD9" s="3039">
        <v>50</v>
      </c>
      <c r="AE9" s="3039"/>
      <c r="AF9" s="3039"/>
      <c r="AG9" s="3039"/>
      <c r="AH9" s="3039"/>
      <c r="AI9" s="3039"/>
      <c r="AJ9" s="3039"/>
      <c r="AK9" s="3039"/>
      <c r="AL9" s="3039"/>
      <c r="AM9" s="3039"/>
      <c r="AN9" s="3039"/>
      <c r="AO9" s="3039"/>
      <c r="AP9" s="3039">
        <v>55</v>
      </c>
      <c r="AQ9" s="3039"/>
      <c r="AR9" s="3039"/>
      <c r="AS9" s="3039"/>
      <c r="AT9" s="3039"/>
      <c r="AU9" s="3039"/>
      <c r="AV9" s="3039"/>
      <c r="AW9" s="3039"/>
      <c r="AX9" s="3039"/>
      <c r="AY9" s="3039"/>
      <c r="AZ9" s="3039"/>
      <c r="BA9" s="3039"/>
      <c r="BB9" s="3040">
        <v>55</v>
      </c>
      <c r="BC9" s="3040"/>
      <c r="BD9" s="3040"/>
      <c r="BE9" s="3040"/>
      <c r="BF9" s="3040"/>
      <c r="BG9" s="3040"/>
      <c r="BH9" s="3040"/>
      <c r="BI9" s="3040"/>
      <c r="BJ9" s="3040"/>
      <c r="BK9" s="3040"/>
      <c r="BL9" s="3040"/>
      <c r="BM9" s="3040"/>
      <c r="BN9" s="3040">
        <v>55</v>
      </c>
      <c r="BO9" s="3040"/>
      <c r="BP9" s="3040"/>
      <c r="BQ9" s="3040"/>
      <c r="BR9" s="3040"/>
      <c r="BS9" s="3040"/>
      <c r="BT9" s="3040"/>
      <c r="BU9" s="3040"/>
      <c r="BV9" s="3040"/>
      <c r="BW9" s="3040"/>
      <c r="BX9" s="3040"/>
      <c r="BY9" s="3040"/>
      <c r="BZ9" s="3040">
        <v>55</v>
      </c>
      <c r="CB9" s="3013">
        <f>(R9*7+AD9*12+AP9*12+BB9*12+BN9*12+BZ9*1)*H9</f>
        <v>874616</v>
      </c>
    </row>
    <row r="10" spans="1:80" s="3028" customFormat="1" ht="22.5" customHeight="1">
      <c r="A10" s="3028">
        <v>8</v>
      </c>
      <c r="B10" s="3028" t="s">
        <v>3316</v>
      </c>
      <c r="C10" s="3028" t="s">
        <v>3317</v>
      </c>
      <c r="D10" s="3028" t="s">
        <v>3309</v>
      </c>
      <c r="E10" s="3028" t="s">
        <v>3318</v>
      </c>
      <c r="F10" s="3029" t="s">
        <v>3319</v>
      </c>
      <c r="H10" s="3028">
        <v>555.79999999999995</v>
      </c>
      <c r="I10" s="3028">
        <v>6</v>
      </c>
      <c r="J10" s="3030">
        <v>43101</v>
      </c>
      <c r="K10" s="3030">
        <v>45291</v>
      </c>
      <c r="L10" s="3028">
        <v>35</v>
      </c>
      <c r="M10" s="3029">
        <v>15</v>
      </c>
      <c r="N10" s="3029">
        <v>25</v>
      </c>
      <c r="O10" s="3029">
        <f t="shared" si="0"/>
        <v>233436</v>
      </c>
      <c r="P10" s="3041">
        <v>0</v>
      </c>
      <c r="Q10" s="3041"/>
      <c r="R10" s="3041"/>
      <c r="S10" s="3041"/>
      <c r="T10" s="3041">
        <v>35</v>
      </c>
      <c r="U10" s="3041"/>
      <c r="V10" s="3041"/>
      <c r="W10" s="3041"/>
      <c r="X10" s="3041"/>
      <c r="Y10" s="3041"/>
      <c r="Z10" s="3041"/>
      <c r="AA10" s="3041"/>
      <c r="AB10" s="3041">
        <v>40</v>
      </c>
      <c r="AC10" s="3041"/>
      <c r="AD10" s="3041"/>
      <c r="AE10" s="3041"/>
      <c r="AF10" s="3041"/>
      <c r="AG10" s="3041"/>
      <c r="AH10" s="3041"/>
      <c r="AI10" s="3041"/>
      <c r="AJ10" s="3041"/>
      <c r="AK10" s="3041"/>
      <c r="AL10" s="3041"/>
      <c r="AM10" s="3041"/>
      <c r="AN10" s="3041">
        <v>45</v>
      </c>
      <c r="AO10" s="3041"/>
      <c r="AP10" s="3041"/>
      <c r="AQ10" s="3041"/>
      <c r="AR10" s="3041"/>
      <c r="AS10" s="3041"/>
      <c r="AT10" s="3041"/>
      <c r="AU10" s="3041"/>
      <c r="AV10" s="3041"/>
      <c r="AW10" s="3041"/>
      <c r="AX10" s="3041"/>
      <c r="AY10" s="3041"/>
      <c r="AZ10" s="3041">
        <v>50</v>
      </c>
      <c r="BA10" s="3041"/>
      <c r="BB10" s="3041"/>
      <c r="BC10" s="3041"/>
      <c r="BD10" s="3041"/>
      <c r="BE10" s="3041"/>
      <c r="BF10" s="3041"/>
      <c r="BG10" s="3041"/>
      <c r="BH10" s="3041"/>
      <c r="BI10" s="3041"/>
      <c r="BJ10" s="3041"/>
      <c r="BK10" s="3041"/>
      <c r="BL10" s="3041">
        <v>55</v>
      </c>
      <c r="BM10" s="3041"/>
      <c r="BN10" s="3041"/>
      <c r="BO10" s="3041"/>
      <c r="BP10" s="3041"/>
      <c r="BQ10" s="3041"/>
      <c r="BR10" s="3041"/>
      <c r="BS10" s="3041"/>
      <c r="BT10" s="3041"/>
      <c r="BU10" s="3041"/>
      <c r="BV10" s="3041"/>
      <c r="BW10" s="3041"/>
      <c r="BX10" s="3043">
        <v>55</v>
      </c>
      <c r="BY10" s="3043"/>
      <c r="BZ10" s="3043"/>
      <c r="CB10" s="3013">
        <f>(T10*5+AB10*12+AN10*12+AZ10*12+BL10*12+BX10*3)*H10</f>
        <v>1456195.9999999998</v>
      </c>
    </row>
    <row r="11" spans="1:80" ht="22.5" customHeight="1">
      <c r="A11" s="3000">
        <v>9</v>
      </c>
      <c r="B11" s="3000" t="s">
        <v>3320</v>
      </c>
      <c r="C11" s="3000" t="s">
        <v>3321</v>
      </c>
      <c r="D11" s="3000" t="s">
        <v>3322</v>
      </c>
      <c r="E11" s="3000" t="s">
        <v>3323</v>
      </c>
      <c r="F11" s="2999" t="s">
        <v>3324</v>
      </c>
      <c r="H11" s="3000">
        <v>222.8</v>
      </c>
      <c r="I11" s="3000">
        <v>5</v>
      </c>
      <c r="J11" s="3001">
        <v>43101</v>
      </c>
      <c r="K11" s="3001">
        <v>44926</v>
      </c>
      <c r="L11" s="3000">
        <v>35</v>
      </c>
      <c r="M11" s="2999">
        <v>15</v>
      </c>
      <c r="N11" s="2999">
        <v>30</v>
      </c>
      <c r="O11" s="3005">
        <f t="shared" si="0"/>
        <v>93576</v>
      </c>
      <c r="P11" s="3039">
        <v>0</v>
      </c>
      <c r="Q11" s="3039">
        <v>35</v>
      </c>
      <c r="R11" s="3039"/>
      <c r="S11" s="3039"/>
      <c r="T11" s="3039"/>
      <c r="U11" s="3039"/>
      <c r="V11" s="3039"/>
      <c r="W11" s="3039"/>
      <c r="X11" s="3039"/>
      <c r="Y11" s="3039"/>
      <c r="Z11" s="3039"/>
      <c r="AA11" s="3039"/>
      <c r="AB11" s="3039">
        <v>40</v>
      </c>
      <c r="AC11" s="3039"/>
      <c r="AD11" s="3039"/>
      <c r="AE11" s="3039"/>
      <c r="AF11" s="3039"/>
      <c r="AG11" s="3039"/>
      <c r="AH11" s="3039"/>
      <c r="AI11" s="3039"/>
      <c r="AJ11" s="3039"/>
      <c r="AK11" s="3039"/>
      <c r="AL11" s="3039"/>
      <c r="AM11" s="3039"/>
      <c r="AN11" s="3039">
        <v>45</v>
      </c>
      <c r="AO11" s="3039"/>
      <c r="AP11" s="3039"/>
      <c r="AQ11" s="3039"/>
      <c r="AR11" s="3039"/>
      <c r="AS11" s="3039"/>
      <c r="AT11" s="3039"/>
      <c r="AU11" s="3039"/>
      <c r="AV11" s="3039"/>
      <c r="AW11" s="3039"/>
      <c r="AX11" s="3039"/>
      <c r="AY11" s="3039"/>
      <c r="AZ11" s="3039">
        <v>50</v>
      </c>
      <c r="BA11" s="3039"/>
      <c r="BB11" s="3039"/>
      <c r="BC11" s="3039"/>
      <c r="BD11" s="3039"/>
      <c r="BE11" s="3039"/>
      <c r="BF11" s="3039"/>
      <c r="BG11" s="3039"/>
      <c r="BH11" s="3039"/>
      <c r="BI11" s="3039"/>
      <c r="BJ11" s="3039"/>
      <c r="BK11" s="3039"/>
      <c r="BL11" s="3040">
        <v>50</v>
      </c>
      <c r="BM11" s="3040"/>
      <c r="BN11" s="3040"/>
      <c r="BO11" s="3040"/>
      <c r="BP11" s="3040"/>
      <c r="BQ11" s="3040"/>
      <c r="BR11" s="3040"/>
      <c r="BS11" s="3040"/>
      <c r="BT11" s="3040"/>
      <c r="BU11" s="3040"/>
      <c r="BV11" s="3040"/>
      <c r="BW11" s="3040"/>
      <c r="BX11" s="3040">
        <v>50</v>
      </c>
      <c r="BY11" s="3040"/>
      <c r="BZ11" s="3040"/>
      <c r="CB11" s="3013">
        <f>(Q11*5+AB11*12+AN11*12+AZ11*12+BL11*12+BX11*3)*H11</f>
        <v>567026</v>
      </c>
    </row>
    <row r="12" spans="1:80" ht="22.5" customHeight="1">
      <c r="A12" s="3000">
        <v>10</v>
      </c>
      <c r="B12" s="3000" t="s">
        <v>3325</v>
      </c>
      <c r="C12" s="3000" t="s">
        <v>3326</v>
      </c>
      <c r="D12" s="3000" t="s">
        <v>3322</v>
      </c>
      <c r="E12" s="3000" t="s">
        <v>3327</v>
      </c>
      <c r="F12" s="2999" t="s">
        <v>3328</v>
      </c>
      <c r="H12" s="3000">
        <v>222.8</v>
      </c>
      <c r="I12" s="3000">
        <v>5</v>
      </c>
      <c r="J12" s="3001">
        <v>43101</v>
      </c>
      <c r="K12" s="3001">
        <v>44926</v>
      </c>
      <c r="L12" s="3000">
        <v>35</v>
      </c>
      <c r="M12" s="2999">
        <v>15</v>
      </c>
      <c r="N12" s="2999">
        <v>30</v>
      </c>
      <c r="O12" s="3005">
        <f t="shared" si="0"/>
        <v>93576</v>
      </c>
      <c r="P12" s="3039">
        <v>0</v>
      </c>
      <c r="Q12" s="3039"/>
      <c r="R12" s="3039"/>
      <c r="S12" s="3039"/>
      <c r="T12" s="3039">
        <v>35</v>
      </c>
      <c r="U12" s="3039"/>
      <c r="V12" s="3039"/>
      <c r="W12" s="3039"/>
      <c r="X12" s="3039"/>
      <c r="Y12" s="3039"/>
      <c r="Z12" s="3039"/>
      <c r="AA12" s="3039"/>
      <c r="AB12" s="3039">
        <v>40</v>
      </c>
      <c r="AC12" s="3039"/>
      <c r="AD12" s="3039"/>
      <c r="AE12" s="3039"/>
      <c r="AF12" s="3039"/>
      <c r="AG12" s="3039"/>
      <c r="AH12" s="3039"/>
      <c r="AI12" s="3039"/>
      <c r="AJ12" s="3039"/>
      <c r="AK12" s="3039"/>
      <c r="AL12" s="3039"/>
      <c r="AM12" s="3039"/>
      <c r="AN12" s="3039">
        <v>45</v>
      </c>
      <c r="AO12" s="3039"/>
      <c r="AP12" s="3039"/>
      <c r="AQ12" s="3039"/>
      <c r="AR12" s="3039"/>
      <c r="AS12" s="3039"/>
      <c r="AT12" s="3039"/>
      <c r="AU12" s="3039"/>
      <c r="AV12" s="3039"/>
      <c r="AW12" s="3039"/>
      <c r="AX12" s="3039"/>
      <c r="AY12" s="3039"/>
      <c r="AZ12" s="3039">
        <v>50</v>
      </c>
      <c r="BA12" s="3039"/>
      <c r="BB12" s="3039"/>
      <c r="BC12" s="3039"/>
      <c r="BD12" s="3039"/>
      <c r="BE12" s="3039"/>
      <c r="BF12" s="3039"/>
      <c r="BG12" s="3039"/>
      <c r="BH12" s="3039"/>
      <c r="BI12" s="3039"/>
      <c r="BJ12" s="3039"/>
      <c r="BK12" s="3039"/>
      <c r="BL12" s="3040">
        <v>50</v>
      </c>
      <c r="BM12" s="3040"/>
      <c r="BN12" s="3040"/>
      <c r="BO12" s="3040"/>
      <c r="BP12" s="3040"/>
      <c r="BQ12" s="3040"/>
      <c r="BR12" s="3040"/>
      <c r="BS12" s="3040"/>
      <c r="BT12" s="3040"/>
      <c r="BU12" s="3040"/>
      <c r="BV12" s="3040"/>
      <c r="BW12" s="3040"/>
      <c r="BX12" s="3040">
        <v>50</v>
      </c>
      <c r="BY12" s="3040"/>
      <c r="BZ12" s="3040"/>
      <c r="CB12" s="3013">
        <f>(T12*5+AB12*12+AN12*12+AZ12*12+BL12*12+BX12*3)*H12</f>
        <v>567026</v>
      </c>
    </row>
    <row r="13" spans="1:80" s="3025" customFormat="1" ht="22.5" customHeight="1">
      <c r="A13" s="3025">
        <v>11</v>
      </c>
      <c r="B13" s="3025" t="s">
        <v>3329</v>
      </c>
      <c r="C13" s="3025" t="s">
        <v>3330</v>
      </c>
      <c r="D13" s="3025" t="s">
        <v>3322</v>
      </c>
      <c r="E13" s="3025" t="s">
        <v>3331</v>
      </c>
      <c r="F13" s="3026" t="s">
        <v>3332</v>
      </c>
      <c r="H13" s="3025">
        <v>467.6</v>
      </c>
      <c r="I13" s="3025">
        <v>6</v>
      </c>
      <c r="J13" s="3027">
        <v>43191</v>
      </c>
      <c r="K13" s="3027">
        <v>45382</v>
      </c>
      <c r="L13" s="3025">
        <v>45</v>
      </c>
      <c r="M13" s="3026">
        <v>15</v>
      </c>
      <c r="N13" s="3026">
        <v>20</v>
      </c>
      <c r="O13" s="3026">
        <f t="shared" si="0"/>
        <v>252504</v>
      </c>
      <c r="P13" s="3042">
        <v>0</v>
      </c>
      <c r="Q13" s="3042"/>
      <c r="R13" s="3042"/>
      <c r="S13" s="3042"/>
      <c r="T13" s="3042">
        <v>45</v>
      </c>
      <c r="U13" s="3042"/>
      <c r="V13" s="3042"/>
      <c r="W13" s="3042"/>
      <c r="X13" s="3042"/>
      <c r="Y13" s="3042"/>
      <c r="Z13" s="3042"/>
      <c r="AA13" s="3042"/>
      <c r="AB13" s="3042"/>
      <c r="AC13" s="3042"/>
      <c r="AD13" s="3042"/>
      <c r="AE13" s="3042">
        <v>50</v>
      </c>
      <c r="AF13" s="3042"/>
      <c r="AG13" s="3042"/>
      <c r="AH13" s="3042"/>
      <c r="AI13" s="3042"/>
      <c r="AJ13" s="3042"/>
      <c r="AK13" s="3042"/>
      <c r="AL13" s="3042"/>
      <c r="AM13" s="3042"/>
      <c r="AN13" s="3042"/>
      <c r="AO13" s="3042"/>
      <c r="AP13" s="3042"/>
      <c r="AQ13" s="3042">
        <v>55</v>
      </c>
      <c r="AR13" s="3042"/>
      <c r="AS13" s="3042"/>
      <c r="AT13" s="3042"/>
      <c r="AU13" s="3042"/>
      <c r="AV13" s="3042"/>
      <c r="AW13" s="3042"/>
      <c r="AX13" s="3042"/>
      <c r="AY13" s="3042"/>
      <c r="AZ13" s="3042"/>
      <c r="BA13" s="3042"/>
      <c r="BB13" s="3042"/>
      <c r="BC13" s="3042">
        <v>60</v>
      </c>
      <c r="BD13" s="3042"/>
      <c r="BE13" s="3042"/>
      <c r="BF13" s="3042"/>
      <c r="BG13" s="3042"/>
      <c r="BH13" s="3042"/>
      <c r="BI13" s="3042"/>
      <c r="BJ13" s="3042"/>
      <c r="BK13" s="3042"/>
      <c r="BL13" s="3042"/>
      <c r="BM13" s="3042"/>
      <c r="BN13" s="3042"/>
      <c r="BO13" s="3042">
        <v>65</v>
      </c>
      <c r="BP13" s="3042"/>
      <c r="BQ13" s="3042"/>
      <c r="BR13" s="3042"/>
      <c r="BS13" s="3042"/>
      <c r="BT13" s="3042"/>
      <c r="BU13" s="3042"/>
      <c r="BV13" s="3042"/>
      <c r="BW13" s="3042"/>
      <c r="BX13" s="3042"/>
      <c r="BY13" s="3042"/>
      <c r="BZ13" s="3042"/>
      <c r="CB13" s="3013">
        <f>(T13*12+AE13*12+AQ13*12+BC13*12+BO13*12)*H13</f>
        <v>1543080</v>
      </c>
    </row>
    <row r="14" spans="1:80" ht="22.5" customHeight="1">
      <c r="A14" s="3000">
        <v>12</v>
      </c>
      <c r="B14" s="3000" t="s">
        <v>3333</v>
      </c>
      <c r="C14" s="3000" t="s">
        <v>3334</v>
      </c>
      <c r="D14" s="3000" t="s">
        <v>3322</v>
      </c>
      <c r="E14" s="3000" t="s">
        <v>3335</v>
      </c>
      <c r="F14" s="2999" t="s">
        <v>3336</v>
      </c>
      <c r="H14" s="3000">
        <v>270.60000000000002</v>
      </c>
      <c r="I14" s="3000">
        <v>6</v>
      </c>
      <c r="J14" s="3001">
        <v>43101</v>
      </c>
      <c r="K14" s="3001">
        <v>45291</v>
      </c>
      <c r="L14" s="3000">
        <v>40</v>
      </c>
      <c r="M14" s="2999">
        <v>15</v>
      </c>
      <c r="N14" s="2999">
        <v>20</v>
      </c>
      <c r="O14" s="3005">
        <f t="shared" si="0"/>
        <v>129888</v>
      </c>
      <c r="P14" s="3039">
        <v>0</v>
      </c>
      <c r="Q14" s="3039"/>
      <c r="R14" s="3039"/>
      <c r="S14" s="3039"/>
      <c r="T14" s="3039">
        <v>40</v>
      </c>
      <c r="U14" s="3039"/>
      <c r="V14" s="3039"/>
      <c r="W14" s="3039"/>
      <c r="X14" s="3039"/>
      <c r="Y14" s="3039"/>
      <c r="Z14" s="3039"/>
      <c r="AA14" s="3039"/>
      <c r="AB14" s="3039">
        <v>45</v>
      </c>
      <c r="AC14" s="3039"/>
      <c r="AD14" s="3039"/>
      <c r="AE14" s="3039"/>
      <c r="AF14" s="3039"/>
      <c r="AG14" s="3039"/>
      <c r="AH14" s="3039"/>
      <c r="AI14" s="3039"/>
      <c r="AJ14" s="3039"/>
      <c r="AK14" s="3039"/>
      <c r="AL14" s="3039"/>
      <c r="AM14" s="3039"/>
      <c r="AN14" s="3039">
        <v>50</v>
      </c>
      <c r="AO14" s="3039"/>
      <c r="AP14" s="3039"/>
      <c r="AQ14" s="3039"/>
      <c r="AR14" s="3039"/>
      <c r="AS14" s="3039"/>
      <c r="AT14" s="3039"/>
      <c r="AU14" s="3039"/>
      <c r="AV14" s="3039"/>
      <c r="AW14" s="3039"/>
      <c r="AX14" s="3039"/>
      <c r="AY14" s="3039"/>
      <c r="AZ14" s="3039">
        <v>55</v>
      </c>
      <c r="BA14" s="3039"/>
      <c r="BB14" s="3039"/>
      <c r="BC14" s="3039"/>
      <c r="BD14" s="3039"/>
      <c r="BE14" s="3039"/>
      <c r="BF14" s="3039"/>
      <c r="BG14" s="3039"/>
      <c r="BH14" s="3039"/>
      <c r="BI14" s="3039"/>
      <c r="BJ14" s="3039"/>
      <c r="BK14" s="3039"/>
      <c r="BL14" s="3039">
        <v>60</v>
      </c>
      <c r="BM14" s="3039"/>
      <c r="BN14" s="3039"/>
      <c r="BO14" s="3039"/>
      <c r="BP14" s="3039"/>
      <c r="BQ14" s="3039"/>
      <c r="BR14" s="3039"/>
      <c r="BS14" s="3039"/>
      <c r="BT14" s="3039"/>
      <c r="BU14" s="3039"/>
      <c r="BV14" s="3039"/>
      <c r="BW14" s="3039"/>
      <c r="BX14" s="3040">
        <v>60</v>
      </c>
      <c r="BY14" s="3040"/>
      <c r="BZ14" s="3040"/>
      <c r="CB14" s="3013">
        <f>(T14*5+AB14*12+AN14*12+AZ14*12+BL14*12+BX14*3)*H14</f>
        <v>784740.00000000012</v>
      </c>
    </row>
    <row r="15" spans="1:80" ht="22.5" customHeight="1">
      <c r="A15" s="3000">
        <v>13</v>
      </c>
      <c r="B15" s="3000" t="s">
        <v>3337</v>
      </c>
      <c r="C15" s="3000" t="s">
        <v>3338</v>
      </c>
      <c r="D15" s="3000" t="s">
        <v>3309</v>
      </c>
      <c r="E15" s="3000" t="s">
        <v>3339</v>
      </c>
      <c r="F15" s="2999" t="s">
        <v>3340</v>
      </c>
      <c r="H15" s="3000">
        <v>203</v>
      </c>
      <c r="I15" s="3000">
        <v>5</v>
      </c>
      <c r="J15" s="3001">
        <v>43235</v>
      </c>
      <c r="K15" s="3001">
        <v>45060</v>
      </c>
      <c r="L15" s="3000">
        <v>40</v>
      </c>
      <c r="M15" s="2999">
        <v>15</v>
      </c>
      <c r="N15" s="2999">
        <v>25</v>
      </c>
      <c r="O15" s="3005">
        <f t="shared" si="0"/>
        <v>97440</v>
      </c>
      <c r="P15" s="3039">
        <v>35</v>
      </c>
      <c r="Q15" s="3039"/>
      <c r="R15" s="3039"/>
      <c r="S15" s="3039"/>
      <c r="T15" s="3039">
        <v>40</v>
      </c>
      <c r="U15" s="3039"/>
      <c r="V15" s="3039"/>
      <c r="W15" s="3039"/>
      <c r="X15" s="3039"/>
      <c r="Y15" s="3039"/>
      <c r="Z15" s="3039"/>
      <c r="AA15" s="3039"/>
      <c r="AB15" s="3039"/>
      <c r="AC15" s="3039"/>
      <c r="AD15" s="3039"/>
      <c r="AE15" s="3039"/>
      <c r="AF15" s="3039">
        <v>45</v>
      </c>
      <c r="AG15" s="3039"/>
      <c r="AH15" s="3039"/>
      <c r="AI15" s="3039"/>
      <c r="AJ15" s="3039"/>
      <c r="AK15" s="3039"/>
      <c r="AL15" s="3039"/>
      <c r="AM15" s="3039"/>
      <c r="AN15" s="3039"/>
      <c r="AO15" s="3039"/>
      <c r="AP15" s="3039"/>
      <c r="AQ15" s="3039"/>
      <c r="AR15" s="3039">
        <v>50</v>
      </c>
      <c r="AS15" s="3039"/>
      <c r="AT15" s="3039"/>
      <c r="AU15" s="3039"/>
      <c r="AV15" s="3039"/>
      <c r="AW15" s="3039"/>
      <c r="AX15" s="3039"/>
      <c r="AY15" s="3039"/>
      <c r="AZ15" s="3039"/>
      <c r="BA15" s="3039"/>
      <c r="BB15" s="3039"/>
      <c r="BC15" s="3039"/>
      <c r="BD15" s="3039">
        <v>55</v>
      </c>
      <c r="BE15" s="3039"/>
      <c r="BF15" s="3039"/>
      <c r="BG15" s="3039"/>
      <c r="BH15" s="3039"/>
      <c r="BI15" s="3039"/>
      <c r="BJ15" s="3039"/>
      <c r="BK15" s="3039"/>
      <c r="BL15" s="3039"/>
      <c r="BM15" s="3039"/>
      <c r="BN15" s="3039"/>
      <c r="BO15" s="3039"/>
      <c r="BP15" s="3040">
        <v>55</v>
      </c>
      <c r="BQ15" s="3040"/>
      <c r="BR15" s="3040"/>
      <c r="BS15" s="3040"/>
      <c r="BT15" s="3040"/>
      <c r="BU15" s="3040"/>
      <c r="BV15" s="3040"/>
      <c r="BW15" s="3040"/>
      <c r="BX15" s="3040"/>
      <c r="BY15" s="3040"/>
      <c r="BZ15" s="3040"/>
      <c r="CB15" s="3013">
        <f>(T15*9+AF15*12+AR15*12+BD15*12+BP15*11)*H15</f>
        <v>561295</v>
      </c>
    </row>
    <row r="16" spans="1:80" ht="22.5" customHeight="1">
      <c r="A16" s="3000">
        <v>14</v>
      </c>
      <c r="B16" s="3000" t="s">
        <v>3341</v>
      </c>
      <c r="C16" s="3000" t="s">
        <v>3342</v>
      </c>
      <c r="D16" s="3000" t="s">
        <v>3343</v>
      </c>
      <c r="E16" s="3000" t="s">
        <v>3344</v>
      </c>
      <c r="F16" s="2999" t="s">
        <v>3345</v>
      </c>
      <c r="H16" s="3000">
        <v>33.6</v>
      </c>
      <c r="I16" s="3000">
        <v>3</v>
      </c>
      <c r="J16" s="3001">
        <v>43261</v>
      </c>
      <c r="K16" s="3001">
        <v>44356</v>
      </c>
      <c r="L16" s="3000">
        <v>40</v>
      </c>
      <c r="M16" s="2999">
        <v>15</v>
      </c>
      <c r="N16" s="2999">
        <v>20</v>
      </c>
      <c r="O16" s="3005">
        <f t="shared" si="0"/>
        <v>16128</v>
      </c>
      <c r="P16" s="3039">
        <v>35</v>
      </c>
      <c r="Q16" s="3039"/>
      <c r="R16" s="3039"/>
      <c r="S16" s="3039"/>
      <c r="T16" s="3039"/>
      <c r="U16" s="3039">
        <v>40</v>
      </c>
      <c r="V16" s="3039"/>
      <c r="W16" s="3039"/>
      <c r="X16" s="3039"/>
      <c r="Y16" s="3039"/>
      <c r="Z16" s="3039"/>
      <c r="AA16" s="3039"/>
      <c r="AB16" s="3039"/>
      <c r="AC16" s="3039"/>
      <c r="AD16" s="3039"/>
      <c r="AE16" s="3039"/>
      <c r="AF16" s="3039"/>
      <c r="AG16" s="3039">
        <v>45</v>
      </c>
      <c r="AH16" s="3039"/>
      <c r="AI16" s="3039"/>
      <c r="AJ16" s="3039"/>
      <c r="AK16" s="3039"/>
      <c r="AL16" s="3039"/>
      <c r="AM16" s="3039"/>
      <c r="AN16" s="3039"/>
      <c r="AO16" s="3039"/>
      <c r="AP16" s="3039"/>
      <c r="AQ16" s="3039"/>
      <c r="AR16" s="3039"/>
      <c r="AS16" s="3040">
        <v>45</v>
      </c>
      <c r="AT16" s="3040"/>
      <c r="AU16" s="3040"/>
      <c r="AV16" s="3040"/>
      <c r="AW16" s="3040"/>
      <c r="AX16" s="3040"/>
      <c r="AY16" s="3040"/>
      <c r="AZ16" s="3040"/>
      <c r="BA16" s="3040"/>
      <c r="BB16" s="3040"/>
      <c r="BC16" s="3040"/>
      <c r="BD16" s="3040"/>
      <c r="BE16" s="3040">
        <v>45</v>
      </c>
      <c r="BF16" s="3040"/>
      <c r="BG16" s="3040"/>
      <c r="BH16" s="3040"/>
      <c r="BI16" s="3040"/>
      <c r="BJ16" s="3040"/>
      <c r="BK16" s="3040"/>
      <c r="BL16" s="3040"/>
      <c r="BM16" s="3040"/>
      <c r="BN16" s="3040"/>
      <c r="BO16" s="3040"/>
      <c r="BP16" s="3040"/>
      <c r="BQ16" s="3040">
        <v>45</v>
      </c>
      <c r="BR16" s="3040"/>
      <c r="BS16" s="3040"/>
      <c r="BT16" s="3040"/>
      <c r="BU16" s="3040"/>
      <c r="BV16" s="3040"/>
      <c r="BW16" s="3040"/>
      <c r="BX16" s="3040"/>
      <c r="BY16" s="3040"/>
      <c r="BZ16" s="3040"/>
      <c r="CB16" s="3013">
        <f>(U16*10+AG16*12+AS16*12+BE16*12+BQ16*10)*H16</f>
        <v>82992</v>
      </c>
    </row>
    <row r="17" spans="1:82" ht="22.5" customHeight="1">
      <c r="A17" s="3000">
        <v>15</v>
      </c>
      <c r="B17" s="3000" t="s">
        <v>3346</v>
      </c>
      <c r="C17" s="3000" t="s">
        <v>3347</v>
      </c>
      <c r="D17" s="3000" t="s">
        <v>3343</v>
      </c>
      <c r="E17" s="3000" t="s">
        <v>3348</v>
      </c>
      <c r="F17" s="2999" t="s">
        <v>3349</v>
      </c>
      <c r="H17" s="3000">
        <v>248.9</v>
      </c>
      <c r="I17" s="3002">
        <v>5</v>
      </c>
      <c r="J17" s="3003">
        <v>43101</v>
      </c>
      <c r="K17" s="3003">
        <v>44926</v>
      </c>
      <c r="L17" s="3000">
        <v>40</v>
      </c>
      <c r="M17" s="2999">
        <v>15</v>
      </c>
      <c r="N17" s="2999">
        <v>20</v>
      </c>
      <c r="O17" s="3005">
        <f t="shared" si="0"/>
        <v>119472</v>
      </c>
      <c r="P17" s="3039">
        <v>0</v>
      </c>
      <c r="Q17" s="3039"/>
      <c r="R17" s="3039"/>
      <c r="S17" s="3039"/>
      <c r="T17" s="3039"/>
      <c r="U17" s="3039"/>
      <c r="V17" s="3039"/>
      <c r="W17" s="3039"/>
      <c r="X17" s="3039">
        <v>40</v>
      </c>
      <c r="Y17" s="3039"/>
      <c r="Z17" s="3039"/>
      <c r="AA17" s="3039"/>
      <c r="AB17" s="3039"/>
      <c r="AC17" s="3039"/>
      <c r="AD17" s="3039"/>
      <c r="AE17" s="3039"/>
      <c r="AF17" s="3039"/>
      <c r="AG17" s="3039"/>
      <c r="AH17" s="3039"/>
      <c r="AI17" s="3039"/>
      <c r="AJ17" s="3039">
        <v>45</v>
      </c>
      <c r="AK17" s="3039"/>
      <c r="AL17" s="3039"/>
      <c r="AM17" s="3039"/>
      <c r="AN17" s="3039"/>
      <c r="AO17" s="3039"/>
      <c r="AP17" s="3039"/>
      <c r="AQ17" s="3039"/>
      <c r="AR17" s="3039"/>
      <c r="AS17" s="3039"/>
      <c r="AT17" s="3039"/>
      <c r="AU17" s="3039"/>
      <c r="AV17" s="3039">
        <v>50</v>
      </c>
      <c r="AW17" s="3039"/>
      <c r="AX17" s="3039"/>
      <c r="AY17" s="3039"/>
      <c r="AZ17" s="3039"/>
      <c r="BA17" s="3039"/>
      <c r="BB17" s="3039"/>
      <c r="BC17" s="3039"/>
      <c r="BD17" s="3039"/>
      <c r="BE17" s="3039"/>
      <c r="BF17" s="3039"/>
      <c r="BG17" s="3039"/>
      <c r="BH17" s="3039">
        <v>55</v>
      </c>
      <c r="BI17" s="3039"/>
      <c r="BJ17" s="3039"/>
      <c r="BK17" s="3039"/>
      <c r="BL17" s="3039"/>
      <c r="BM17" s="3039"/>
      <c r="BN17" s="3039"/>
      <c r="BO17" s="3039"/>
      <c r="BP17" s="3039"/>
      <c r="BQ17" s="3039"/>
      <c r="BR17" s="3039"/>
      <c r="BS17" s="3039"/>
      <c r="BT17" s="3040">
        <v>55</v>
      </c>
      <c r="BU17" s="3040"/>
      <c r="BV17" s="3040"/>
      <c r="BW17" s="3040"/>
      <c r="BX17" s="3040"/>
      <c r="BY17" s="3040"/>
      <c r="BZ17" s="3040"/>
      <c r="CB17" s="3013">
        <f>(X17*12+AJ17*12+AV17*12+BH17*12+BT17*7)*H17</f>
        <v>663318.5</v>
      </c>
    </row>
    <row r="18" spans="1:82" ht="22.5" customHeight="1">
      <c r="H18" s="3000">
        <f>SUM(H3:H17)</f>
        <v>3901.78</v>
      </c>
      <c r="P18" s="3039"/>
      <c r="Q18" s="3039"/>
      <c r="R18" s="3039"/>
      <c r="S18" s="3039"/>
      <c r="T18" s="3039"/>
      <c r="U18" s="3039"/>
      <c r="V18" s="3039"/>
      <c r="W18" s="3039"/>
      <c r="X18" s="3039"/>
      <c r="Y18" s="3039"/>
      <c r="Z18" s="3039"/>
      <c r="AA18" s="3039"/>
      <c r="AB18" s="3039"/>
      <c r="AC18" s="3039"/>
      <c r="AD18" s="3039"/>
      <c r="AE18" s="3039"/>
      <c r="AF18" s="3039"/>
      <c r="AG18" s="3039"/>
      <c r="AH18" s="3039"/>
      <c r="AI18" s="3039"/>
      <c r="AJ18" s="3039"/>
      <c r="AK18" s="3039"/>
      <c r="AL18" s="3039"/>
      <c r="AM18" s="3039"/>
      <c r="AN18" s="3039"/>
      <c r="AO18" s="3039"/>
      <c r="AP18" s="3039"/>
      <c r="AQ18" s="3039"/>
      <c r="AR18" s="3039"/>
      <c r="AS18" s="3039"/>
      <c r="AT18" s="3039"/>
      <c r="AU18" s="3039"/>
      <c r="AV18" s="3039"/>
      <c r="AW18" s="3039"/>
      <c r="AX18" s="3039"/>
      <c r="AY18" s="3039"/>
      <c r="AZ18" s="3039"/>
      <c r="BA18" s="3039"/>
      <c r="BB18" s="3039"/>
      <c r="BC18" s="3039"/>
      <c r="BD18" s="3039"/>
      <c r="BE18" s="3039"/>
      <c r="BF18" s="3039"/>
      <c r="BG18" s="3039"/>
      <c r="BH18" s="3039"/>
      <c r="BI18" s="3039"/>
      <c r="BJ18" s="3039"/>
      <c r="BK18" s="3039"/>
      <c r="BL18" s="3039"/>
      <c r="BM18" s="3039"/>
      <c r="BN18" s="3039"/>
      <c r="BO18" s="3039"/>
      <c r="BP18" s="3039"/>
      <c r="BQ18" s="3039"/>
      <c r="BR18" s="3039"/>
      <c r="BS18" s="3039"/>
      <c r="BT18" s="3039"/>
      <c r="BU18" s="3039"/>
      <c r="BV18" s="3039"/>
      <c r="BW18" s="3039"/>
      <c r="BX18" s="3039"/>
      <c r="BY18" s="3039"/>
      <c r="BZ18" s="3039"/>
      <c r="CB18" s="3000">
        <f>SUM(CB3:CB17)</f>
        <v>10826505.58</v>
      </c>
      <c r="CC18" s="3000">
        <f>CB18/项目基本情况!I15/10000</f>
        <v>231.33558931623935</v>
      </c>
      <c r="CD18" s="3000">
        <f ca="1">CC18*10000/'收益法（天街）'!F7/365</f>
        <v>1.2270125124153679</v>
      </c>
    </row>
    <row r="19" spans="1:82" ht="22.5" customHeight="1">
      <c r="L19" s="3000">
        <f>O19/'数据-汇总表'!F20/365</f>
        <v>0.98778094157688157</v>
      </c>
      <c r="O19" s="2999">
        <f>SUM(O3:O18)</f>
        <v>1862319.1199999999</v>
      </c>
      <c r="P19" s="3039"/>
      <c r="Q19" s="3039"/>
      <c r="R19" s="3039"/>
      <c r="S19" s="3039"/>
      <c r="T19" s="3039"/>
      <c r="U19" s="3039"/>
      <c r="V19" s="3039"/>
      <c r="W19" s="3039"/>
      <c r="X19" s="3039"/>
      <c r="Y19" s="3039"/>
      <c r="Z19" s="3039"/>
      <c r="AA19" s="3039"/>
      <c r="AB19" s="3039"/>
      <c r="AC19" s="3039"/>
      <c r="AD19" s="3039"/>
      <c r="AE19" s="3039"/>
      <c r="AF19" s="3039"/>
      <c r="AG19" s="3039"/>
      <c r="AH19" s="3039"/>
      <c r="AI19" s="3039"/>
      <c r="AJ19" s="3039"/>
      <c r="AK19" s="3039"/>
      <c r="AL19" s="3039"/>
      <c r="AM19" s="3039"/>
      <c r="AN19" s="3039"/>
      <c r="AO19" s="3039"/>
      <c r="AP19" s="3039"/>
      <c r="AQ19" s="3039"/>
      <c r="AR19" s="3039"/>
      <c r="AS19" s="3039"/>
      <c r="AT19" s="3039"/>
      <c r="AU19" s="3039"/>
      <c r="AV19" s="3039"/>
      <c r="AW19" s="3039"/>
      <c r="AX19" s="3039"/>
      <c r="AY19" s="3039"/>
      <c r="AZ19" s="3039"/>
      <c r="BA19" s="3039"/>
      <c r="BB19" s="3039"/>
      <c r="BC19" s="3039"/>
      <c r="BD19" s="3039"/>
      <c r="BE19" s="3039"/>
      <c r="BF19" s="3039"/>
      <c r="BG19" s="3039"/>
      <c r="BH19" s="3039"/>
      <c r="BI19" s="3039"/>
      <c r="BJ19" s="3039"/>
      <c r="BK19" s="3039"/>
      <c r="BL19" s="3039"/>
      <c r="BM19" s="3039"/>
      <c r="BN19" s="3039"/>
      <c r="BO19" s="3039"/>
      <c r="BP19" s="3039"/>
      <c r="BQ19" s="3039"/>
      <c r="BR19" s="3039"/>
      <c r="BS19" s="3039"/>
      <c r="BT19" s="3039"/>
      <c r="BU19" s="3039"/>
      <c r="BV19" s="3039"/>
      <c r="BW19" s="3039"/>
      <c r="BX19" s="3039"/>
      <c r="BY19" s="3039"/>
      <c r="BZ19" s="3039"/>
      <c r="CB19" s="3044" t="s">
        <v>3422</v>
      </c>
      <c r="CC19" s="3044" t="s">
        <v>3421</v>
      </c>
    </row>
    <row r="20" spans="1:82" ht="22.5" customHeight="1">
      <c r="P20" s="3039"/>
      <c r="Q20" s="3039"/>
      <c r="R20" s="3039"/>
      <c r="S20" s="3039"/>
      <c r="T20" s="3039"/>
      <c r="U20" s="3039"/>
      <c r="V20" s="3039"/>
      <c r="W20" s="3039"/>
      <c r="X20" s="3039"/>
      <c r="Y20" s="3039"/>
      <c r="Z20" s="3039"/>
      <c r="AA20" s="3039"/>
      <c r="AB20" s="3039"/>
      <c r="AC20" s="3039"/>
      <c r="AD20" s="3039"/>
      <c r="AE20" s="3039"/>
      <c r="AF20" s="3039"/>
      <c r="AG20" s="3039"/>
      <c r="AH20" s="3039"/>
      <c r="AI20" s="3039"/>
      <c r="AJ20" s="3039"/>
      <c r="AK20" s="3039"/>
      <c r="AL20" s="3039"/>
      <c r="AM20" s="3039"/>
      <c r="AN20" s="3039"/>
      <c r="AO20" s="3039"/>
      <c r="AP20" s="3039"/>
      <c r="AQ20" s="3039"/>
      <c r="AR20" s="3039"/>
      <c r="AS20" s="3039"/>
      <c r="AT20" s="3039"/>
      <c r="AU20" s="3039"/>
      <c r="AV20" s="3039"/>
      <c r="AW20" s="3039"/>
      <c r="AX20" s="3039"/>
      <c r="AY20" s="3039"/>
      <c r="AZ20" s="3039"/>
      <c r="BA20" s="3039"/>
      <c r="BB20" s="3039"/>
      <c r="BC20" s="3039"/>
      <c r="BD20" s="3039"/>
      <c r="BE20" s="3039"/>
      <c r="BF20" s="3039"/>
      <c r="BG20" s="3039"/>
      <c r="BH20" s="3039"/>
      <c r="BI20" s="3039"/>
      <c r="BJ20" s="3039"/>
      <c r="BK20" s="3039"/>
      <c r="BL20" s="3039"/>
      <c r="BM20" s="3039"/>
      <c r="BN20" s="3039"/>
      <c r="BO20" s="3039"/>
      <c r="BP20" s="3039"/>
      <c r="BQ20" s="3039"/>
      <c r="BR20" s="3039"/>
      <c r="BS20" s="3039"/>
      <c r="BT20" s="3039"/>
      <c r="BU20" s="3039"/>
      <c r="BV20" s="3039"/>
      <c r="BW20" s="3039"/>
      <c r="BX20" s="3039"/>
      <c r="BY20" s="3039"/>
      <c r="BZ20" s="3039"/>
      <c r="CB20" s="3000">
        <f>(H3*BX3+H4*BX4+H5*BX5+H6*BX6+H7*BZ7+H8*BO8+H9*BZ9+H10*BX10+H11*BX11+H12*BX12+H13*BO13+H14*BX14+H15*BP15+H16*BQ16+H17*BT17)/H18/30</f>
        <v>1.8185561461691842</v>
      </c>
    </row>
    <row r="21" spans="1:82" ht="22.5" customHeight="1">
      <c r="M21" s="3000">
        <v>1.1000000000000001</v>
      </c>
      <c r="N21" s="3004">
        <v>1.1000000000000001</v>
      </c>
      <c r="O21" s="3004">
        <v>1.1000000000000001</v>
      </c>
      <c r="P21" s="3039"/>
      <c r="Q21" s="3039"/>
      <c r="R21" s="3039"/>
      <c r="S21" s="3039"/>
      <c r="T21" s="3039"/>
      <c r="U21" s="3039"/>
      <c r="V21" s="3039"/>
      <c r="W21" s="3039"/>
      <c r="X21" s="3039"/>
      <c r="Y21" s="3039"/>
      <c r="Z21" s="3039"/>
      <c r="AA21" s="3039"/>
      <c r="AB21" s="3039"/>
      <c r="AC21" s="3039"/>
      <c r="AD21" s="3039"/>
      <c r="AE21" s="3039"/>
      <c r="AF21" s="3039"/>
      <c r="AG21" s="3039"/>
      <c r="AH21" s="3039"/>
      <c r="AI21" s="3039"/>
      <c r="AJ21" s="3039"/>
      <c r="AK21" s="3039"/>
      <c r="AL21" s="3039"/>
      <c r="AM21" s="3039"/>
      <c r="AN21" s="3039"/>
      <c r="AO21" s="3039"/>
      <c r="AP21" s="3039"/>
      <c r="AQ21" s="3039"/>
      <c r="AR21" s="3039"/>
      <c r="AS21" s="3039"/>
      <c r="AT21" s="3039"/>
      <c r="AU21" s="3039"/>
      <c r="AV21" s="3039"/>
      <c r="AW21" s="3039"/>
      <c r="AX21" s="3039"/>
      <c r="AY21" s="3039"/>
      <c r="AZ21" s="3039"/>
      <c r="BA21" s="3039"/>
      <c r="BB21" s="3039"/>
      <c r="BC21" s="3039"/>
      <c r="BD21" s="3039"/>
      <c r="BE21" s="3039"/>
      <c r="BF21" s="3039"/>
      <c r="BG21" s="3039"/>
      <c r="BH21" s="3039"/>
      <c r="BI21" s="3039"/>
      <c r="BJ21" s="3039"/>
      <c r="BK21" s="3039"/>
      <c r="BL21" s="3039"/>
      <c r="BM21" s="3039"/>
      <c r="BN21" s="3039"/>
      <c r="BO21" s="3039"/>
      <c r="BP21" s="3039"/>
      <c r="BQ21" s="3039"/>
      <c r="BR21" s="3039"/>
      <c r="BS21" s="3039"/>
      <c r="BT21" s="3039"/>
      <c r="BU21" s="3039"/>
      <c r="BV21" s="3039"/>
      <c r="BW21" s="3039"/>
      <c r="BX21" s="3039"/>
      <c r="BY21" s="3039"/>
      <c r="BZ21" s="3039"/>
      <c r="CB21" s="3044" t="s">
        <v>3423</v>
      </c>
    </row>
    <row r="22" spans="1:82" ht="22.5" customHeight="1">
      <c r="L22" s="3000">
        <v>1</v>
      </c>
      <c r="M22" s="3000">
        <f>L22*M21</f>
        <v>1.1000000000000001</v>
      </c>
      <c r="N22" s="3004">
        <f t="shared" ref="N22:Q22" si="1">M22*N21</f>
        <v>1.2100000000000002</v>
      </c>
      <c r="O22" s="3004">
        <f t="shared" si="1"/>
        <v>1.3310000000000004</v>
      </c>
      <c r="P22" s="3039">
        <f t="shared" si="1"/>
        <v>0</v>
      </c>
      <c r="Q22" s="3039">
        <f t="shared" si="1"/>
        <v>0</v>
      </c>
      <c r="R22" s="3039"/>
      <c r="S22" s="3039"/>
      <c r="T22" s="3039"/>
      <c r="U22" s="3039"/>
      <c r="V22" s="3039"/>
      <c r="W22" s="3039"/>
      <c r="X22" s="3039"/>
      <c r="Y22" s="3039"/>
      <c r="Z22" s="3039"/>
      <c r="AA22" s="3039"/>
      <c r="AB22" s="3039"/>
      <c r="AC22" s="3039"/>
      <c r="AD22" s="3039"/>
      <c r="AE22" s="3039"/>
      <c r="AF22" s="3039"/>
      <c r="AG22" s="3039"/>
      <c r="AH22" s="3039"/>
      <c r="AI22" s="3039"/>
      <c r="AJ22" s="3039"/>
      <c r="AK22" s="3039"/>
      <c r="AL22" s="3039"/>
      <c r="AM22" s="3039"/>
      <c r="AN22" s="3039"/>
      <c r="AO22" s="3039"/>
      <c r="AP22" s="3039"/>
      <c r="AQ22" s="3039"/>
      <c r="AR22" s="3039"/>
      <c r="AS22" s="3039"/>
      <c r="AT22" s="3039"/>
      <c r="AU22" s="3039"/>
      <c r="AV22" s="3039"/>
      <c r="AW22" s="3039"/>
      <c r="AX22" s="3039"/>
      <c r="AY22" s="3039"/>
      <c r="AZ22" s="3039"/>
      <c r="BA22" s="3039"/>
      <c r="BB22" s="3039"/>
      <c r="BC22" s="3039"/>
      <c r="BD22" s="3039"/>
      <c r="BE22" s="3039"/>
      <c r="BF22" s="3039"/>
      <c r="BG22" s="3039"/>
      <c r="BH22" s="3039"/>
      <c r="BI22" s="3039"/>
      <c r="BJ22" s="3039"/>
      <c r="BK22" s="3039"/>
      <c r="BL22" s="3039"/>
      <c r="BM22" s="3039"/>
      <c r="BN22" s="3039"/>
      <c r="BO22" s="3039"/>
      <c r="BP22" s="3039"/>
      <c r="BQ22" s="3039"/>
      <c r="BR22" s="3039"/>
      <c r="BS22" s="3039"/>
      <c r="BT22" s="3039"/>
      <c r="BU22" s="3039"/>
      <c r="BV22" s="3039"/>
      <c r="BW22" s="3039"/>
      <c r="BX22" s="3039"/>
      <c r="BY22" s="3039"/>
      <c r="BZ22" s="3039"/>
    </row>
    <row r="23" spans="1:82" ht="22.5" customHeight="1">
      <c r="H23" s="3011"/>
      <c r="I23" s="3011"/>
      <c r="J23" s="3011"/>
      <c r="M23" s="3000">
        <v>1.03</v>
      </c>
      <c r="N23" s="3000">
        <v>1.03</v>
      </c>
      <c r="O23" s="3004">
        <v>1.03</v>
      </c>
      <c r="P23" s="3039">
        <v>1.03</v>
      </c>
      <c r="Q23" s="3039">
        <v>1.03</v>
      </c>
      <c r="R23" s="3039"/>
      <c r="S23" s="3039"/>
      <c r="T23" s="3039"/>
      <c r="U23" s="3039"/>
      <c r="V23" s="3039"/>
      <c r="W23" s="3039"/>
      <c r="X23" s="3039"/>
      <c r="Y23" s="3039"/>
      <c r="Z23" s="3039"/>
      <c r="AA23" s="3039"/>
      <c r="AB23" s="3039"/>
      <c r="AC23" s="3039"/>
      <c r="AD23" s="3039"/>
      <c r="AE23" s="3039"/>
      <c r="AF23" s="3039"/>
      <c r="AG23" s="3039"/>
      <c r="AH23" s="3039"/>
      <c r="AI23" s="3039"/>
      <c r="AJ23" s="3039"/>
      <c r="AK23" s="3039"/>
      <c r="AL23" s="3039"/>
      <c r="AM23" s="3039"/>
      <c r="AN23" s="3039"/>
      <c r="AO23" s="3039"/>
      <c r="AP23" s="3039"/>
      <c r="AQ23" s="3039"/>
      <c r="AR23" s="3039"/>
      <c r="AS23" s="3039"/>
      <c r="AT23" s="3039"/>
      <c r="AU23" s="3039"/>
      <c r="AV23" s="3039"/>
      <c r="AW23" s="3039"/>
      <c r="AX23" s="3039"/>
      <c r="AY23" s="3039"/>
      <c r="AZ23" s="3039"/>
      <c r="BA23" s="3039"/>
      <c r="BB23" s="3039"/>
      <c r="BC23" s="3039"/>
      <c r="BD23" s="3039"/>
      <c r="BE23" s="3039"/>
      <c r="BF23" s="3039"/>
      <c r="BG23" s="3039"/>
      <c r="BH23" s="3039"/>
      <c r="BI23" s="3039"/>
      <c r="BJ23" s="3039"/>
      <c r="BK23" s="3039"/>
      <c r="BL23" s="3039"/>
      <c r="BM23" s="3039"/>
      <c r="BN23" s="3039"/>
      <c r="BO23" s="3039"/>
      <c r="BP23" s="3039"/>
      <c r="BQ23" s="3039"/>
      <c r="BR23" s="3039"/>
      <c r="BS23" s="3039"/>
      <c r="BT23" s="3039"/>
      <c r="BU23" s="3039"/>
      <c r="BV23" s="3039"/>
      <c r="BW23" s="3039"/>
      <c r="BX23" s="3039"/>
      <c r="BY23" s="3039"/>
      <c r="BZ23" s="3039"/>
    </row>
    <row r="24" spans="1:82" ht="22.5" customHeight="1">
      <c r="H24" s="3011"/>
      <c r="I24" s="3011"/>
      <c r="J24" s="3011"/>
      <c r="L24" s="3004">
        <f>M24/M23</f>
        <v>0</v>
      </c>
      <c r="M24" s="3004">
        <f t="shared" ref="M24:O24" si="2">N24/N23</f>
        <v>0</v>
      </c>
      <c r="N24" s="3004">
        <f t="shared" si="2"/>
        <v>0</v>
      </c>
      <c r="O24" s="3004">
        <f t="shared" si="2"/>
        <v>0</v>
      </c>
      <c r="P24" s="3000">
        <f>Q24/Q23</f>
        <v>0</v>
      </c>
      <c r="Q24" s="3000">
        <f>Q22</f>
        <v>0</v>
      </c>
    </row>
    <row r="25" spans="1:82" ht="22.5" customHeight="1">
      <c r="H25" s="3011"/>
      <c r="I25" s="3011"/>
      <c r="J25" s="3011"/>
      <c r="M25" s="3000"/>
      <c r="N25" s="3000"/>
      <c r="O25" s="3000"/>
    </row>
    <row r="26" spans="1:82" ht="22.5" customHeight="1">
      <c r="H26" s="3011"/>
      <c r="I26" s="3011"/>
      <c r="J26" s="3011"/>
      <c r="M26" s="3000"/>
      <c r="N26" s="3000"/>
      <c r="O26" s="3000"/>
    </row>
    <row r="27" spans="1:82" ht="22.5" customHeight="1">
      <c r="H27" s="3011"/>
      <c r="I27" s="3011"/>
      <c r="J27" s="3011"/>
      <c r="M27" s="3000"/>
      <c r="N27" s="3000"/>
      <c r="O27" s="3000"/>
    </row>
    <row r="28" spans="1:82" ht="22.5" customHeight="1">
      <c r="H28" s="3011"/>
      <c r="I28" s="3011"/>
      <c r="J28" s="3011"/>
      <c r="M28" s="3000"/>
      <c r="N28" s="3000"/>
      <c r="O28" s="3000"/>
    </row>
    <row r="29" spans="1:82" ht="22.5" customHeight="1">
      <c r="H29" s="3011"/>
      <c r="I29" s="3011"/>
      <c r="J29" s="3011"/>
      <c r="M29" s="3000"/>
      <c r="N29" s="3000"/>
      <c r="O29" s="3000"/>
    </row>
    <row r="30" spans="1:82" ht="22.5" customHeight="1">
      <c r="H30" s="3011"/>
      <c r="I30" s="3011"/>
      <c r="J30" s="3011"/>
      <c r="M30" s="3000"/>
      <c r="N30" s="3000"/>
      <c r="O30" s="3000"/>
    </row>
    <row r="31" spans="1:82" ht="22.5" customHeight="1">
      <c r="H31" s="3011"/>
      <c r="I31" s="3011"/>
      <c r="J31" s="3011"/>
      <c r="M31" s="3000"/>
      <c r="N31" s="3000"/>
      <c r="O31" s="3000"/>
    </row>
    <row r="32" spans="1:82" ht="22.5" customHeight="1">
      <c r="H32" s="3011"/>
      <c r="I32" s="3011"/>
      <c r="J32" s="3011"/>
      <c r="M32" s="3000"/>
      <c r="N32" s="3000"/>
      <c r="O32" s="3000"/>
    </row>
    <row r="33" spans="8:15" ht="22.5" customHeight="1">
      <c r="H33" s="3011"/>
      <c r="I33" s="3011"/>
      <c r="J33" s="3011"/>
      <c r="M33" s="3000"/>
      <c r="N33" s="3000"/>
      <c r="O33" s="3000"/>
    </row>
    <row r="34" spans="8:15" ht="22.5" customHeight="1">
      <c r="H34" s="3011"/>
      <c r="I34" s="3011"/>
      <c r="J34" s="3011"/>
      <c r="M34" s="3000"/>
      <c r="N34" s="3000"/>
      <c r="O34" s="3000"/>
    </row>
    <row r="35" spans="8:15" ht="22.5" customHeight="1">
      <c r="H35" s="3011"/>
      <c r="I35" s="3011"/>
      <c r="J35" s="3011"/>
      <c r="M35" s="3000"/>
      <c r="N35" s="3000"/>
      <c r="O35" s="3000"/>
    </row>
    <row r="36" spans="8:15" ht="22.5" customHeight="1">
      <c r="H36" s="3011"/>
      <c r="I36" s="3011"/>
      <c r="J36" s="3011"/>
      <c r="M36" s="3000"/>
      <c r="N36" s="3000"/>
      <c r="O36" s="3000"/>
    </row>
    <row r="37" spans="8:15" ht="22.5" customHeight="1">
      <c r="M37" s="3000"/>
      <c r="N37" s="3000"/>
      <c r="O37" s="3000"/>
    </row>
    <row r="38" spans="8:15" ht="22.5" customHeight="1">
      <c r="M38" s="3000"/>
      <c r="N38" s="3000"/>
      <c r="O38" s="3000"/>
    </row>
    <row r="39" spans="8:15" ht="22.5" customHeight="1">
      <c r="M39" s="3000"/>
      <c r="N39" s="3000"/>
      <c r="O39" s="3000"/>
    </row>
    <row r="40" spans="8:15" ht="22.5" customHeight="1">
      <c r="M40" s="3000"/>
      <c r="N40" s="3000"/>
      <c r="O40" s="3000"/>
    </row>
    <row r="41" spans="8:15" ht="22.5" customHeight="1">
      <c r="M41" s="3000"/>
      <c r="N41" s="3000"/>
      <c r="O41" s="3000"/>
    </row>
  </sheetData>
  <mergeCells count="12">
    <mergeCell ref="N1:N2"/>
    <mergeCell ref="A1:A2"/>
    <mergeCell ref="B1:B2"/>
    <mergeCell ref="C1:C2"/>
    <mergeCell ref="D1:D2"/>
    <mergeCell ref="E1:E2"/>
    <mergeCell ref="F1:F2"/>
    <mergeCell ref="G1:G2"/>
    <mergeCell ref="H1:H2"/>
    <mergeCell ref="I1:K1"/>
    <mergeCell ref="L1:L2"/>
    <mergeCell ref="M1:M2"/>
  </mergeCells>
  <phoneticPr fontId="14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49" t="str">
        <f>项目基本情况!B1</f>
        <v>贵州省遵义市仁怀市盐津街道办事处城南社区酒都广场局部房地产房地产抵押价值预评估</v>
      </c>
      <c r="C37" s="3049"/>
      <c r="D37" s="3049"/>
      <c r="E37" s="3049"/>
      <c r="F37" s="3049"/>
      <c r="G37" s="3049"/>
      <c r="H37" s="3049"/>
      <c r="I37" s="3049"/>
    </row>
    <row r="38" spans="1:9">
      <c r="A38" s="1016"/>
      <c r="B38" s="1016"/>
    </row>
    <row r="39" spans="1:9">
      <c r="A39" s="1014" t="s">
        <v>818</v>
      </c>
      <c r="B39" s="1014" t="s">
        <v>820</v>
      </c>
    </row>
    <row r="40" spans="1:9">
      <c r="A40" s="1014"/>
      <c r="B40" s="1939" t="str">
        <f>项目基本情况!B5</f>
        <v>中信信托有限责任公司</v>
      </c>
    </row>
    <row r="41" spans="1:9">
      <c r="A41" s="1014"/>
      <c r="B41" s="1014"/>
    </row>
    <row r="42" spans="1:9">
      <c r="A42" s="1014" t="s">
        <v>818</v>
      </c>
      <c r="B42" s="1014" t="s">
        <v>821</v>
      </c>
    </row>
    <row r="43" spans="1:9">
      <c r="A43" s="1014"/>
      <c r="B43" s="1939" t="s">
        <v>822</v>
      </c>
    </row>
    <row r="44" spans="1:9">
      <c r="A44" s="1014"/>
      <c r="B44" s="1014"/>
    </row>
    <row r="45" spans="1:9">
      <c r="A45" s="1014" t="s">
        <v>818</v>
      </c>
      <c r="B45" s="1014" t="s">
        <v>823</v>
      </c>
    </row>
    <row r="46" spans="1:9" s="1014" customFormat="1" ht="12.75">
      <c r="B46" s="1939" t="str">
        <f ca="1">项目基本情况!K4</f>
        <v>郑燚（注册号：1120070131)、王鹏（注册号：1120050019)</v>
      </c>
    </row>
    <row r="47" spans="1:9">
      <c r="A47" s="1014"/>
      <c r="B47" s="1014" t="str">
        <f>项目基本情况!K5</f>
        <v/>
      </c>
    </row>
    <row r="48" spans="1:9">
      <c r="A48" s="1014" t="s">
        <v>818</v>
      </c>
      <c r="B48" s="1014"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91"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G20:H20"/>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41919.54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43671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24921</v>
      </c>
      <c r="C5" s="1741">
        <f ca="1">ROUND(B5*10000/$B$1,0)</f>
        <v>5945</v>
      </c>
      <c r="D5" s="1741" t="e">
        <f ca="1">ROUND(B5*10000/$B$2,0)</f>
        <v>#DIV/0!</v>
      </c>
      <c r="E5" s="1740"/>
      <c r="F5" s="1738"/>
      <c r="G5" s="1738"/>
    </row>
    <row r="6" spans="1:10" ht="16.5">
      <c r="A6" s="1741" t="s">
        <v>1352</v>
      </c>
      <c r="B6" s="1741">
        <f ca="1">SUM(G14:G23)</f>
        <v>24921</v>
      </c>
      <c r="C6" s="1741">
        <f ca="1">ROUND(B6*10000/$B$1,0)</f>
        <v>5945</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'结果表（四羊方尊）'!B118</f>
        <v>5605.68</v>
      </c>
      <c r="C14" s="1739">
        <f>'结果表（四羊方尊）'!C118</f>
        <v>0</v>
      </c>
      <c r="D14" s="1739">
        <f ca="1">'结果表（四羊方尊）'!H118</f>
        <v>6561</v>
      </c>
      <c r="E14" s="1739">
        <f ca="1">ROUND(D14*10000/B14,0)</f>
        <v>11704</v>
      </c>
      <c r="F14" s="1739" t="e">
        <f ca="1">ROUND(D14*10000/C14,0)</f>
        <v>#DIV/0!</v>
      </c>
      <c r="G14" s="1739">
        <f ca="1">'结果表（四羊方尊）'!D122</f>
        <v>6561</v>
      </c>
      <c r="H14" s="1739" t="str">
        <f>'结果表（四羊方尊）'!D124</f>
        <v>——</v>
      </c>
      <c r="I14" s="1739" t="str">
        <f>'结果表（四羊方尊）'!D126</f>
        <v>——</v>
      </c>
      <c r="J14" s="1738"/>
    </row>
    <row r="15" spans="1:10" ht="16.5">
      <c r="A15" s="1737" t="s">
        <v>1345</v>
      </c>
      <c r="B15" s="1744">
        <f>'结果表（天街）'!B118</f>
        <v>5165.3600000000006</v>
      </c>
      <c r="C15" s="1744">
        <f>'结果表（天街）'!C118</f>
        <v>0</v>
      </c>
      <c r="D15" s="1744">
        <f ca="1">'结果表（天街）'!H118</f>
        <v>3828</v>
      </c>
      <c r="E15" s="1739">
        <f t="shared" ref="E15:E23" ca="1" si="0">ROUND(D15*10000/B15,0)</f>
        <v>7411</v>
      </c>
      <c r="F15" s="1739" t="e">
        <f t="shared" ref="F15:F23" ca="1" si="1">ROUND(D15*10000/C15,0)</f>
        <v>#DIV/0!</v>
      </c>
      <c r="G15" s="1745">
        <f ca="1">'结果表（天街）'!D122</f>
        <v>3828</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f>[1]系统读取表!$B$1</f>
        <v>31148.5</v>
      </c>
      <c r="C17" s="1744">
        <f>[1]系统读取表!$B$2</f>
        <v>0</v>
      </c>
      <c r="D17" s="1744">
        <f ca="1">[1]系统读取表!$B$5</f>
        <v>14532</v>
      </c>
      <c r="E17" s="1739">
        <f t="shared" ca="1" si="0"/>
        <v>4665</v>
      </c>
      <c r="F17" s="1739" t="e">
        <f t="shared" ca="1" si="1"/>
        <v>#DIV/0!</v>
      </c>
      <c r="G17" s="1745">
        <f ca="1">[1]系统读取表!$B$6</f>
        <v>14532</v>
      </c>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8"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6" sqref="O16"/>
    </sheetView>
  </sheetViews>
  <sheetFormatPr defaultRowHeight="13.5"/>
  <sheetData/>
  <phoneticPr fontId="14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0"/>
    <col min="3" max="4" width="18.1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2113</v>
      </c>
      <c r="B1" s="2414"/>
      <c r="C1" s="2415" t="s">
        <v>3113</v>
      </c>
      <c r="D1" s="2414"/>
      <c r="E1" s="2414"/>
      <c r="F1" s="2416" t="s">
        <v>2114</v>
      </c>
      <c r="G1" s="2065" t="s">
        <v>3107</v>
      </c>
      <c r="H1" s="2417" t="str">
        <f>IF(G1="现房","——","估价对象范围")</f>
        <v>——</v>
      </c>
      <c r="I1" s="2418" t="s">
        <v>3125</v>
      </c>
    </row>
    <row r="2" spans="1:12" ht="21.75" customHeight="1" thickBot="1">
      <c r="A2" s="3222" t="str">
        <f>项目基本情况!S2</f>
        <v>贵州省遵义市仁怀市盐津街道办事处城南社区酒都广场局部房地产房地产</v>
      </c>
      <c r="B2" s="3223"/>
      <c r="C2" s="3223"/>
      <c r="D2" s="3223"/>
      <c r="E2" s="3223"/>
      <c r="F2" s="3223"/>
      <c r="G2" s="3223"/>
      <c r="H2" s="3223"/>
      <c r="I2" s="3224"/>
    </row>
    <row r="3" spans="1:12" ht="12.75">
      <c r="A3" s="3226" t="s">
        <v>2115</v>
      </c>
      <c r="B3" s="3227"/>
      <c r="C3" s="3227"/>
      <c r="D3" s="3227"/>
      <c r="E3" s="3227"/>
      <c r="F3" s="3227"/>
      <c r="G3" s="3227"/>
      <c r="H3" s="3227"/>
      <c r="I3" s="3227"/>
    </row>
    <row r="4" spans="1:12" ht="14.25">
      <c r="A4" s="2421" t="s">
        <v>2116</v>
      </c>
      <c r="B4" s="2422" t="s">
        <v>2117</v>
      </c>
      <c r="C4" s="2423" t="s">
        <v>3246</v>
      </c>
      <c r="D4" s="2423" t="s">
        <v>3117</v>
      </c>
      <c r="E4" s="3206" t="s">
        <v>2118</v>
      </c>
      <c r="F4" s="3219"/>
      <c r="G4" s="3219"/>
      <c r="H4" s="3219"/>
      <c r="I4" s="3207"/>
      <c r="K4" s="2424" t="str">
        <f>IF(ISNUMBER(FIND("比较法",'结果表（四羊方尊）'!C4)),"比较法",IF(ISNUMBER(FIND("成本法",'结果表（四羊方尊）'!C4)),"成本法",IF(ISNUMBER(FIND("假设开发法",'结果表（四羊方尊）'!C4)),"假设开发法",IF(ISNUMBER(FIND("收益法",'结果表（四羊方尊）'!C4)),"收益法","基准地价系数修正法"))))</f>
        <v>成本法</v>
      </c>
      <c r="L4" s="2424" t="str">
        <f>IF(ISNUMBER(FIND("比较法",'结果表（四羊方尊）'!D4)),"比较法",IF(ISNUMBER(FIND("成本法",'结果表（四羊方尊）'!D4)),"成本法",IF(ISNUMBER(FIND("假设开发法",'结果表（四羊方尊）'!D4)),"假设开发法",IF(ISNUMBER(FIND("收益法",'结果表（四羊方尊）'!D4)),"收益法","基准地价系数修正法"))))</f>
        <v>收益法</v>
      </c>
    </row>
    <row r="5" spans="1:12" ht="12.75">
      <c r="A5" s="3197" t="s">
        <v>2119</v>
      </c>
      <c r="B5" s="3115">
        <v>25</v>
      </c>
      <c r="C5" s="3228"/>
      <c r="D5" s="3225"/>
      <c r="E5" s="140" t="s">
        <v>2120</v>
      </c>
      <c r="F5" s="2425"/>
      <c r="G5" s="2425"/>
      <c r="H5" s="2425"/>
      <c r="I5" s="1829"/>
    </row>
    <row r="6" spans="1:12" ht="12.75">
      <c r="A6" s="3197"/>
      <c r="B6" s="3115"/>
      <c r="C6" s="3230"/>
      <c r="D6" s="3225"/>
      <c r="E6" s="140" t="s">
        <v>2121</v>
      </c>
      <c r="F6" s="2425"/>
      <c r="G6" s="2425"/>
      <c r="H6" s="2425"/>
      <c r="I6" s="1829"/>
    </row>
    <row r="7" spans="1:12" ht="12.75">
      <c r="A7" s="3197"/>
      <c r="B7" s="3115"/>
      <c r="C7" s="3229"/>
      <c r="D7" s="3225"/>
      <c r="E7" s="140" t="s">
        <v>2122</v>
      </c>
      <c r="F7" s="2425"/>
      <c r="G7" s="2425"/>
      <c r="H7" s="2425"/>
      <c r="I7" s="1829"/>
    </row>
    <row r="8" spans="1:12" ht="12.75">
      <c r="A8" s="3197" t="s">
        <v>2123</v>
      </c>
      <c r="B8" s="3115">
        <v>15</v>
      </c>
      <c r="C8" s="3228"/>
      <c r="D8" s="3225"/>
      <c r="E8" s="140" t="s">
        <v>2124</v>
      </c>
      <c r="F8" s="2425"/>
      <c r="G8" s="2425"/>
      <c r="H8" s="2425"/>
      <c r="I8" s="1829"/>
    </row>
    <row r="9" spans="1:12" ht="12.75">
      <c r="A9" s="3197"/>
      <c r="B9" s="3115"/>
      <c r="C9" s="3229"/>
      <c r="D9" s="3225"/>
      <c r="E9" s="140" t="s">
        <v>2125</v>
      </c>
      <c r="F9" s="2425"/>
      <c r="G9" s="2425"/>
      <c r="H9" s="2425"/>
      <c r="I9" s="1829"/>
    </row>
    <row r="10" spans="1:12" ht="12.75">
      <c r="A10" s="3197" t="s">
        <v>2126</v>
      </c>
      <c r="B10" s="3115">
        <v>15</v>
      </c>
      <c r="C10" s="3228"/>
      <c r="D10" s="3225"/>
      <c r="E10" s="140" t="s">
        <v>2127</v>
      </c>
      <c r="F10" s="2425"/>
      <c r="G10" s="2425"/>
      <c r="H10" s="2425"/>
      <c r="I10" s="1829"/>
    </row>
    <row r="11" spans="1:12" ht="12.75">
      <c r="A11" s="3197"/>
      <c r="B11" s="3115"/>
      <c r="C11" s="3229"/>
      <c r="D11" s="3225"/>
      <c r="E11" s="140" t="s">
        <v>2128</v>
      </c>
      <c r="F11" s="2425"/>
      <c r="G11" s="2425"/>
      <c r="H11" s="2425"/>
      <c r="I11" s="1829"/>
    </row>
    <row r="12" spans="1:12" ht="12.75">
      <c r="A12" s="3197" t="s">
        <v>2129</v>
      </c>
      <c r="B12" s="3115">
        <v>15</v>
      </c>
      <c r="C12" s="3228"/>
      <c r="D12" s="3225"/>
      <c r="E12" s="140" t="s">
        <v>2130</v>
      </c>
      <c r="F12" s="2425"/>
      <c r="G12" s="2425"/>
      <c r="H12" s="2425"/>
      <c r="I12" s="1829"/>
    </row>
    <row r="13" spans="1:12" ht="12.75">
      <c r="A13" s="3197"/>
      <c r="B13" s="3115"/>
      <c r="C13" s="3229"/>
      <c r="D13" s="3225"/>
      <c r="E13" s="140" t="s">
        <v>2131</v>
      </c>
      <c r="F13" s="2425"/>
      <c r="G13" s="2425"/>
      <c r="H13" s="2425"/>
      <c r="I13" s="1829"/>
    </row>
    <row r="14" spans="1:12" ht="12.75">
      <c r="A14" s="3197" t="s">
        <v>2132</v>
      </c>
      <c r="B14" s="3115">
        <v>30</v>
      </c>
      <c r="C14" s="3241">
        <v>7</v>
      </c>
      <c r="D14" s="3215">
        <v>3</v>
      </c>
      <c r="E14" s="140" t="s">
        <v>2133</v>
      </c>
      <c r="F14" s="2425"/>
      <c r="G14" s="2425"/>
      <c r="H14" s="2425"/>
      <c r="I14" s="1829"/>
    </row>
    <row r="15" spans="1:12" ht="12.75">
      <c r="A15" s="3197"/>
      <c r="B15" s="3115"/>
      <c r="C15" s="3242"/>
      <c r="D15" s="3215"/>
      <c r="E15" s="140" t="s">
        <v>2134</v>
      </c>
      <c r="F15" s="2425"/>
      <c r="G15" s="2425"/>
      <c r="H15" s="2425"/>
      <c r="I15" s="1829"/>
    </row>
    <row r="16" spans="1:12" ht="12.75">
      <c r="A16" s="3197"/>
      <c r="B16" s="3115"/>
      <c r="C16" s="3243"/>
      <c r="D16" s="3215"/>
      <c r="E16" s="140" t="s">
        <v>2135</v>
      </c>
      <c r="F16" s="2425"/>
      <c r="G16" s="2425"/>
      <c r="H16" s="2425"/>
      <c r="I16" s="1829"/>
    </row>
    <row r="17" spans="1:35" ht="15">
      <c r="A17" s="2426" t="s">
        <v>2136</v>
      </c>
      <c r="B17" s="64"/>
      <c r="C17" s="141">
        <f>SUM(C5:C16)</f>
        <v>7</v>
      </c>
      <c r="D17" s="141">
        <f>SUM(D5:D16)</f>
        <v>3</v>
      </c>
      <c r="E17" s="138"/>
      <c r="F17" s="138"/>
      <c r="G17" s="138"/>
      <c r="H17" s="138"/>
      <c r="I17" s="138"/>
      <c r="K17" s="2424"/>
      <c r="L17" s="2427" t="s">
        <v>2137</v>
      </c>
      <c r="M17" s="2427" t="s">
        <v>2138</v>
      </c>
    </row>
    <row r="18" spans="1:35" ht="15.75" thickBot="1">
      <c r="A18" s="2428" t="s">
        <v>2139</v>
      </c>
      <c r="B18" s="2429"/>
      <c r="C18" s="142">
        <f>ROUND(C17/SUM(C17:D17),2)</f>
        <v>0.7</v>
      </c>
      <c r="D18" s="142">
        <f>1-C18</f>
        <v>0.30000000000000004</v>
      </c>
      <c r="E18" s="138"/>
      <c r="F18" s="138"/>
      <c r="G18" s="138"/>
      <c r="H18" s="138"/>
      <c r="I18" s="138"/>
      <c r="K18" s="2424" t="s">
        <v>2140</v>
      </c>
      <c r="L18" s="2424">
        <f>IF(C1="",'数据-汇总表'!E3,SUMIF(项目类型,C1,'数据-汇总表'!E17:E26)+SUMIF(项目类型,C1,'数据-汇总表'!I17:I26))</f>
        <v>5605.68</v>
      </c>
      <c r="M18" s="2424">
        <f>IF(C1="",'数据-汇总表'!E3,SUMIF(项目类型,C1,'数据-汇总表'!E17:E26))</f>
        <v>5605.68</v>
      </c>
    </row>
    <row r="19" spans="1:35" ht="15">
      <c r="A19" s="2430" t="s">
        <v>2141</v>
      </c>
      <c r="B19" s="2431" t="s">
        <v>2142</v>
      </c>
      <c r="C19" s="143">
        <f ca="1">SUMIF(INDIRECT("'"&amp;C4&amp;"'"&amp;"!A:A"),'结果表（四羊方尊）'!B19,INDIRECT("'"&amp;C4&amp;"'"&amp;"!B:B"))</f>
        <v>8225</v>
      </c>
      <c r="D19" s="144">
        <f ca="1">SUMIF(INDIRECT("'"&amp;D4&amp;"'"&amp;"!A:A"),'结果表（四羊方尊）'!B19,INDIRECT("'"&amp;D4&amp;"'"&amp;"!B:B"))</f>
        <v>2679</v>
      </c>
      <c r="E19" s="2430" t="s">
        <v>2143</v>
      </c>
      <c r="F19" s="2431" t="s">
        <v>2142</v>
      </c>
      <c r="G19" s="145">
        <f ca="1">ROUND(C19*$C$18+D19*$D$18,0)</f>
        <v>6561</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7" t="s">
        <v>2146</v>
      </c>
      <c r="C20" s="146">
        <f ca="1">SUMIF(INDIRECT("'"&amp;C4&amp;"'"&amp;"!A:A"),'结果表（四羊方尊）'!B20,INDIRECT("'"&amp;C4&amp;"'"&amp;"!B:B"))</f>
        <v>14673</v>
      </c>
      <c r="D20" s="147">
        <f ca="1">SUMIF(INDIRECT("'"&amp;D4&amp;"'"&amp;"!A:A"),'结果表（四羊方尊）'!B20,INDIRECT("'"&amp;D4&amp;"'"&amp;"!B:B"))</f>
        <v>4779</v>
      </c>
      <c r="E20" s="2433"/>
      <c r="F20" s="1247" t="s">
        <v>2146</v>
      </c>
      <c r="G20" s="148">
        <f ca="1">ROUND(C20*$C$18+D20*$D$18,0)</f>
        <v>11705</v>
      </c>
      <c r="H20" s="980" t="s">
        <v>2147</v>
      </c>
      <c r="I20" s="138"/>
    </row>
    <row r="21" spans="1:35" ht="15" customHeight="1" thickBot="1">
      <c r="A21" s="1000"/>
      <c r="B21" s="2434" t="s">
        <v>2148</v>
      </c>
      <c r="C21" s="789" t="e">
        <f ca="1">ROUND(C19*10000/L19,0)</f>
        <v>#DIV/0!</v>
      </c>
      <c r="D21" s="790" t="e">
        <f ca="1">ROUND(D19*10000/L19,0)</f>
        <v>#DIV/0!</v>
      </c>
      <c r="E21" s="1000"/>
      <c r="F21" s="2434" t="s">
        <v>2148</v>
      </c>
      <c r="G21" s="149" t="e">
        <f ca="1">ROUND(G19*10000/L19,0)</f>
        <v>#DIV/0!</v>
      </c>
      <c r="H21" s="2435" t="s">
        <v>2147</v>
      </c>
      <c r="I21" s="138"/>
    </row>
    <row r="22" spans="1:35" ht="15" thickBot="1">
      <c r="A22" s="2276" t="s">
        <v>2149</v>
      </c>
      <c r="B22" s="2436"/>
      <c r="C22" s="2437"/>
      <c r="D22" s="791">
        <f ca="1">IF(C19&lt;D19,D19/C19-1,C19/D19-1)</f>
        <v>2.0701754385964914</v>
      </c>
      <c r="E22" s="138"/>
      <c r="F22" s="138"/>
      <c r="G22" s="138"/>
      <c r="H22" s="138"/>
      <c r="I22" s="138"/>
    </row>
    <row r="23" spans="1:35" ht="13.5" thickBot="1">
      <c r="A23" s="2414"/>
      <c r="B23" s="2414"/>
      <c r="C23" s="2414"/>
      <c r="D23" s="2414"/>
      <c r="E23" s="138"/>
      <c r="F23" s="138"/>
      <c r="G23" s="138"/>
      <c r="H23" s="138"/>
      <c r="I23" s="138"/>
    </row>
    <row r="24" spans="1:35" ht="14.25">
      <c r="A24" s="3237" t="s">
        <v>2150</v>
      </c>
      <c r="B24" s="2431" t="s">
        <v>2142</v>
      </c>
      <c r="C24" s="145">
        <f>IF(B30=0,0,D30)</f>
        <v>0</v>
      </c>
      <c r="D24" s="2438"/>
      <c r="E24" s="138"/>
      <c r="F24" s="138"/>
      <c r="G24" s="138"/>
      <c r="H24" s="138"/>
      <c r="I24" s="138"/>
    </row>
    <row r="25" spans="1:35" ht="14.25">
      <c r="A25" s="3238"/>
      <c r="B25" s="1247"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2156</v>
      </c>
      <c r="B32" s="2444"/>
      <c r="C32" s="153">
        <f ca="1">IF(D32="总价",G19-C24,G20-C25)</f>
        <v>6561</v>
      </c>
      <c r="D32" s="2445" t="s">
        <v>2157</v>
      </c>
      <c r="E32" s="138"/>
      <c r="F32" s="138"/>
      <c r="G32" s="138"/>
      <c r="H32" s="138"/>
      <c r="I32" s="138"/>
    </row>
    <row r="33" spans="1:15" ht="15">
      <c r="A33" s="957" t="s">
        <v>2158</v>
      </c>
      <c r="B33" s="2446"/>
      <c r="C33" s="2447" t="s">
        <v>3124</v>
      </c>
      <c r="D33" s="2448" t="s">
        <v>3246</v>
      </c>
      <c r="E33" s="2449" t="s">
        <v>2159</v>
      </c>
      <c r="F33" s="2450" t="str">
        <f>IF(D32="楼面单价","取值（单价）","取值（总价）")</f>
        <v>取值（总价）</v>
      </c>
      <c r="G33" s="138"/>
      <c r="H33" s="138"/>
      <c r="I33" s="138"/>
    </row>
    <row r="34" spans="1:15" ht="15">
      <c r="A34" s="2451"/>
      <c r="B34" s="2452" t="s">
        <v>2160</v>
      </c>
      <c r="C34" s="157">
        <f ca="1">IF(C33="自定义",F34,C32-C35)</f>
        <v>1161</v>
      </c>
      <c r="D34" s="1055">
        <f ca="1">IF(C33="自定义",ROUND(C34/C32,3),IF(C33="收益比率",SUMIF(INDIRECT("'"&amp;D33&amp;"'"&amp;"!b:b"),"土地收益比率",INDIRECT("'"&amp;D33&amp;"'"&amp;"!c:c")),SUMIF(INDIRECT("'"&amp;D33&amp;"'"&amp;"!b:b"),"土地成本比率",INDIRECT("'"&amp;D33&amp;"'"&amp;"!c:c"))))</f>
        <v>0.17700000000000005</v>
      </c>
      <c r="E34" s="2453" t="s">
        <v>2161</v>
      </c>
      <c r="F34" s="1734"/>
      <c r="G34" s="138"/>
      <c r="H34" s="138"/>
      <c r="I34" s="138"/>
    </row>
    <row r="35" spans="1:15" ht="15.75" thickBot="1">
      <c r="A35" s="2454"/>
      <c r="B35" s="2455" t="s">
        <v>2162</v>
      </c>
      <c r="C35" s="1440">
        <f ca="1">IF(C33="自定义",F35,ROUND(C32*D35,0))</f>
        <v>5400</v>
      </c>
      <c r="D35" s="1441">
        <f ca="1">IF(C33="自定义",ROUND(C35/C32,3),IF(C33="收益比率",SUMIF(INDIRECT("'"&amp;D33&amp;"'"&amp;"!b:b"),"建筑物收益比率",INDIRECT("'"&amp;D33&amp;"'"&amp;"!c:c")),SUMIF(INDIRECT("'"&amp;D33&amp;"'"&amp;"!b:b"),"建筑物成本比率",INDIRECT("'"&amp;D33&amp;"'"&amp;"!c:c"))))</f>
        <v>0.82299999999999995</v>
      </c>
      <c r="E35" s="2456" t="s">
        <v>2163</v>
      </c>
      <c r="F35" s="163"/>
      <c r="G35" s="138"/>
      <c r="H35" s="138"/>
      <c r="I35" s="138"/>
    </row>
    <row r="36" spans="1:15" ht="15.75" thickBot="1">
      <c r="A36" s="3216" t="s">
        <v>2164</v>
      </c>
      <c r="B36" s="2457" t="s">
        <v>2165</v>
      </c>
      <c r="C36" s="154"/>
      <c r="D36" s="2458"/>
      <c r="E36" s="2459"/>
      <c r="F36" s="2460"/>
      <c r="G36" s="138"/>
      <c r="H36" s="138"/>
      <c r="I36" s="138"/>
    </row>
    <row r="37" spans="1:15" ht="15.75" thickBot="1">
      <c r="A37" s="3217"/>
      <c r="B37" s="2262" t="s">
        <v>2166</v>
      </c>
      <c r="C37" s="156"/>
      <c r="D37" s="1391"/>
      <c r="E37" s="1391"/>
      <c r="F37" s="2460"/>
      <c r="G37" s="138"/>
      <c r="H37" s="138"/>
      <c r="I37" s="138"/>
    </row>
    <row r="38" spans="1:15" ht="15.75" thickBot="1">
      <c r="A38" s="3218"/>
      <c r="B38" s="2461" t="s">
        <v>2167</v>
      </c>
      <c r="C38" s="727"/>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hidden="1">
      <c r="A44" s="2470" t="s">
        <v>2176</v>
      </c>
      <c r="B44" s="2471"/>
      <c r="C44" s="2471"/>
      <c r="D44" s="2472"/>
      <c r="E44" s="2472"/>
      <c r="F44" s="2473"/>
      <c r="G44" s="2473"/>
      <c r="H44" s="2473"/>
      <c r="I44" s="2473"/>
      <c r="J44" s="2474" t="s">
        <v>2177</v>
      </c>
      <c r="K44" s="2475"/>
      <c r="L44" s="2475"/>
      <c r="M44" s="2475"/>
      <c r="N44" s="2475"/>
      <c r="O44" s="2475"/>
    </row>
    <row r="45" spans="1:15" ht="14.25" hidden="1" customHeight="1" thickBot="1">
      <c r="A45" s="3234" t="s">
        <v>2178</v>
      </c>
      <c r="B45" s="3235"/>
      <c r="C45" s="3236"/>
      <c r="D45" s="164">
        <f ca="1">ROUND(H101*F45,0)</f>
        <v>6561</v>
      </c>
      <c r="E45" s="165" t="s">
        <v>2179</v>
      </c>
      <c r="F45" s="166">
        <v>1</v>
      </c>
      <c r="G45" s="167" t="s">
        <v>2180</v>
      </c>
      <c r="H45" s="138"/>
      <c r="I45" s="138"/>
      <c r="J45" s="3152" t="s">
        <v>2181</v>
      </c>
      <c r="K45" s="3152"/>
      <c r="L45" s="3152"/>
      <c r="M45" s="3152"/>
      <c r="N45" s="3152"/>
      <c r="O45" s="3152"/>
    </row>
    <row r="46" spans="1:15" ht="14.25" hidden="1" customHeight="1">
      <c r="A46" s="3231" t="s">
        <v>2182</v>
      </c>
      <c r="B46" s="3232"/>
      <c r="C46" s="3232"/>
      <c r="D46" s="3232"/>
      <c r="E46" s="3232"/>
      <c r="F46" s="3232"/>
      <c r="G46" s="3233"/>
      <c r="H46" s="2476"/>
      <c r="I46" s="168"/>
      <c r="J46" s="1807">
        <v>1</v>
      </c>
      <c r="K46" s="3152" t="s">
        <v>2183</v>
      </c>
      <c r="L46" s="3152"/>
      <c r="M46" s="3153"/>
      <c r="N46" s="3153"/>
      <c r="O46" s="3153"/>
    </row>
    <row r="47" spans="1:15" ht="12" hidden="1" customHeight="1">
      <c r="A47" s="169" t="s">
        <v>2184</v>
      </c>
      <c r="B47" s="170"/>
      <c r="C47" s="171"/>
      <c r="D47" s="172" t="s">
        <v>2185</v>
      </c>
      <c r="E47" s="24" t="s">
        <v>2186</v>
      </c>
      <c r="F47" s="173" t="s">
        <v>2187</v>
      </c>
      <c r="G47" s="174" t="s">
        <v>2188</v>
      </c>
      <c r="H47" s="2476"/>
      <c r="I47" s="168"/>
      <c r="J47" s="1807">
        <v>2</v>
      </c>
      <c r="K47" s="3152" t="s">
        <v>2189</v>
      </c>
      <c r="L47" s="3152"/>
      <c r="M47" s="3154">
        <f>'数据-取费表'!B2</f>
        <v>43671</v>
      </c>
      <c r="N47" s="3154"/>
      <c r="O47" s="3154"/>
    </row>
    <row r="48" spans="1:15" ht="25.5" hidden="1">
      <c r="A48" s="3220" t="s">
        <v>2190</v>
      </c>
      <c r="B48" s="3221"/>
      <c r="C48" s="3221"/>
      <c r="D48" s="140">
        <f>IF(H48="情况1",0,IF(H48="情况2",D52,IF(H48="情况3",D53,IF(H48="情况4",D54))))</f>
        <v>0</v>
      </c>
      <c r="E48" s="1796" t="str">
        <f>IF(H48="情况4","(销售额-原购置价)×税（费）率","销售额×税（费）率")</f>
        <v>销售额×税（费）率</v>
      </c>
      <c r="F48" s="175" t="str">
        <f>IF(H48="情况1","免征",'数据-取费表'!B41)</f>
        <v>免征</v>
      </c>
      <c r="G48" s="2477" t="s">
        <v>2191</v>
      </c>
      <c r="H48" s="2478" t="s">
        <v>2192</v>
      </c>
      <c r="I48" s="2476"/>
      <c r="J48" s="1807">
        <v>3</v>
      </c>
      <c r="K48" s="3152" t="s">
        <v>2193</v>
      </c>
      <c r="L48" s="3152"/>
      <c r="M48" s="3155">
        <f ca="1">H101</f>
        <v>6561</v>
      </c>
      <c r="N48" s="3155"/>
      <c r="O48" s="3155"/>
    </row>
    <row r="49" spans="1:35" ht="25.5" hidden="1" customHeight="1">
      <c r="A49" s="176" t="s">
        <v>2194</v>
      </c>
      <c r="B49" s="3200" t="s">
        <v>2195</v>
      </c>
      <c r="C49" s="3200"/>
      <c r="D49" s="177">
        <v>0</v>
      </c>
      <c r="E49" s="23" t="s">
        <v>2196</v>
      </c>
      <c r="F49" s="28" t="s">
        <v>34</v>
      </c>
      <c r="G49" s="3181"/>
      <c r="H49" s="138"/>
      <c r="I49" s="2479"/>
      <c r="J49" s="1807">
        <v>4</v>
      </c>
      <c r="K49" s="3152" t="str">
        <f>IF(项目基本情况!E8="房地产抵押价值","房地产抵押价值","抵押担保权已注销时的房地产抵押价值")</f>
        <v>房地产抵押价值</v>
      </c>
      <c r="L49" s="3152"/>
      <c r="M49" s="3155">
        <f ca="1">IF(项目基本情况!E8="房地产抵押价值",H107,H109)</f>
        <v>6561</v>
      </c>
      <c r="N49" s="3155"/>
      <c r="O49" s="3155"/>
    </row>
    <row r="50" spans="1:35" ht="25.5" hidden="1" customHeight="1">
      <c r="A50" s="178"/>
      <c r="B50" s="3200" t="s">
        <v>2197</v>
      </c>
      <c r="C50" s="3200"/>
      <c r="D50" s="179"/>
      <c r="E50" s="31"/>
      <c r="F50" s="180"/>
      <c r="G50" s="3182"/>
      <c r="H50" s="138"/>
      <c r="I50" s="2479"/>
      <c r="J50" s="3152" t="s">
        <v>2198</v>
      </c>
      <c r="K50" s="3152"/>
      <c r="L50" s="3152"/>
      <c r="M50" s="3152"/>
      <c r="N50" s="3152"/>
      <c r="O50" s="3152"/>
    </row>
    <row r="51" spans="1:35" ht="12" hidden="1" customHeight="1">
      <c r="A51" s="181"/>
      <c r="B51" s="3200" t="s">
        <v>2199</v>
      </c>
      <c r="C51" s="3200"/>
      <c r="D51" s="182"/>
      <c r="E51" s="30"/>
      <c r="F51" s="180"/>
      <c r="G51" s="3183"/>
      <c r="H51" s="138"/>
      <c r="I51" s="2479"/>
      <c r="J51" s="2480" t="s">
        <v>2200</v>
      </c>
      <c r="K51" s="3152" t="s">
        <v>2201</v>
      </c>
      <c r="L51" s="3152"/>
      <c r="M51" s="2480" t="s">
        <v>2202</v>
      </c>
      <c r="N51" s="2480" t="s">
        <v>2203</v>
      </c>
      <c r="O51" s="2480" t="s">
        <v>2204</v>
      </c>
    </row>
    <row r="52" spans="1:35" ht="24" hidden="1" customHeight="1">
      <c r="A52" s="183" t="s">
        <v>2205</v>
      </c>
      <c r="B52" s="3200" t="s">
        <v>2206</v>
      </c>
      <c r="C52" s="3200"/>
      <c r="D52" s="182">
        <f ca="1">ROUND(D45*'数据-取费表'!B41/(1+'数据-取费表'!C42),0)</f>
        <v>350</v>
      </c>
      <c r="E52" s="11" t="s">
        <v>2207</v>
      </c>
      <c r="F52" s="184">
        <f>'数据-取费表'!B41</f>
        <v>5.6000000000000001E-2</v>
      </c>
      <c r="G52" s="2481"/>
      <c r="H52" s="138"/>
      <c r="I52" s="2479"/>
      <c r="J52" s="1807">
        <v>1</v>
      </c>
      <c r="K52" s="3175" t="s">
        <v>2208</v>
      </c>
      <c r="L52" s="3175"/>
      <c r="M52" s="1749">
        <f>D48</f>
        <v>0</v>
      </c>
      <c r="N52" s="1807" t="str">
        <f>E48</f>
        <v>销售额×税（费）率</v>
      </c>
      <c r="O52" s="1750" t="str">
        <f>F48</f>
        <v>免征</v>
      </c>
    </row>
    <row r="53" spans="1:35" ht="12" hidden="1" customHeight="1">
      <c r="A53" s="183" t="s">
        <v>2209</v>
      </c>
      <c r="B53" s="3201" t="s">
        <v>2210</v>
      </c>
      <c r="C53" s="3202"/>
      <c r="D53" s="182">
        <f ca="1">ROUND(D45*'数据-取费表'!B41/(1+'数据-取费表'!C42),0)</f>
        <v>350</v>
      </c>
      <c r="E53" s="11" t="s">
        <v>2207</v>
      </c>
      <c r="F53" s="184">
        <f>'数据-取费表'!B41</f>
        <v>5.6000000000000001E-2</v>
      </c>
      <c r="G53" s="2481"/>
      <c r="H53" s="138"/>
      <c r="I53" s="2479"/>
      <c r="J53" s="1807">
        <v>2</v>
      </c>
      <c r="K53" s="3175" t="s">
        <v>2211</v>
      </c>
      <c r="L53" s="3175"/>
      <c r="M53" s="1749">
        <f t="shared" ref="M53:O54" ca="1" si="0">D55</f>
        <v>3</v>
      </c>
      <c r="N53" s="1807" t="str">
        <f t="shared" si="0"/>
        <v>销售额×税（费）率</v>
      </c>
      <c r="O53" s="1750">
        <f t="shared" si="0"/>
        <v>5.0000000000000001E-4</v>
      </c>
    </row>
    <row r="54" spans="1:35" ht="12" hidden="1" customHeight="1">
      <c r="A54" s="183" t="s">
        <v>2212</v>
      </c>
      <c r="B54" s="3201" t="s">
        <v>2213</v>
      </c>
      <c r="C54" s="3202"/>
      <c r="D54" s="182">
        <f ca="1">C68</f>
        <v>350</v>
      </c>
      <c r="E54" s="30" t="s">
        <v>2214</v>
      </c>
      <c r="F54" s="184">
        <f>'数据-取费表'!B41</f>
        <v>5.6000000000000001E-2</v>
      </c>
      <c r="G54" s="2481"/>
      <c r="H54" s="2482"/>
      <c r="I54" s="2479"/>
      <c r="J54" s="1807">
        <v>3</v>
      </c>
      <c r="K54" s="3175" t="s">
        <v>2215</v>
      </c>
      <c r="L54" s="3175"/>
      <c r="M54" s="1749">
        <f t="shared" ca="1" si="0"/>
        <v>3714</v>
      </c>
      <c r="N54" s="1807" t="str">
        <f t="shared" si="0"/>
        <v>增值额×税（费）率</v>
      </c>
      <c r="O54" s="1751" t="str">
        <f t="shared" si="0"/>
        <v>——</v>
      </c>
    </row>
    <row r="55" spans="1:35" ht="24" hidden="1" customHeight="1">
      <c r="A55" s="3240" t="s">
        <v>2216</v>
      </c>
      <c r="B55" s="3221"/>
      <c r="C55" s="3221"/>
      <c r="D55" s="185">
        <f ca="1">IF(H55="个人住宅",0,ROUND(D45*I55,0))</f>
        <v>3</v>
      </c>
      <c r="E55" s="11" t="s">
        <v>2217</v>
      </c>
      <c r="F55" s="184">
        <f>IF(H55="正常",I55,"免征")</f>
        <v>5.0000000000000001E-4</v>
      </c>
      <c r="G55" s="2481"/>
      <c r="H55" s="2478" t="s">
        <v>2218</v>
      </c>
      <c r="I55" s="186">
        <f>'数据-取费表'!B49</f>
        <v>5.0000000000000001E-4</v>
      </c>
      <c r="J55" s="1807" t="str">
        <f>IF(H59="非个人房产","",4)</f>
        <v/>
      </c>
      <c r="K55" s="3175" t="str">
        <f>IF(H59="非个人房产","——","个人所得税")</f>
        <v>——</v>
      </c>
      <c r="L55" s="3175"/>
      <c r="M55" s="1752" t="str">
        <f>D59</f>
        <v>——</v>
      </c>
      <c r="N55" s="1805" t="str">
        <f>E59</f>
        <v>——</v>
      </c>
      <c r="O55" s="1753" t="str">
        <f>F59</f>
        <v>——</v>
      </c>
    </row>
    <row r="56" spans="1:35" ht="24.75" hidden="1">
      <c r="A56" s="3240" t="s">
        <v>2219</v>
      </c>
      <c r="B56" s="3221"/>
      <c r="C56" s="3221"/>
      <c r="D56" s="185">
        <f ca="1">IF(H56="个人住宅",D57,D58)</f>
        <v>3714</v>
      </c>
      <c r="E56" s="11" t="s">
        <v>2220</v>
      </c>
      <c r="F56" s="184" t="str">
        <f>IF(H56="正常",F58,"免征")</f>
        <v>——</v>
      </c>
      <c r="G56" s="2483" t="s">
        <v>2221</v>
      </c>
      <c r="H56" s="2484" t="s">
        <v>2218</v>
      </c>
      <c r="I56" s="2485"/>
      <c r="J56" s="1807" t="str">
        <f>IF(项目基本情况!K6="上海银行",IF(J55="",4,J55+1),"")</f>
        <v/>
      </c>
      <c r="K56" s="3158" t="str">
        <f>IF(项目基本情况!K6="上海银行","其他处置费用","")</f>
        <v/>
      </c>
      <c r="L56" s="3159"/>
      <c r="M56" s="1749" t="str">
        <f>IF(项目基本情况!K6="上海银行",M69,"")</f>
        <v/>
      </c>
      <c r="N56" s="3161" t="str">
        <f>IF(项目基本情况!K6="上海银行","包含处置中涉及的律师、诉讼、拍卖、评估等费用","")</f>
        <v/>
      </c>
      <c r="O56" s="3162"/>
    </row>
    <row r="57" spans="1:35" ht="12.75" hidden="1">
      <c r="A57" s="183" t="s">
        <v>2194</v>
      </c>
      <c r="B57" s="3206" t="s">
        <v>2222</v>
      </c>
      <c r="C57" s="3207"/>
      <c r="D57" s="187">
        <v>0</v>
      </c>
      <c r="E57" s="23" t="s">
        <v>2196</v>
      </c>
      <c r="F57" s="155"/>
      <c r="G57" s="2481"/>
      <c r="H57" s="2485"/>
      <c r="I57" s="2485"/>
      <c r="J57" s="3175">
        <f>IF(AND(J55="",J56=""),4,IF(项目基本情况!K6="上海银行",'结果表（四羊方尊）'!J56+1,'结果表（四羊方尊）'!J55+1))</f>
        <v>4</v>
      </c>
      <c r="K57" s="3175" t="s">
        <v>2223</v>
      </c>
      <c r="L57" s="2486" t="s">
        <v>2224</v>
      </c>
      <c r="M57" s="1754"/>
      <c r="N57" s="1755">
        <f ca="1">SUMIF(M52:M56,"&lt;9e307")</f>
        <v>3717</v>
      </c>
      <c r="O57" s="2487"/>
      <c r="P57" s="1748">
        <f ca="1">N57/M49</f>
        <v>0.56652949245541839</v>
      </c>
    </row>
    <row r="58" spans="1:35" ht="24.75" hidden="1">
      <c r="A58" s="183" t="s">
        <v>2205</v>
      </c>
      <c r="B58" s="3206" t="s">
        <v>2225</v>
      </c>
      <c r="C58" s="3219"/>
      <c r="D58" s="185">
        <f ca="1">IF(H58="转让取得",C81,C97)</f>
        <v>3714</v>
      </c>
      <c r="E58" s="11" t="s">
        <v>2220</v>
      </c>
      <c r="F58" s="24" t="s">
        <v>34</v>
      </c>
      <c r="G58" s="2481"/>
      <c r="H58" s="2484" t="s">
        <v>2226</v>
      </c>
      <c r="I58" s="2485"/>
      <c r="J58" s="3175"/>
      <c r="K58" s="3175"/>
      <c r="L58" s="2486" t="s">
        <v>2227</v>
      </c>
      <c r="M58" s="1756"/>
      <c r="N58" s="2488" t="str">
        <f ca="1">NUMBERSTRING(INT(N57*10000),2)&amp;"元整"</f>
        <v>叁仟柒佰壹拾柒万元整</v>
      </c>
      <c r="O58" s="2489"/>
    </row>
    <row r="59" spans="1:35" ht="24.75" hidden="1" thickBot="1">
      <c r="A59" s="3179" t="s">
        <v>2228</v>
      </c>
      <c r="B59" s="3180"/>
      <c r="C59" s="3180"/>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77">
        <f>J57+1</f>
        <v>5</v>
      </c>
      <c r="K59" s="3175" t="s">
        <v>2230</v>
      </c>
      <c r="L59" s="1807" t="s">
        <v>2224</v>
      </c>
      <c r="M59" s="1757"/>
      <c r="N59" s="1758">
        <f ca="1">M49-N57</f>
        <v>2844</v>
      </c>
      <c r="O59" s="2491"/>
    </row>
    <row r="60" spans="1:35" ht="12" hidden="1" customHeight="1">
      <c r="A60" s="2492"/>
      <c r="B60" s="2414"/>
      <c r="C60" s="2414"/>
      <c r="D60" s="2414"/>
      <c r="E60" s="2161"/>
      <c r="F60" s="2485"/>
      <c r="G60" s="2485"/>
      <c r="H60" s="2493"/>
      <c r="I60" s="138"/>
      <c r="J60" s="3178"/>
      <c r="K60" s="3175"/>
      <c r="L60" s="2486" t="s">
        <v>2227</v>
      </c>
      <c r="M60" s="1756"/>
      <c r="N60" s="2488" t="str">
        <f ca="1">NUMBERSTRING(INT(N59*10000),2)&amp;"元整"</f>
        <v>贰仟捌佰肆拾肆万元整</v>
      </c>
      <c r="O60" s="2489"/>
    </row>
    <row r="61" spans="1:35" ht="13.5" hidden="1" thickBot="1">
      <c r="A61" s="3239" t="s">
        <v>2231</v>
      </c>
      <c r="B61" s="3239"/>
      <c r="C61" s="3239"/>
      <c r="D61" s="3239"/>
      <c r="E61" s="3239"/>
      <c r="F61" s="2485"/>
      <c r="G61" s="2485"/>
      <c r="H61" s="2493"/>
      <c r="I61" s="138"/>
      <c r="J61" s="1807">
        <f>J59+1</f>
        <v>6</v>
      </c>
      <c r="K61" s="3175" t="s">
        <v>2232</v>
      </c>
      <c r="L61" s="3175"/>
      <c r="M61" s="1759"/>
      <c r="N61" s="1760">
        <f ca="1">ROUND(N59*10000/'数据-汇总表'!E3,0)</f>
        <v>2640</v>
      </c>
      <c r="O61" s="2494"/>
    </row>
    <row r="62" spans="1:35" ht="12.75" hidden="1">
      <c r="A62" s="3195" t="s">
        <v>2233</v>
      </c>
      <c r="B62" s="3196"/>
      <c r="C62" s="1799"/>
      <c r="D62" s="1799" t="s">
        <v>2234</v>
      </c>
      <c r="E62" s="192" t="s">
        <v>2235</v>
      </c>
      <c r="F62" s="2485"/>
      <c r="G62" s="2485"/>
      <c r="H62" s="2493"/>
      <c r="I62" s="138"/>
    </row>
    <row r="63" spans="1:35" ht="12.75" hidden="1">
      <c r="A63" s="203" t="s">
        <v>775</v>
      </c>
      <c r="B63" s="193" t="s">
        <v>2236</v>
      </c>
      <c r="C63" s="194">
        <f ca="1">ROUND((C64+C65)/(1+'数据-取费表'!C42),0)</f>
        <v>6249</v>
      </c>
      <c r="D63" s="195"/>
      <c r="E63" s="196"/>
      <c r="F63" s="2485"/>
      <c r="G63" s="2485"/>
      <c r="H63" s="2493"/>
      <c r="I63" s="138"/>
      <c r="J63" s="3160" t="s">
        <v>2237</v>
      </c>
      <c r="K63" s="2495" t="s">
        <v>2238</v>
      </c>
      <c r="L63" s="1747">
        <f ca="1">IF(M49&gt;10000,M49*0.5%,IF(AND(M49&gt;1000,M49&lt;=10000),M49*1%,IF(AND(M49&gt;100,M49&lt;=1000),M49*3%,IF(AND(M49&gt;10,M49&lt;=100),M49*5%,M49*8%))))</f>
        <v>65.61</v>
      </c>
      <c r="M63" s="24">
        <f ca="1">ROUND(L63,1)</f>
        <v>65.599999999999994</v>
      </c>
      <c r="Z63" s="2419"/>
      <c r="AI63" s="2420"/>
    </row>
    <row r="64" spans="1:35" ht="14.25" hidden="1" customHeight="1">
      <c r="A64" s="197" t="s">
        <v>770</v>
      </c>
      <c r="B64" s="198" t="s">
        <v>2239</v>
      </c>
      <c r="C64" s="199">
        <f ca="1">D45</f>
        <v>6561</v>
      </c>
      <c r="D64" s="200" t="s">
        <v>32</v>
      </c>
      <c r="E64" s="201"/>
      <c r="F64" s="2485"/>
      <c r="G64" s="2485"/>
      <c r="H64" s="2493"/>
      <c r="I64" s="138"/>
      <c r="J64" s="3160"/>
      <c r="K64" s="2495" t="s">
        <v>2240</v>
      </c>
      <c r="L64" s="1747">
        <f ca="1">IF(M49&gt;2000,M49*0.5%,IF(AND(M49&gt;1000,M49&lt;=2000),M49*0.6%,IF(AND(M49&gt;500,M49&lt;=1000),M49*0.7%,IF(AND(M49&gt;200,M49&lt;=500),M49*0.8%,IF(AND(M49&gt;100,M49&lt;=200),M49*0.9%,IF(AND(M49&gt;50,M49&lt;=100),M49*1%,IF(AND(M49&gt;20,M49&lt;=50),M49*1.5%,IF(AND(M49&gt;10,M49&lt;=20),M49*2%,IF(AND(M49&gt;1,M49&lt;=10),M49*2.5%)))))))))</f>
        <v>32.805</v>
      </c>
      <c r="M64" s="24">
        <f t="shared" ref="M64:M65" ca="1" si="1">ROUND(L64,1)</f>
        <v>32.799999999999997</v>
      </c>
      <c r="N64" s="138" t="s">
        <v>2241</v>
      </c>
      <c r="Z64" s="2419"/>
      <c r="AI64" s="2420"/>
    </row>
    <row r="65" spans="1:35" ht="14.25" hidden="1" customHeight="1">
      <c r="A65" s="197" t="s">
        <v>771</v>
      </c>
      <c r="B65" s="198" t="s">
        <v>2242</v>
      </c>
      <c r="C65" s="202"/>
      <c r="D65" s="200"/>
      <c r="E65" s="201"/>
      <c r="F65" s="2485"/>
      <c r="G65" s="2485"/>
      <c r="H65" s="2493"/>
      <c r="I65" s="138"/>
      <c r="J65" s="3160"/>
      <c r="K65" s="2495" t="s">
        <v>2243</v>
      </c>
      <c r="L65" s="1747">
        <f ca="1">IF(M49&gt;1000,M49*0.1%,IF(AND(M49&gt;500,M49&lt;=1000),M49*0.5%,IF(AND(M49&gt;50,M49&lt;=500),M49*1%,IF(AND(M49&gt;1,M49&lt;=50),M49*1.5%))))</f>
        <v>6.5609999999999999</v>
      </c>
      <c r="M65" s="24">
        <f t="shared" ca="1" si="1"/>
        <v>6.6</v>
      </c>
      <c r="N65" s="138" t="s">
        <v>2241</v>
      </c>
      <c r="Z65" s="2419"/>
      <c r="AI65" s="2420"/>
    </row>
    <row r="66" spans="1:35" ht="14.25" hidden="1" customHeight="1">
      <c r="A66" s="203" t="s">
        <v>772</v>
      </c>
      <c r="B66" s="204" t="s">
        <v>2244</v>
      </c>
      <c r="C66" s="205"/>
      <c r="D66" s="206" t="s">
        <v>32</v>
      </c>
      <c r="E66" s="1771" t="s">
        <v>1367</v>
      </c>
      <c r="F66" s="2485"/>
      <c r="G66" s="2485"/>
      <c r="H66" s="2493"/>
      <c r="I66" s="138"/>
      <c r="J66" s="3160"/>
      <c r="K66" s="2495" t="s">
        <v>2245</v>
      </c>
      <c r="L66" s="1747">
        <f ca="1">M49*0.5%</f>
        <v>32.805</v>
      </c>
      <c r="M66" s="24">
        <f ca="1">IF(L66&gt;0.5,0.5,ROUND(L66,0))</f>
        <v>0.5</v>
      </c>
      <c r="N66" s="138" t="s">
        <v>2246</v>
      </c>
      <c r="Z66" s="2419"/>
      <c r="AI66" s="2420"/>
    </row>
    <row r="67" spans="1:35" ht="14.25" hidden="1" customHeight="1">
      <c r="A67" s="203" t="s">
        <v>773</v>
      </c>
      <c r="B67" s="204" t="s">
        <v>2247</v>
      </c>
      <c r="C67" s="207">
        <f ca="1">C63-C66</f>
        <v>6249</v>
      </c>
      <c r="D67" s="200" t="s">
        <v>32</v>
      </c>
      <c r="E67" s="201"/>
      <c r="F67" s="2485"/>
      <c r="G67" s="2485"/>
      <c r="H67" s="2493"/>
      <c r="I67" s="138"/>
      <c r="J67" s="3160"/>
      <c r="K67" s="2495" t="s">
        <v>2248</v>
      </c>
      <c r="L67" s="1747">
        <f ca="1">IF(M49&gt;=10000,(8.25+(M49-10000)*0.01%),IF(AND(M49&gt;=8000,M49&lt;10000),(7.85+(M49-8000)*0.02%),IF(AND(M49&gt;=5000,M49&lt;8000),(6.65+(M49-5000)*0.04%),IF(AND(M49&gt;=2000,M49&lt;5000),(4.25+(PM49-2000)*0.08%),IF(AND(M49&gt;=1000,M49&lt;2000),(2.75+(M49-1000)*0.15%),IF(AND(M49&gt;=100,M49&lt;1000),(0.5+(M49-100)*0.25%),IF(AND(M49&gt;0,M49&lt;100),M49*0.5%)))))))</f>
        <v>7.2744</v>
      </c>
      <c r="M67" s="24">
        <f ca="1">ROUND(L67*0.9,1)</f>
        <v>6.5</v>
      </c>
      <c r="Z67" s="2419"/>
      <c r="AI67" s="2420"/>
    </row>
    <row r="68" spans="1:35" ht="14.25" hidden="1" customHeight="1" thickBot="1">
      <c r="A68" s="208" t="s">
        <v>774</v>
      </c>
      <c r="B68" s="209" t="s">
        <v>2249</v>
      </c>
      <c r="C68" s="210">
        <f ca="1">IF(C67&lt;=0,0,ROUND(C67*D68,0))</f>
        <v>350</v>
      </c>
      <c r="D68" s="211">
        <f>'数据-取费表'!B41</f>
        <v>5.6000000000000001E-2</v>
      </c>
      <c r="E68" s="212"/>
      <c r="F68" s="2485"/>
      <c r="G68" s="2485"/>
      <c r="H68" s="2493"/>
      <c r="I68" s="138"/>
      <c r="J68" s="3160"/>
      <c r="K68" s="2495" t="s">
        <v>2250</v>
      </c>
      <c r="L68" s="1747">
        <f ca="1">IF(M49&gt;10000,M49*0.5%,IF(AND(M49&gt;5000,M49&lt;=10000),M49*1%,IF(AND(M49&gt;1000,M49&lt;=5000),M49*2%,IF(AND(M49&gt;200,M49&lt;=1000),M49*3%,M49*5%))))</f>
        <v>65.61</v>
      </c>
      <c r="M68" s="24">
        <f ca="1">ROUND(L68,1)</f>
        <v>65.599999999999994</v>
      </c>
      <c r="Z68" s="2419"/>
      <c r="AI68" s="2420"/>
    </row>
    <row r="69" spans="1:35" s="2442" customFormat="1" ht="16.5" hidden="1" customHeight="1">
      <c r="A69" s="2496"/>
      <c r="B69" s="2497"/>
      <c r="C69" s="2498"/>
      <c r="D69" s="2499"/>
      <c r="E69" s="2500"/>
      <c r="F69" s="2161"/>
      <c r="G69" s="2161"/>
      <c r="H69" s="2160"/>
      <c r="I69" s="2414"/>
      <c r="J69" s="3160"/>
      <c r="K69" s="2495" t="s">
        <v>2251</v>
      </c>
      <c r="L69" s="2501"/>
      <c r="M69" s="24">
        <f ca="1">ROUND(SUM(M63:M68),0)</f>
        <v>178</v>
      </c>
      <c r="N69" s="1748">
        <f ca="1">M69/M49</f>
        <v>2.7130010669105319E-2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04" t="s">
        <v>2252</v>
      </c>
      <c r="B70" s="3205"/>
      <c r="C70" s="3205"/>
      <c r="D70" s="3205"/>
      <c r="E70" s="3205"/>
      <c r="F70" s="3205"/>
      <c r="G70" s="3205"/>
      <c r="H70" s="320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5" t="s">
        <v>2233</v>
      </c>
      <c r="B71" s="3196"/>
      <c r="C71" s="1799"/>
      <c r="D71" s="1799"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2253</v>
      </c>
      <c r="C72" s="207">
        <f ca="1">ROUND(D45/(1+'数据-取费表'!C42),0)</f>
        <v>6249</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2254</v>
      </c>
      <c r="C73" s="207">
        <f ca="1">C74+C78</f>
        <v>37</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2255</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2260</v>
      </c>
      <c r="C76" s="200">
        <f>IF(F75="购房发票",ROUND(C75*H75*D76,0),0)</f>
        <v>0</v>
      </c>
      <c r="D76" s="222">
        <v>0.05</v>
      </c>
      <c r="E76" s="3201" t="s">
        <v>2261</v>
      </c>
      <c r="F76" s="3200"/>
      <c r="G76" s="3200"/>
      <c r="H76" s="320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9" t="s">
        <v>2264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2265</v>
      </c>
      <c r="C78" s="225">
        <f ca="1">ROUND(D45*D78/(1+'数据-取费表'!C42),0)</f>
        <v>37</v>
      </c>
      <c r="D78" s="226">
        <f>'数据-取费表'!B43</f>
        <v>6.000000000000001E-3</v>
      </c>
      <c r="E78" s="3192" t="s">
        <v>2266</v>
      </c>
      <c r="F78" s="3193"/>
      <c r="G78" s="3193"/>
      <c r="H78" s="319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2267</v>
      </c>
      <c r="C79" s="207">
        <f ca="1">C72-C73</f>
        <v>6212</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2268</v>
      </c>
      <c r="C80" s="227">
        <f ca="1">IF(C79&lt;=0,0,C79/C73)</f>
        <v>167.8918918918919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2269</v>
      </c>
      <c r="C81" s="228">
        <f ca="1">ROUND(IF(C79&lt;=0,0,IF(C80&gt;=200%,C79*60%-C73*35%,IF(C80&gt;=100%,C79*50%-C73*15%,IF(C80&gt;=50%,C79*40%-C73*5%,IF(C80&lt;50%,C79*30%,0))))),0)</f>
        <v>3714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04" t="s">
        <v>2270</v>
      </c>
      <c r="B83" s="3205"/>
      <c r="C83" s="3205"/>
      <c r="D83" s="3205"/>
      <c r="E83" s="3205"/>
      <c r="F83" s="3205"/>
      <c r="G83" s="3205"/>
      <c r="H83" s="320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5" t="s">
        <v>2233</v>
      </c>
      <c r="B84" s="3196"/>
      <c r="C84" s="1799"/>
      <c r="D84" s="1799"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2253</v>
      </c>
      <c r="C85" s="207">
        <f ca="1">ROUND(D45/(1+'数据-取费表'!C42),0)</f>
        <v>6249</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2254</v>
      </c>
      <c r="C86" s="207">
        <f ca="1">IF(H88="仅含出让金",C87+C90+C91+C92+C93+C94,C87+C91+C92+C93+C94)</f>
        <v>37</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2271</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2272</v>
      </c>
      <c r="C88" s="236"/>
      <c r="D88" s="226"/>
      <c r="E88" s="237" t="s">
        <v>2273</v>
      </c>
      <c r="F88" s="1795"/>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2262</v>
      </c>
      <c r="C89" s="225">
        <f>ROUND(C88*D89,0)</f>
        <v>0</v>
      </c>
      <c r="D89" s="226">
        <f>'数据-取费表'!B48+'数据-取费表'!B49</f>
        <v>3.0499999999999999E-2</v>
      </c>
      <c r="E89" s="237" t="s">
        <v>2275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2276</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2277</v>
      </c>
      <c r="B91" s="198" t="s">
        <v>2278</v>
      </c>
      <c r="C91" s="225">
        <f>IF(H91="——",'成本法（四羊方尊）'!C33,I91)</f>
        <v>0</v>
      </c>
      <c r="D91" s="226"/>
      <c r="E91" s="3192" t="s">
        <v>2279</v>
      </c>
      <c r="F91" s="3193"/>
      <c r="G91" s="3193"/>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2281</v>
      </c>
      <c r="B92" s="198" t="s">
        <v>2282</v>
      </c>
      <c r="C92" s="225">
        <f>ROUND((C87+C90+C91)*D92,0)</f>
        <v>0</v>
      </c>
      <c r="D92" s="226">
        <v>0.1</v>
      </c>
      <c r="E92" s="3192" t="s">
        <v>2283</v>
      </c>
      <c r="F92" s="3193"/>
      <c r="G92" s="3193"/>
      <c r="H92" s="319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2284</v>
      </c>
      <c r="B93" s="198" t="s">
        <v>2265</v>
      </c>
      <c r="C93" s="225">
        <f ca="1">ROUND(D45*D93/(1+'数据-取费表'!C42),0)</f>
        <v>37</v>
      </c>
      <c r="D93" s="226">
        <f>'数据-取费表'!B43</f>
        <v>6.000000000000001E-3</v>
      </c>
      <c r="E93" s="3192" t="s">
        <v>2266</v>
      </c>
      <c r="F93" s="3193"/>
      <c r="G93" s="3193"/>
      <c r="H93" s="319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2285</v>
      </c>
      <c r="B94" s="198" t="s">
        <v>2286</v>
      </c>
      <c r="C94" s="236">
        <f>ROUND((C87+C90+C91)*D94,0)</f>
        <v>0</v>
      </c>
      <c r="D94" s="226">
        <v>0.2</v>
      </c>
      <c r="E94" s="3244" t="s">
        <v>2287</v>
      </c>
      <c r="F94" s="3245"/>
      <c r="G94" s="3245"/>
      <c r="H94" s="32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2267</v>
      </c>
      <c r="C95" s="207">
        <f ca="1">ROUND(C85-C86,0)</f>
        <v>6212</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2268</v>
      </c>
      <c r="C96" s="227">
        <f ca="1">IF(C95&lt;=0,0,C95/C86)</f>
        <v>167.8918918918919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2269</v>
      </c>
      <c r="C97" s="228">
        <f ca="1">ROUND(IF(C95&lt;=0,0,IF(C96&gt;=200%,C95*60%-C86*35%,IF(C96&gt;=100%,C95*50%-C86*15%,IF(C96&gt;=50%,C95*40%-C86*5%,IF(C96&lt;50%,C95*30%,0))))),0)</f>
        <v>3714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142" t="s">
        <v>2289</v>
      </c>
      <c r="B100" s="3143"/>
      <c r="C100" s="3143"/>
      <c r="D100" s="3176"/>
      <c r="E100" s="3143" t="s">
        <v>2290</v>
      </c>
      <c r="F100" s="3143"/>
      <c r="G100" s="3143"/>
      <c r="H100" s="3176"/>
      <c r="I100" s="138"/>
    </row>
    <row r="101" spans="1:35" ht="18.75" customHeight="1">
      <c r="A101" s="3184" t="s">
        <v>2291</v>
      </c>
      <c r="B101" s="3185"/>
      <c r="C101" s="736" t="str">
        <f>C4</f>
        <v>成本法（四羊方尊）</v>
      </c>
      <c r="D101" s="737" t="str">
        <f>D4</f>
        <v>收益法（四羊方尊）</v>
      </c>
      <c r="E101" s="3156" t="s">
        <v>2292</v>
      </c>
      <c r="F101" s="3157"/>
      <c r="G101" s="2516" t="s">
        <v>2293</v>
      </c>
      <c r="H101" s="1045">
        <f ca="1">H118</f>
        <v>6561</v>
      </c>
      <c r="I101" s="138"/>
    </row>
    <row r="102" spans="1:35" ht="18.75" customHeight="1">
      <c r="A102" s="3186" t="s">
        <v>2294</v>
      </c>
      <c r="B102" s="2516" t="s">
        <v>2293</v>
      </c>
      <c r="C102" s="736">
        <f ca="1">C19</f>
        <v>8225</v>
      </c>
      <c r="D102" s="737">
        <f ca="1">D19</f>
        <v>2679</v>
      </c>
      <c r="E102" s="3156"/>
      <c r="F102" s="3157"/>
      <c r="G102" s="2516" t="s">
        <v>2295</v>
      </c>
      <c r="H102" s="371">
        <f ca="1">I118</f>
        <v>11704</v>
      </c>
      <c r="I102" s="138"/>
    </row>
    <row r="103" spans="1:35" ht="42.75" customHeight="1">
      <c r="A103" s="3186"/>
      <c r="B103" s="2516" t="s">
        <v>2295</v>
      </c>
      <c r="C103" s="738">
        <f ca="1">C20</f>
        <v>14673</v>
      </c>
      <c r="D103" s="739">
        <f ca="1">D20</f>
        <v>4779</v>
      </c>
      <c r="E103" s="3150" t="s">
        <v>2296</v>
      </c>
      <c r="F103" s="3151"/>
      <c r="G103" s="2517" t="s">
        <v>2297</v>
      </c>
      <c r="H103" s="1045">
        <f>IF(D36="正常操作",H104+H105+H106,H105+H106)</f>
        <v>0</v>
      </c>
      <c r="I103" s="138"/>
    </row>
    <row r="104" spans="1:35" ht="18.75" customHeight="1">
      <c r="A104" s="3186" t="s">
        <v>2298</v>
      </c>
      <c r="B104" s="2518" t="s">
        <v>2293</v>
      </c>
      <c r="C104" s="740">
        <f ca="1">H118</f>
        <v>6561</v>
      </c>
      <c r="D104" s="741"/>
      <c r="E104" s="2262" t="s">
        <v>2299</v>
      </c>
      <c r="F104" s="2253"/>
      <c r="G104" s="2517" t="s">
        <v>2297</v>
      </c>
      <c r="H104" s="1046">
        <f>IF(D36="同一抵押权人同一抵押物续贷",C36&amp;"（未扣减，详见特别提示）",C36)</f>
        <v>0</v>
      </c>
      <c r="I104" s="138"/>
    </row>
    <row r="105" spans="1:35" ht="18.75" customHeight="1" thickBot="1">
      <c r="A105" s="3198"/>
      <c r="B105" s="2519" t="s">
        <v>2295</v>
      </c>
      <c r="C105" s="742">
        <f ca="1">I118</f>
        <v>11704</v>
      </c>
      <c r="D105" s="743"/>
      <c r="E105" s="2262" t="s">
        <v>2300</v>
      </c>
      <c r="F105" s="2253"/>
      <c r="G105" s="2517" t="s">
        <v>2297</v>
      </c>
      <c r="H105" s="1046">
        <f>C37</f>
        <v>0</v>
      </c>
      <c r="I105" s="138"/>
    </row>
    <row r="106" spans="1:35" ht="18.75" customHeight="1">
      <c r="A106" s="2414" t="s">
        <v>2301</v>
      </c>
      <c r="B106" s="2414"/>
      <c r="C106" s="2414"/>
      <c r="D106" s="2414"/>
      <c r="E106" s="2520" t="s">
        <v>2302</v>
      </c>
      <c r="F106" s="2253"/>
      <c r="G106" s="2517" t="s">
        <v>2297</v>
      </c>
      <c r="H106" s="1046">
        <f>C38</f>
        <v>0</v>
      </c>
      <c r="I106" s="138"/>
    </row>
    <row r="107" spans="1:35" ht="18.75" customHeight="1">
      <c r="A107" s="138"/>
      <c r="B107" s="138"/>
      <c r="C107" s="138"/>
      <c r="D107" s="138"/>
      <c r="E107" s="3187" t="str">
        <f>IF(项目基本情况!E8="已注销","——","3.房地产抵押价值")</f>
        <v>3.房地产抵押价值</v>
      </c>
      <c r="F107" s="3157"/>
      <c r="G107" s="2516" t="s">
        <v>2293</v>
      </c>
      <c r="H107" s="1045">
        <f ca="1">IF(E107="——","——",H101-H103)</f>
        <v>6561</v>
      </c>
      <c r="I107" s="138"/>
    </row>
    <row r="108" spans="1:35" ht="18.75" customHeight="1">
      <c r="A108" s="138"/>
      <c r="B108" s="138"/>
      <c r="C108" s="138"/>
      <c r="D108" s="138"/>
      <c r="E108" s="3187"/>
      <c r="F108" s="3157"/>
      <c r="G108" s="2516" t="s">
        <v>2295</v>
      </c>
      <c r="H108" s="371">
        <f ca="1">ROUND(H107*10000/'数据-汇总表'!E3,0)</f>
        <v>6091</v>
      </c>
      <c r="I108" s="138"/>
    </row>
    <row r="109" spans="1:35" ht="18.75" customHeight="1">
      <c r="A109" s="138"/>
      <c r="B109" s="138"/>
      <c r="C109" s="138"/>
      <c r="D109" s="138"/>
      <c r="E109" s="3187" t="str">
        <f>IF(项目基本情况!E8="已注销及未注销","4.抵押担保权已注销时的房地产抵押价值",IF(项目基本情况!E8="已注销","3.抵押担保权已注销时的房地产抵押价值","——"))</f>
        <v>——</v>
      </c>
      <c r="F109" s="3157"/>
      <c r="G109" s="2516" t="s">
        <v>2293</v>
      </c>
      <c r="H109" s="348" t="str">
        <f>IF(E109="——","——",H101-H105-H106)</f>
        <v>——</v>
      </c>
      <c r="I109" s="138"/>
    </row>
    <row r="110" spans="1:35" ht="18.75" customHeight="1">
      <c r="A110" s="138"/>
      <c r="B110" s="138"/>
      <c r="C110" s="138"/>
      <c r="D110" s="138"/>
      <c r="E110" s="3187"/>
      <c r="F110" s="3157"/>
      <c r="G110" s="2516" t="s">
        <v>2295</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6" t="s">
        <v>2293</v>
      </c>
      <c r="H111" s="1045" t="str">
        <f>IF(E111="——","——",N59)</f>
        <v>——</v>
      </c>
      <c r="I111" s="138"/>
    </row>
    <row r="112" spans="1:35" ht="18.75" customHeight="1" thickBot="1">
      <c r="A112" s="138"/>
      <c r="B112" s="138"/>
      <c r="C112" s="138"/>
      <c r="D112" s="138"/>
      <c r="E112" s="3190"/>
      <c r="F112" s="3191"/>
      <c r="G112" s="2521" t="s">
        <v>2295</v>
      </c>
      <c r="H112" s="790" t="str">
        <f>IF(E111="——","——",N61)</f>
        <v>——</v>
      </c>
      <c r="I112" s="138"/>
    </row>
    <row r="113" spans="1:11" ht="18.75" customHeight="1">
      <c r="A113" s="138"/>
      <c r="B113" s="138"/>
      <c r="C113" s="138"/>
      <c r="D113" s="138"/>
      <c r="E113" s="3199" t="s">
        <v>2301</v>
      </c>
      <c r="F113" s="3199"/>
      <c r="G113" s="3199"/>
      <c r="H113" s="3199"/>
      <c r="I113" s="138"/>
    </row>
    <row r="114" spans="1:11" ht="3.75" customHeight="1">
      <c r="A114" s="2414"/>
      <c r="B114" s="2414"/>
      <c r="C114" s="2414"/>
      <c r="D114" s="2414"/>
      <c r="E114" s="2492"/>
      <c r="F114" s="2492"/>
      <c r="G114" s="2492"/>
      <c r="H114" s="2492"/>
      <c r="I114" s="2414"/>
    </row>
    <row r="115" spans="1:11" ht="18.75" customHeight="1">
      <c r="A115" s="3212" t="s">
        <v>2303</v>
      </c>
      <c r="B115" s="3213"/>
      <c r="C115" s="3213"/>
      <c r="D115" s="3213"/>
      <c r="E115" s="3213"/>
      <c r="F115" s="3213"/>
      <c r="G115" s="3213"/>
      <c r="H115" s="3213"/>
      <c r="I115" s="3214"/>
    </row>
    <row r="116" spans="1:11" ht="27" customHeight="1">
      <c r="A116" s="3115" t="s">
        <v>2304</v>
      </c>
      <c r="B116" s="3166" t="s">
        <v>3056</v>
      </c>
      <c r="C116" s="3166" t="s">
        <v>3361</v>
      </c>
      <c r="D116" s="3172" t="s">
        <v>2305</v>
      </c>
      <c r="E116" s="3173"/>
      <c r="F116" s="3208" t="s">
        <v>3362</v>
      </c>
      <c r="G116" s="3208"/>
      <c r="H116" s="3115" t="s">
        <v>2306</v>
      </c>
      <c r="I116" s="3115"/>
    </row>
    <row r="117" spans="1:11" ht="18.75" customHeight="1">
      <c r="A117" s="3115"/>
      <c r="B117" s="3167"/>
      <c r="C117" s="3167"/>
      <c r="D117" s="1793" t="s">
        <v>2307</v>
      </c>
      <c r="E117" s="1793" t="s">
        <v>2308</v>
      </c>
      <c r="F117" s="1793" t="s">
        <v>2307</v>
      </c>
      <c r="G117" s="1793" t="s">
        <v>2309</v>
      </c>
      <c r="H117" s="1793" t="s">
        <v>2307</v>
      </c>
      <c r="I117" s="1793" t="s">
        <v>2309</v>
      </c>
    </row>
    <row r="118" spans="1:11" ht="24.75" customHeight="1">
      <c r="A118" s="2522" t="str">
        <f>项目基本情况!S2</f>
        <v>贵州省遵义市仁怀市盐津街道办事处城南社区酒都广场局部房地产房地产</v>
      </c>
      <c r="B118" s="1793">
        <f>M18</f>
        <v>5605.68</v>
      </c>
      <c r="C118" s="1793">
        <f>M19</f>
        <v>0</v>
      </c>
      <c r="D118" s="1793">
        <f ca="1">ROUND(IF(D32="总价",C34,E118*B118/10000),0)</f>
        <v>1161</v>
      </c>
      <c r="E118" s="1793">
        <f ca="1">ROUND(IF(C33="自定义",IF(D32="楼面单价",C34,D118*10000/B118),I118-G118),0)</f>
        <v>2071</v>
      </c>
      <c r="F118" s="1793">
        <f ca="1">ROUND(IF(D32="总价",C35,G118*B118/10000),0)</f>
        <v>5400</v>
      </c>
      <c r="G118" s="1793">
        <f ca="1">ROUND(IF(D32="楼面单价",C35,F118*10000/B118),0)</f>
        <v>9633</v>
      </c>
      <c r="H118" s="1793">
        <f ca="1">ROUND(IF(D32="总价",C32,I118*B118/10000),0)</f>
        <v>6561</v>
      </c>
      <c r="I118" s="1793">
        <f ca="1">ROUND(IF(D32="楼面单价",C32,H118*10000/B118),0)</f>
        <v>11704</v>
      </c>
    </row>
    <row r="119" spans="1:11" ht="18.75" customHeight="1">
      <c r="A119" s="3115" t="s">
        <v>2310</v>
      </c>
      <c r="B119" s="3115"/>
      <c r="C119" s="3115"/>
      <c r="D119" s="3168" t="str">
        <f ca="1">NUMBERSTRING(INT(D118*10000),2)&amp;"元整"</f>
        <v>壹仟壹佰陆拾壹万元整</v>
      </c>
      <c r="E119" s="3169"/>
      <c r="F119" s="3168" t="str">
        <f ca="1">NUMBERSTRING(INT(F118*10000),2)&amp;"元整"</f>
        <v>伍仟肆佰万元整</v>
      </c>
      <c r="G119" s="3169"/>
      <c r="H119" s="3168" t="str">
        <f ca="1">NUMBERSTRING(INT(H118*10000),2)&amp;"元整"</f>
        <v>陆仟伍佰陆拾壹万元整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9" t="str">
        <f>IF(D120=0,"故，本次评估不存在"&amp;A120,"故，本次评估"&amp;A120&amp;"为人民币"&amp;D120&amp;"万元整。")</f>
        <v>故，本次评估不存在估价师知悉的法定优先受偿款</v>
      </c>
    </row>
    <row r="121" spans="1:11" ht="18.75" customHeight="1">
      <c r="A121" s="3209" t="s">
        <v>2310</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房地产抵押价值</v>
      </c>
      <c r="B122" s="3174"/>
      <c r="C122" s="3174"/>
      <c r="D122" s="3163">
        <f ca="1">H107</f>
        <v>6561</v>
      </c>
      <c r="E122" s="3164"/>
      <c r="F122" s="3164"/>
      <c r="G122" s="3164"/>
      <c r="H122" s="3164"/>
      <c r="I122" s="3165"/>
    </row>
    <row r="123" spans="1:11" ht="18.75" customHeight="1">
      <c r="A123" s="3115" t="s">
        <v>2310</v>
      </c>
      <c r="B123" s="3115"/>
      <c r="C123" s="3115"/>
      <c r="D123" s="3168" t="str">
        <f ca="1">NUMBERSTRING(INT(D122*10000),2)&amp;"元整"</f>
        <v>陆仟伍佰陆拾壹万元整</v>
      </c>
      <c r="E123" s="3170"/>
      <c r="F123" s="3170"/>
      <c r="G123" s="3170"/>
      <c r="H123" s="3170"/>
      <c r="I123" s="3169"/>
    </row>
    <row r="124" spans="1:11" ht="18.75" customHeight="1">
      <c r="A124" s="3174" t="str">
        <f>IF(项目基本情况!B9="房地产市场价值","",MID(E109,3,LEN(E109)-2))</f>
        <v/>
      </c>
      <c r="B124" s="3174"/>
      <c r="C124" s="3174"/>
      <c r="D124" s="3163" t="str">
        <f>H109</f>
        <v>——</v>
      </c>
      <c r="E124" s="3164"/>
      <c r="F124" s="3164"/>
      <c r="G124" s="3164"/>
      <c r="H124" s="3164"/>
      <c r="I124" s="3165"/>
    </row>
    <row r="125" spans="1:11" ht="18.75" customHeight="1">
      <c r="A125" s="3115" t="s">
        <v>2310</v>
      </c>
      <c r="B125" s="3115"/>
      <c r="C125" s="3115"/>
      <c r="D125" s="3168" t="e">
        <f>NUMBERSTRING(INT(D124*10000),2)&amp;"元整"</f>
        <v>#VALUE!</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15" t="s">
        <v>2310</v>
      </c>
      <c r="B127" s="3115"/>
      <c r="C127" s="3115"/>
      <c r="D127" s="3168" t="e">
        <f>NUMBERSTRING(INT(D126*10000),2)&amp;"元整"</f>
        <v>#VALUE!</v>
      </c>
      <c r="E127" s="3170"/>
      <c r="F127" s="3170"/>
      <c r="G127" s="3170"/>
      <c r="H127" s="3170"/>
      <c r="I127" s="3169"/>
    </row>
    <row r="128" spans="1:11" ht="21.75" customHeight="1">
      <c r="A128" s="3171" t="s">
        <v>2311</v>
      </c>
      <c r="B128" s="3171"/>
      <c r="C128" s="3171"/>
      <c r="D128" s="3171"/>
      <c r="E128" s="3171"/>
      <c r="F128" s="3171"/>
      <c r="G128" s="3171"/>
      <c r="H128" s="3171"/>
      <c r="I128" s="3171"/>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3"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7" orientation="portrait" r:id="rId1"/>
  <rowBreaks count="3" manualBreakCount="3">
    <brk id="43" max="8" man="1"/>
    <brk id="97" max="8" man="1"/>
    <brk id="142" max="8"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4" t="s">
        <v>3113</v>
      </c>
      <c r="C1" s="242"/>
      <c r="D1" s="242"/>
      <c r="E1" s="242"/>
      <c r="F1" s="242"/>
      <c r="G1" s="1379">
        <f>MATCH(B1,'数据-取费表'!A6:A16,0)+5</f>
        <v>6</v>
      </c>
    </row>
    <row r="2" spans="1:9" s="244" customFormat="1" ht="18" customHeight="1">
      <c r="A2" s="245" t="s">
        <v>2320</v>
      </c>
      <c r="B2" s="246">
        <f ca="1">IF(D2="——",C52,C52-E2)</f>
        <v>8225</v>
      </c>
      <c r="C2" s="243" t="s">
        <v>2321</v>
      </c>
      <c r="D2" s="2545" t="s">
        <v>70</v>
      </c>
      <c r="E2" s="1439" t="e">
        <f ca="1">SUMIF(INDIRECT("'"&amp;G2&amp;"'"&amp;"!A:A"),"承租人权益价值",INDIRECT("'"&amp;G2&amp;"'"&amp;"!c:c"))</f>
        <v>#REF!</v>
      </c>
      <c r="F2" s="2546" t="s">
        <v>2321</v>
      </c>
      <c r="G2" s="2547"/>
    </row>
    <row r="3" spans="1:9" s="244" customFormat="1" ht="18" customHeight="1" thickBot="1">
      <c r="A3" s="247" t="s">
        <v>2322</v>
      </c>
      <c r="B3" s="248">
        <f ca="1">ROUND(B2*10000/(IF(B1="",'数据-汇总表'!E3,INDIRECT("'数据-取费表'!k"&amp;$G$1))),0)</f>
        <v>14673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1087</v>
      </c>
      <c r="D5" s="255" t="s">
        <v>2327</v>
      </c>
      <c r="E5" s="256" t="s">
        <v>2328</v>
      </c>
      <c r="F5" s="256" t="s">
        <v>2329</v>
      </c>
      <c r="G5" s="257"/>
    </row>
    <row r="6" spans="1:9" s="258" customFormat="1" ht="13.5" customHeight="1">
      <c r="A6" s="949" t="s">
        <v>2330</v>
      </c>
      <c r="B6" s="259" t="s">
        <v>2331</v>
      </c>
      <c r="C6" s="260">
        <f>ROUND('土地比较法-住宅、综合'!B3*'数据-汇总表'!F19/10000,0)</f>
        <v>1038</v>
      </c>
      <c r="D6" s="261"/>
      <c r="E6" s="262"/>
      <c r="F6" s="262"/>
      <c r="G6" s="263"/>
    </row>
    <row r="7" spans="1:9" s="258" customFormat="1" ht="13.5" customHeight="1">
      <c r="A7" s="949" t="s">
        <v>2332</v>
      </c>
      <c r="B7" s="259" t="s">
        <v>2333</v>
      </c>
      <c r="C7" s="264">
        <f>ROUND(C6*F7,0)</f>
        <v>32</v>
      </c>
      <c r="D7" s="264"/>
      <c r="E7" s="262"/>
      <c r="F7" s="265">
        <f>IF(项目基本情况!B8="出让",0,'数据-取费表'!B48+'数据-取费表'!B49)</f>
        <v>3.0499999999999999E-2</v>
      </c>
      <c r="G7" s="263"/>
    </row>
    <row r="8" spans="1:9" s="267" customFormat="1">
      <c r="A8" s="949" t="s">
        <v>2334</v>
      </c>
      <c r="B8" s="259" t="s">
        <v>2335</v>
      </c>
      <c r="C8" s="264">
        <f ca="1">IF(G8="已包含在土地购买价格中","0",IF(B1="",'数据-取费表'!B29,IF(G9="全部缴纳",C9+C10,H9)))</f>
        <v>17</v>
      </c>
      <c r="D8" s="266"/>
      <c r="E8" s="264"/>
      <c r="F8" s="265"/>
      <c r="G8" s="2548" t="s">
        <v>3122</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30</v>
      </c>
      <c r="F9" s="265"/>
      <c r="G9" s="2549"/>
      <c r="H9" s="2984">
        <f ca="1">C10</f>
        <v>17</v>
      </c>
      <c r="I9" s="2550" t="s">
        <v>2337</v>
      </c>
    </row>
    <row r="10" spans="1:9" s="258" customFormat="1" ht="13.5" customHeight="1">
      <c r="A10" s="950" t="s">
        <v>801</v>
      </c>
      <c r="B10" s="268" t="s">
        <v>2338</v>
      </c>
      <c r="C10" s="269">
        <f ca="1">ROUND(D10*E10/10000,0)</f>
        <v>17</v>
      </c>
      <c r="D10" s="1032">
        <f ca="1">IF(B1="",'数据-汇总表'!E6,IF(INDIRECT("'数据-取费表'!c"&amp;$G$1)="住宅",INDIRECT("'数据-取费表'!s"&amp;$G$1),INDIRECT("'数据-取费表'!k"&amp;$G$1)+INDIRECT("'数据-取费表'!s"&amp;$G$1)))</f>
        <v>5605.68</v>
      </c>
      <c r="E10" s="269">
        <f>'数据-取费表'!B28</f>
        <v>30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5605.68</v>
      </c>
      <c r="E19" s="255">
        <f>'数据-取费表'!B31</f>
        <v>200</v>
      </c>
      <c r="F19" s="275"/>
      <c r="G19" s="2548" t="s">
        <v>3123</v>
      </c>
    </row>
    <row r="20" spans="1:7" s="258" customFormat="1" ht="13.5" customHeight="1">
      <c r="A20" s="299" t="s">
        <v>2351</v>
      </c>
      <c r="B20" s="254" t="s">
        <v>2352</v>
      </c>
      <c r="C20" s="276">
        <f ca="1">ROUND((C5+C19)*F20,0)</f>
        <v>22</v>
      </c>
      <c r="D20" s="276"/>
      <c r="E20" s="276"/>
      <c r="F20" s="277">
        <f>'数据-取费表'!B37</f>
        <v>0.02</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4">
        <f ca="1">ROUND(SUM(C23:C25),0)</f>
        <v>107</v>
      </c>
      <c r="D22" s="279">
        <f ca="1">C26</f>
        <v>1.4E-3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106</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111</v>
      </c>
      <c r="D27" s="279">
        <f ca="1">C29</f>
        <v>3.0000000000000001E-3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111</v>
      </c>
      <c r="D28" s="279"/>
      <c r="E28" s="280"/>
      <c r="F28" s="290"/>
      <c r="G28" s="291"/>
    </row>
    <row r="29" spans="1:7" s="258" customFormat="1" ht="13.5" customHeight="1">
      <c r="A29" s="951"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1455</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5384</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5045</v>
      </c>
      <c r="D34" s="261"/>
      <c r="E34" s="264"/>
      <c r="F34" s="301">
        <f ca="1">IF('数据-取费表'!B24=0,1,IF(B1="",'数据-取费表'!N16,INDIRECT("'数据-取费表'!n"&amp;$G$1)))</f>
        <v>1</v>
      </c>
      <c r="G34" s="263" t="s">
        <v>2384</v>
      </c>
    </row>
    <row r="35" spans="1:7" ht="13.5" customHeight="1">
      <c r="A35" s="951" t="s">
        <v>796</v>
      </c>
      <c r="B35" s="259" t="s">
        <v>2385</v>
      </c>
      <c r="C35" s="264">
        <f ca="1">ROUND(C34*F35,0)</f>
        <v>151</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112</v>
      </c>
      <c r="D37" s="261">
        <f ca="1">D19</f>
        <v>5605.68</v>
      </c>
      <c r="E37" s="293">
        <f>'数据-取费表'!B35</f>
        <v>200</v>
      </c>
      <c r="F37" s="303"/>
      <c r="G37" s="305" t="s">
        <v>2390</v>
      </c>
    </row>
    <row r="38" spans="1:7" ht="13.5" customHeight="1">
      <c r="A38" s="951" t="s">
        <v>799</v>
      </c>
      <c r="B38" s="259" t="s">
        <v>2391</v>
      </c>
      <c r="C38" s="264">
        <f ca="1">ROUND(C34*F38,0)</f>
        <v>76</v>
      </c>
      <c r="D38" s="264"/>
      <c r="E38" s="264"/>
      <c r="F38" s="303">
        <f>'数据-取费表'!B36</f>
        <v>1.4999999999999999E-2</v>
      </c>
      <c r="G38" s="263" t="s">
        <v>2386</v>
      </c>
    </row>
    <row r="39" spans="1:7" s="258" customFormat="1" ht="13.5" customHeight="1">
      <c r="A39" s="299" t="s">
        <v>2392</v>
      </c>
      <c r="B39" s="254" t="s">
        <v>2393</v>
      </c>
      <c r="C39" s="276">
        <f ca="1">ROUND(C33*F20,0)</f>
        <v>108</v>
      </c>
      <c r="D39" s="276"/>
      <c r="E39" s="276"/>
      <c r="F39" s="277"/>
      <c r="G39" s="278" t="s">
        <v>2394</v>
      </c>
    </row>
    <row r="40" spans="1:7" s="258" customFormat="1" ht="13.5" customHeight="1">
      <c r="A40" s="299" t="s">
        <v>2395</v>
      </c>
      <c r="B40" s="254" t="s">
        <v>2396</v>
      </c>
      <c r="C40" s="1726">
        <f>F21</f>
        <v>0.03</v>
      </c>
      <c r="D40" s="280" t="s">
        <v>2397</v>
      </c>
      <c r="E40" s="276"/>
      <c r="F40" s="277"/>
      <c r="G40" s="278" t="s">
        <v>2398</v>
      </c>
    </row>
    <row r="41" spans="1:7" s="258" customFormat="1" ht="13.5" customHeight="1">
      <c r="A41" s="299" t="s">
        <v>2399</v>
      </c>
      <c r="B41" s="254" t="s">
        <v>2400</v>
      </c>
      <c r="C41" s="276">
        <f ca="1">ROUND(SUM(C42:C43),0)</f>
        <v>261</v>
      </c>
      <c r="D41" s="279">
        <f ca="1">C44</f>
        <v>1.4E-3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256</v>
      </c>
      <c r="D42" s="282"/>
      <c r="E42" s="282"/>
      <c r="F42" s="283"/>
      <c r="G42" s="3247" t="s">
        <v>2402</v>
      </c>
    </row>
    <row r="43" spans="1:7" ht="13.5" customHeight="1">
      <c r="A43" s="951" t="s">
        <v>792</v>
      </c>
      <c r="B43" s="259" t="s">
        <v>2403</v>
      </c>
      <c r="C43" s="282">
        <f ca="1">ROUND(IF('数据-取费表'!B22&lt;=1,C39*F22*'数据-取费表'!B21/2,C39*(POWER((1+F22),'数据-取费表'!B21/2)-1)),0)</f>
        <v>5</v>
      </c>
      <c r="D43" s="282"/>
      <c r="E43" s="282"/>
      <c r="F43" s="283"/>
      <c r="G43" s="3248"/>
    </row>
    <row r="44" spans="1:7" ht="13.5" customHeight="1">
      <c r="A44" s="951" t="s">
        <v>793</v>
      </c>
      <c r="B44" s="259" t="s">
        <v>2404</v>
      </c>
      <c r="C44" s="282">
        <f ca="1">ROUND(IF('数据-取费表'!B22&lt;=1,C40*F22*'数据-取费表'!B21/2,C40*(POWER((1+F22),'数据-取费表'!B21/2)-1)),4)</f>
        <v>1.4E-3</v>
      </c>
      <c r="D44" s="282"/>
      <c r="E44" s="282"/>
      <c r="F44" s="283"/>
      <c r="G44" s="3249"/>
    </row>
    <row r="45" spans="1:7" s="258" customFormat="1" ht="13.5" customHeight="1">
      <c r="A45" s="299" t="s">
        <v>2405</v>
      </c>
      <c r="B45" s="288" t="s">
        <v>2371</v>
      </c>
      <c r="C45" s="289">
        <f ca="1">C46</f>
        <v>549</v>
      </c>
      <c r="D45" s="279">
        <f ca="1">C47</f>
        <v>3.0000000000000001E-3</v>
      </c>
      <c r="E45" s="280" t="s">
        <v>2397</v>
      </c>
      <c r="F45" s="290"/>
      <c r="G45" s="291" t="s">
        <v>2406</v>
      </c>
    </row>
    <row r="46" spans="1:7" s="258" customFormat="1" ht="13.5" customHeight="1">
      <c r="A46" s="951" t="s">
        <v>791</v>
      </c>
      <c r="B46" s="292" t="s">
        <v>2407</v>
      </c>
      <c r="C46" s="293">
        <f ca="1">ROUND((C33+C39)*F27,0)</f>
        <v>549</v>
      </c>
      <c r="D46" s="307"/>
      <c r="E46" s="280"/>
      <c r="F46" s="290"/>
      <c r="G46" s="291"/>
    </row>
    <row r="47" spans="1:7" s="258" customFormat="1" ht="13.5" customHeight="1">
      <c r="A47" s="951" t="s">
        <v>792</v>
      </c>
      <c r="B47" s="292" t="s">
        <v>2408</v>
      </c>
      <c r="C47" s="282">
        <f ca="1">ROUND(C40*F27,4)</f>
        <v>3.0000000000000001E-3</v>
      </c>
      <c r="D47" s="307"/>
      <c r="E47" s="280"/>
      <c r="F47" s="290"/>
      <c r="G47" s="291"/>
    </row>
    <row r="48" spans="1:7" s="258" customFormat="1" ht="13.5" customHeight="1">
      <c r="A48" s="299" t="s">
        <v>2370</v>
      </c>
      <c r="B48" s="254" t="s">
        <v>2409</v>
      </c>
      <c r="C48" s="1726">
        <f>ROUND(F30/(1+'数据-取费表'!C42),4)</f>
        <v>5.33E-2</v>
      </c>
      <c r="D48" s="280" t="s">
        <v>2397</v>
      </c>
      <c r="E48" s="276"/>
      <c r="F48" s="281"/>
      <c r="G48" s="278" t="s">
        <v>2410</v>
      </c>
    </row>
    <row r="49" spans="1:7" ht="16.5" customHeight="1">
      <c r="A49" s="299" t="s">
        <v>2376</v>
      </c>
      <c r="B49" s="254" t="s">
        <v>2411</v>
      </c>
      <c r="C49" s="276">
        <f ca="1">ROUND((C33+C39+C41+C45)/(1-C40-D41-D45-C48),0)</f>
        <v>6908</v>
      </c>
      <c r="D49" s="276"/>
      <c r="E49" s="276"/>
      <c r="F49" s="308"/>
      <c r="G49" s="278" t="s">
        <v>2412</v>
      </c>
    </row>
    <row r="50" spans="1:7" s="302" customFormat="1" ht="24">
      <c r="A50" s="299" t="s">
        <v>2413</v>
      </c>
      <c r="B50" s="254" t="s">
        <v>2414</v>
      </c>
      <c r="C50" s="276"/>
      <c r="D50" s="276"/>
      <c r="E50" s="276"/>
      <c r="F50" s="308">
        <f>IF('数据-取费表'!B24=0,'数据-取费表'!N16,1)</f>
        <v>0.98</v>
      </c>
      <c r="G50" s="291" t="s">
        <v>2415</v>
      </c>
    </row>
    <row r="51" spans="1:7" ht="16.5" customHeight="1">
      <c r="A51" s="299" t="s">
        <v>2416</v>
      </c>
      <c r="B51" s="254" t="s">
        <v>2417</v>
      </c>
      <c r="C51" s="276">
        <f ca="1">ROUND(C49*F50,0)</f>
        <v>6770</v>
      </c>
      <c r="D51" s="276"/>
      <c r="E51" s="276"/>
      <c r="F51" s="308"/>
      <c r="G51" s="278" t="s">
        <v>2418</v>
      </c>
    </row>
    <row r="52" spans="1:7" s="252" customFormat="1" ht="16.5" thickBot="1">
      <c r="A52" s="309" t="s">
        <v>2419</v>
      </c>
      <c r="B52" s="310"/>
      <c r="C52" s="311">
        <f ca="1">C31+C51</f>
        <v>8225</v>
      </c>
      <c r="D52" s="310"/>
      <c r="E52" s="310"/>
      <c r="F52" s="310"/>
      <c r="G52" s="312"/>
    </row>
    <row r="55" spans="1:7" ht="15">
      <c r="B55" s="314" t="s">
        <v>2420</v>
      </c>
      <c r="C55" s="315"/>
    </row>
    <row r="56" spans="1:7">
      <c r="B56" s="317" t="s">
        <v>1508</v>
      </c>
      <c r="C56" s="319">
        <f ca="1">1-C57</f>
        <v>0.17700000000000005</v>
      </c>
    </row>
    <row r="57" spans="1:7">
      <c r="B57" s="317" t="s">
        <v>1509</v>
      </c>
      <c r="C57" s="318">
        <f ca="1">ROUND(C51/C52,3)</f>
        <v>0.82299999999999995</v>
      </c>
    </row>
  </sheetData>
  <sheetProtection password="C66D" sheet="1" objects="1" scenarios="1" formatCells="0"/>
  <mergeCells count="1">
    <mergeCell ref="G42:G44"/>
  </mergeCells>
  <phoneticPr fontId="14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4"/>
      <c r="C1" s="2551" t="s">
        <v>2421</v>
      </c>
      <c r="D1" s="242"/>
      <c r="E1" s="242"/>
      <c r="F1" s="242"/>
      <c r="G1" s="1379">
        <f>MATCH(B1,'数据-取费表'!A6:A16,0)+5</f>
        <v>8</v>
      </c>
      <c r="H1" s="1282" t="str">
        <f>IF(ISERROR(FIND("住宅",B1)),"非住宅","住宅")</f>
        <v>非住宅</v>
      </c>
    </row>
    <row r="2" spans="1:8" s="244" customFormat="1" ht="18" customHeight="1">
      <c r="A2" s="245" t="s">
        <v>2320</v>
      </c>
      <c r="B2" s="246">
        <f ca="1">ROUND(IF(D2="——",C52/10000,C52/10000-E2),0)</f>
        <v>9089</v>
      </c>
      <c r="C2" s="243" t="s">
        <v>2321</v>
      </c>
      <c r="D2" s="2545" t="s">
        <v>70</v>
      </c>
      <c r="E2" s="1439" t="e">
        <f ca="1">SUMIF(INDIRECT("'"&amp;G2&amp;"'"&amp;"!A:A"),"承租人权益价值",INDIRECT("'"&amp;G2&amp;"'"&amp;"!c:c"))</f>
        <v>#REF!</v>
      </c>
      <c r="F2" s="2546" t="s">
        <v>2321</v>
      </c>
      <c r="G2" s="2547"/>
    </row>
    <row r="3" spans="1:8" s="244" customFormat="1" ht="18" customHeight="1" thickBot="1">
      <c r="A3" s="247" t="s">
        <v>2322</v>
      </c>
      <c r="B3" s="248">
        <f ca="1">ROUND(B2*10000/(IF(B1="",'数据-汇总表'!E3,INDIRECT("'数据-取费表'!k"&amp;$G$1))),0)</f>
        <v>8438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323131</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323131</v>
      </c>
      <c r="D8" s="266"/>
      <c r="E8" s="264"/>
      <c r="F8" s="265"/>
      <c r="G8" s="2548"/>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30</v>
      </c>
      <c r="F9" s="265"/>
      <c r="G9" s="270"/>
    </row>
    <row r="10" spans="1:8" s="258" customFormat="1" ht="13.5" customHeight="1">
      <c r="A10" s="950" t="s">
        <v>801</v>
      </c>
      <c r="B10" s="268" t="s">
        <v>2338</v>
      </c>
      <c r="C10" s="269">
        <f ca="1">ROUND(D10*E10,0)</f>
        <v>323131</v>
      </c>
      <c r="D10" s="1032">
        <f ca="1">IF(B1="",'数据-汇总表'!E6,IF(INDIRECT("'数据-取费表'!c"&amp;$G$1)="住宅",INDIRECT("'数据-取费表'!s"&amp;$G$1),INDIRECT("'数据-取费表'!k"&amp;$G$1)+INDIRECT("'数据-取费表'!s"&amp;$G$1)))</f>
        <v>10771.04</v>
      </c>
      <c r="E10" s="269">
        <f>'数据-取费表'!B28</f>
        <v>30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2154208</v>
      </c>
      <c r="D19" s="1036">
        <f ca="1">D9+D10</f>
        <v>10771.04</v>
      </c>
      <c r="E19" s="255">
        <f>'数据-取费表'!B31</f>
        <v>200</v>
      </c>
      <c r="F19" s="275"/>
      <c r="G19" s="2548"/>
    </row>
    <row r="20" spans="1:7" s="258" customFormat="1" ht="13.5" customHeight="1">
      <c r="A20" s="299" t="s">
        <v>2432</v>
      </c>
      <c r="B20" s="254" t="s">
        <v>2433</v>
      </c>
      <c r="C20" s="276">
        <f ca="1">ROUND((C5+C19)*F20,0)</f>
        <v>49547</v>
      </c>
      <c r="D20" s="276"/>
      <c r="E20" s="276"/>
      <c r="F20" s="277">
        <f>'数据-取费表'!B37</f>
        <v>0.02</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0">
        <f ca="1">ROUND(SUM(C23:C25),0)</f>
        <v>243290</v>
      </c>
      <c r="D22" s="279">
        <f ca="1">C26</f>
        <v>1.4E-3</v>
      </c>
      <c r="E22" s="280" t="s">
        <v>2437</v>
      </c>
      <c r="F22" s="281">
        <f ca="1">'数据-取费表'!B40</f>
        <v>4.7500000000000001E-2</v>
      </c>
      <c r="G22" s="278" t="str">
        <f>IF('数据-取费表'!B22&lt;=1,"单利计息","复利计息")</f>
        <v>复利计息</v>
      </c>
    </row>
    <row r="23" spans="1:7" s="258" customFormat="1" ht="13.5" customHeight="1">
      <c r="A23" s="951" t="s">
        <v>2330</v>
      </c>
      <c r="B23" s="259" t="s">
        <v>2441</v>
      </c>
      <c r="C23" s="1381">
        <f ca="1">ROUND(IF('数据-取费表'!B22&lt;=1,C5*F22*'数据-取费表'!B22,C5*(POWER((1+F22),'数据-取费表'!B22)-1)),0)</f>
        <v>31427</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209510</v>
      </c>
      <c r="D24" s="282"/>
      <c r="E24" s="282"/>
      <c r="F24" s="283"/>
      <c r="G24" s="284" t="s">
        <v>2444</v>
      </c>
    </row>
    <row r="25" spans="1:7" s="258" customFormat="1" ht="24">
      <c r="A25" s="951" t="s">
        <v>2334</v>
      </c>
      <c r="B25" s="259" t="s">
        <v>2445</v>
      </c>
      <c r="C25" s="1381">
        <f ca="1">ROUND(IF('数据-取费表'!B22&lt;=1,C20*F22*'数据-取费表'!B22/2,C20*(POWER((1+F22),'数据-取费表'!B22/2)-1)),0)</f>
        <v>2353</v>
      </c>
      <c r="D25" s="282"/>
      <c r="E25" s="285"/>
      <c r="F25" s="283"/>
      <c r="G25" s="286" t="s">
        <v>2446</v>
      </c>
    </row>
    <row r="26" spans="1:7" s="258" customFormat="1">
      <c r="A26" s="951"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303226</v>
      </c>
      <c r="D27" s="279">
        <f ca="1">C29</f>
        <v>3.5999999999999999E-3</v>
      </c>
      <c r="E27" s="280" t="s">
        <v>2372</v>
      </c>
      <c r="F27" s="290">
        <f ca="1">IF(B1="",'数据-取费表'!Q16,INDIRECT("'数据-取费表'!q"&amp;$G$1))</f>
        <v>0.12</v>
      </c>
      <c r="G27" s="291" t="s">
        <v>2373</v>
      </c>
    </row>
    <row r="28" spans="1:7" s="258" customFormat="1" ht="13.5" customHeight="1">
      <c r="A28" s="951" t="s">
        <v>791</v>
      </c>
      <c r="B28" s="292" t="s">
        <v>2374</v>
      </c>
      <c r="C28" s="293">
        <f ca="1">ROUND((C5+C19+C20)*F27,0)</f>
        <v>303226</v>
      </c>
      <c r="D28" s="279"/>
      <c r="E28" s="280"/>
      <c r="F28" s="290"/>
      <c r="G28" s="291"/>
    </row>
    <row r="29" spans="1:7" s="258" customFormat="1" ht="13.5" customHeight="1">
      <c r="A29" s="951" t="s">
        <v>792</v>
      </c>
      <c r="B29" s="292" t="s">
        <v>2375</v>
      </c>
      <c r="C29" s="282">
        <f ca="1">ROUND(C21*F27,4)</f>
        <v>3.5999999999999999E-3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3371067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68370132</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63364520</v>
      </c>
      <c r="D34" s="261"/>
      <c r="E34" s="264"/>
      <c r="F34" s="301"/>
      <c r="G34" s="263"/>
    </row>
    <row r="35" spans="1:7" ht="13.5" customHeight="1">
      <c r="A35" s="951" t="s">
        <v>796</v>
      </c>
      <c r="B35" s="259" t="s">
        <v>2385</v>
      </c>
      <c r="C35" s="264">
        <f ca="1">ROUND(C34*F35,0)</f>
        <v>1900936</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2154208</v>
      </c>
      <c r="D37" s="261">
        <f ca="1">D19</f>
        <v>10771.04</v>
      </c>
      <c r="E37" s="293">
        <f>'数据-取费表'!B35</f>
        <v>200</v>
      </c>
      <c r="F37" s="303"/>
      <c r="G37" s="305"/>
    </row>
    <row r="38" spans="1:7" ht="13.5" customHeight="1">
      <c r="A38" s="951" t="s">
        <v>799</v>
      </c>
      <c r="B38" s="259" t="s">
        <v>2391</v>
      </c>
      <c r="C38" s="264">
        <f ca="1">ROUND(C34*F38,0)</f>
        <v>950468</v>
      </c>
      <c r="D38" s="264"/>
      <c r="E38" s="264"/>
      <c r="F38" s="303">
        <f>'数据-取费表'!B36</f>
        <v>1.4999999999999999E-2</v>
      </c>
      <c r="G38" s="263" t="s">
        <v>2386</v>
      </c>
    </row>
    <row r="39" spans="1:7" s="258" customFormat="1" ht="13.5" customHeight="1">
      <c r="A39" s="299" t="s">
        <v>2392</v>
      </c>
      <c r="B39" s="254" t="s">
        <v>2393</v>
      </c>
      <c r="C39" s="276">
        <f ca="1">ROUND(C33*F20,0)</f>
        <v>1367403</v>
      </c>
      <c r="D39" s="276"/>
      <c r="E39" s="276"/>
      <c r="F39" s="277"/>
      <c r="G39" s="278" t="s">
        <v>2394</v>
      </c>
    </row>
    <row r="40" spans="1:7" s="258" customFormat="1" ht="13.5" customHeight="1">
      <c r="A40" s="299" t="s">
        <v>2395</v>
      </c>
      <c r="B40" s="254" t="s">
        <v>2396</v>
      </c>
      <c r="C40" s="1726">
        <f>F21</f>
        <v>0.03</v>
      </c>
      <c r="D40" s="280" t="s">
        <v>2397</v>
      </c>
      <c r="E40" s="276"/>
      <c r="F40" s="277"/>
      <c r="G40" s="278" t="s">
        <v>2398</v>
      </c>
    </row>
    <row r="41" spans="1:7" s="258" customFormat="1" ht="13.5" customHeight="1">
      <c r="A41" s="299" t="s">
        <v>2399</v>
      </c>
      <c r="B41" s="254" t="s">
        <v>2400</v>
      </c>
      <c r="C41" s="276">
        <f ca="1">ROUND(SUM(C42:C43),0)</f>
        <v>3312533</v>
      </c>
      <c r="D41" s="279">
        <f ca="1">C44</f>
        <v>1.4E-3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ROUND(IF('数据-取费表'!B22&lt;=1,C33*F22*'数据-取费表'!B20/2,C33*(POWER((1+F22),'数据-取费表'!B20/2)-1)),0)</f>
        <v>3247581</v>
      </c>
      <c r="D42" s="282"/>
      <c r="E42" s="282"/>
      <c r="F42" s="283"/>
      <c r="G42" s="3247" t="s">
        <v>2449</v>
      </c>
    </row>
    <row r="43" spans="1:7" ht="13.5" customHeight="1">
      <c r="A43" s="951" t="s">
        <v>792</v>
      </c>
      <c r="B43" s="259" t="s">
        <v>2403</v>
      </c>
      <c r="C43" s="282">
        <f ca="1">ROUND(IF('数据-取费表'!B22&lt;=1,C39*F22*'数据-取费表'!B20/2,C39*(POWER((1+F22),'数据-取费表'!B20/2)-1)),0)</f>
        <v>64952</v>
      </c>
      <c r="D43" s="282"/>
      <c r="E43" s="282"/>
      <c r="F43" s="283"/>
      <c r="G43" s="3248"/>
    </row>
    <row r="44" spans="1:7" ht="13.5" customHeight="1">
      <c r="A44" s="951" t="s">
        <v>793</v>
      </c>
      <c r="B44" s="259" t="s">
        <v>2404</v>
      </c>
      <c r="C44" s="282">
        <f ca="1">ROUND(IF('数据-取费表'!B22&lt;=1,C40*F22*'数据-取费表'!B20/2,C40*(POWER((1+F22),'数据-取费表'!B20/2)-1)),4)</f>
        <v>1.4E-3</v>
      </c>
      <c r="D44" s="282"/>
      <c r="E44" s="282"/>
      <c r="F44" s="283"/>
      <c r="G44" s="3249"/>
    </row>
    <row r="45" spans="1:7" s="258" customFormat="1" ht="13.5" customHeight="1">
      <c r="A45" s="299" t="s">
        <v>2405</v>
      </c>
      <c r="B45" s="288" t="s">
        <v>2371</v>
      </c>
      <c r="C45" s="289">
        <f ca="1">C46</f>
        <v>8368504</v>
      </c>
      <c r="D45" s="279">
        <f ca="1">C47</f>
        <v>3.5999999999999999E-3</v>
      </c>
      <c r="E45" s="280" t="s">
        <v>2397</v>
      </c>
      <c r="F45" s="290"/>
      <c r="G45" s="291" t="s">
        <v>2406</v>
      </c>
    </row>
    <row r="46" spans="1:7" s="258" customFormat="1" ht="13.5" customHeight="1">
      <c r="A46" s="951" t="s">
        <v>791</v>
      </c>
      <c r="B46" s="292" t="s">
        <v>2407</v>
      </c>
      <c r="C46" s="293">
        <f ca="1">ROUND((C33+C39)*F27,0)</f>
        <v>8368504</v>
      </c>
      <c r="D46" s="307"/>
      <c r="E46" s="280"/>
      <c r="F46" s="290"/>
      <c r="G46" s="291"/>
    </row>
    <row r="47" spans="1:7" s="258" customFormat="1" ht="13.5" customHeight="1">
      <c r="A47" s="951" t="s">
        <v>792</v>
      </c>
      <c r="B47" s="292" t="s">
        <v>2408</v>
      </c>
      <c r="C47" s="282">
        <f ca="1">ROUND(C40*F27,4)</f>
        <v>3.5999999999999999E-3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89304126</v>
      </c>
      <c r="D49" s="276"/>
      <c r="E49" s="276"/>
      <c r="F49" s="308"/>
      <c r="G49" s="278" t="s">
        <v>2412</v>
      </c>
    </row>
    <row r="50" spans="1:7" s="302" customFormat="1">
      <c r="A50" s="299" t="s">
        <v>2413</v>
      </c>
      <c r="B50" s="254" t="s">
        <v>2414</v>
      </c>
      <c r="C50" s="276"/>
      <c r="D50" s="276"/>
      <c r="E50" s="276"/>
      <c r="F50" s="308">
        <f>IF('数据-取费表'!B24=0,'数据-取费表'!N16,1)</f>
        <v>0.98</v>
      </c>
      <c r="G50" s="291"/>
    </row>
    <row r="51" spans="1:7" ht="16.5" customHeight="1">
      <c r="A51" s="299" t="s">
        <v>2416</v>
      </c>
      <c r="B51" s="254" t="s">
        <v>2451</v>
      </c>
      <c r="C51" s="276">
        <f ca="1">ROUND(C49*F50,0)</f>
        <v>87518043</v>
      </c>
      <c r="D51" s="276"/>
      <c r="E51" s="276"/>
      <c r="F51" s="308"/>
      <c r="G51" s="278" t="s">
        <v>2418</v>
      </c>
    </row>
    <row r="52" spans="1:7" s="252" customFormat="1" ht="16.5" thickBot="1">
      <c r="A52" s="309" t="s">
        <v>2419</v>
      </c>
      <c r="B52" s="310"/>
      <c r="C52" s="311">
        <f ca="1">C31+C51</f>
        <v>90889110</v>
      </c>
      <c r="D52" s="310"/>
      <c r="E52" s="310"/>
      <c r="F52" s="310"/>
      <c r="G52" s="312"/>
    </row>
    <row r="55" spans="1:7" ht="15">
      <c r="B55" s="314" t="s">
        <v>2420</v>
      </c>
      <c r="C55" s="315"/>
    </row>
    <row r="56" spans="1:7">
      <c r="B56" s="317" t="s">
        <v>1508</v>
      </c>
      <c r="C56" s="319">
        <f ca="1">1-C57</f>
        <v>3.7000000000000033E-2</v>
      </c>
    </row>
    <row r="57" spans="1:7">
      <c r="B57" s="317" t="s">
        <v>1509</v>
      </c>
      <c r="C57" s="318">
        <f ca="1">ROUND(C51/C52,3)</f>
        <v>0.96299999999999997</v>
      </c>
    </row>
  </sheetData>
  <sheetProtection password="C66D" sheet="1" objects="1" scenarios="1" formatCells="0"/>
  <mergeCells count="1">
    <mergeCell ref="G42:G44"/>
  </mergeCells>
  <phoneticPr fontId="14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79"/>
      <c r="C1" s="1580"/>
      <c r="D1" s="1578"/>
      <c r="E1" s="320"/>
      <c r="F1" s="320"/>
      <c r="G1" s="1579"/>
      <c r="H1" s="320"/>
      <c r="I1" s="320"/>
      <c r="J1" s="320"/>
      <c r="K1" s="320">
        <f>MATCH(C1,'数据-取费表'!A6:A16,0)+5</f>
        <v>8</v>
      </c>
    </row>
    <row r="2" spans="1:33" ht="18" customHeight="1">
      <c r="A2" s="245" t="s">
        <v>2320</v>
      </c>
      <c r="B2" s="248">
        <f ca="1">C32</f>
        <v>-36</v>
      </c>
      <c r="C2" s="320" t="s">
        <v>2453</v>
      </c>
      <c r="D2" s="320"/>
      <c r="E2" s="320"/>
      <c r="F2" s="320"/>
      <c r="G2" s="320"/>
      <c r="H2" s="320"/>
      <c r="I2" s="320"/>
      <c r="J2" s="320"/>
      <c r="K2" s="320"/>
    </row>
    <row r="3" spans="1:33" ht="18" customHeight="1" thickBot="1">
      <c r="A3" s="247" t="s">
        <v>2322</v>
      </c>
      <c r="B3" s="248">
        <f ca="1">ROUND(B2*10000/IF(C1="",'数据-汇总表'!E3,INDIRECT("'数据-取费表'!K"&amp;$K$1)),0)</f>
        <v>-33</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2" t="s">
        <v>2458</v>
      </c>
      <c r="D5" s="2552" t="s">
        <v>2459</v>
      </c>
      <c r="E5" s="2552" t="s">
        <v>2460</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10771.04</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0</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10771.04</v>
      </c>
      <c r="E17" s="24">
        <f>'数据-取费表'!B32</f>
        <v>0</v>
      </c>
      <c r="F17" s="978"/>
      <c r="G17" s="140" t="s">
        <v>2484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32</v>
      </c>
      <c r="D18" s="1033"/>
      <c r="E18" s="24"/>
      <c r="F18" s="976"/>
      <c r="G18" s="2554"/>
      <c r="H18" s="1575"/>
      <c r="I18" s="2555"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30</v>
      </c>
      <c r="F19" s="976"/>
      <c r="G19" s="15"/>
      <c r="H19" s="1577"/>
      <c r="I19" s="981"/>
      <c r="J19" s="981"/>
      <c r="K19" s="982"/>
    </row>
    <row r="20" spans="1:33" s="975" customFormat="1" ht="13.5" customHeight="1">
      <c r="A20" s="971" t="s">
        <v>806</v>
      </c>
      <c r="B20" s="972" t="s">
        <v>2488</v>
      </c>
      <c r="C20" s="24">
        <f ca="1">ROUND(D20*E20/10000,0)</f>
        <v>32</v>
      </c>
      <c r="D20" s="1033">
        <f ca="1">IF(C1="",'数据-汇总表'!E6,IF(INDIRECT("'数据-取费表'!c"&amp;$K$1)="住宅",INDIRECT("'数据-取费表'!s"&amp;$K$1),INDIRECT("'数据-取费表'!k"&amp;$K$1)+INDIRECT("'数据-取费表'!s"&amp;$K$1)))</f>
        <v>10771.04</v>
      </c>
      <c r="E20" s="24">
        <f>'数据-取费表'!B28</f>
        <v>30</v>
      </c>
      <c r="F20" s="976"/>
      <c r="G20" s="15"/>
      <c r="H20" s="981"/>
      <c r="I20" s="981"/>
      <c r="J20" s="981"/>
      <c r="K20" s="982"/>
    </row>
    <row r="21" spans="1:33" s="975" customFormat="1" ht="13.5" customHeight="1">
      <c r="A21" s="961" t="s">
        <v>802</v>
      </c>
      <c r="B21" s="985" t="s">
        <v>2489</v>
      </c>
      <c r="C21" s="986">
        <f ca="1">C16+C17+C18</f>
        <v>32</v>
      </c>
      <c r="D21" s="987"/>
      <c r="E21" s="325"/>
      <c r="F21" s="325"/>
      <c r="G21" s="140" t="s">
        <v>2490</v>
      </c>
      <c r="H21" s="979"/>
      <c r="I21" s="979"/>
      <c r="J21" s="979"/>
      <c r="K21" s="980"/>
    </row>
    <row r="22" spans="1:33" s="975" customFormat="1" ht="13.5" customHeight="1">
      <c r="A22" s="961" t="s">
        <v>2462</v>
      </c>
      <c r="B22" s="985" t="s">
        <v>2491</v>
      </c>
      <c r="C22" s="986">
        <f ca="1">ROUND(C21*F22,0)</f>
        <v>1</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0.03</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2502</v>
      </c>
      <c r="B28" s="2557" t="s">
        <v>2503</v>
      </c>
      <c r="C28" s="331">
        <f ca="1">C30</f>
        <v>4</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4</v>
      </c>
      <c r="D30" s="328"/>
      <c r="E30" s="329"/>
      <c r="F30" s="334"/>
      <c r="G30" s="140"/>
      <c r="H30" s="979"/>
      <c r="I30" s="979"/>
      <c r="J30" s="979"/>
      <c r="K30" s="980"/>
    </row>
    <row r="31" spans="1:33" s="975" customFormat="1" ht="13.5" customHeight="1" thickBot="1">
      <c r="A31" s="2558" t="s">
        <v>2507</v>
      </c>
      <c r="B31" s="1005" t="s">
        <v>2508</v>
      </c>
      <c r="C31" s="1006">
        <f>ROUND(C4*F31/(1+'数据-取费表'!C42),0)</f>
        <v>0</v>
      </c>
      <c r="D31" s="1007"/>
      <c r="E31" s="1008"/>
      <c r="F31" s="1009">
        <f>'数据-取费表'!B41</f>
        <v>5.6000000000000001E-2</v>
      </c>
      <c r="G31" s="1010" t="s">
        <v>2509</v>
      </c>
      <c r="H31" s="1011"/>
      <c r="I31" s="1011"/>
      <c r="J31" s="1011"/>
      <c r="K31" s="1012"/>
    </row>
    <row r="32" spans="1:33" s="970" customFormat="1" ht="13.5" customHeight="1" thickBot="1">
      <c r="A32" s="1000" t="s">
        <v>2510</v>
      </c>
      <c r="B32" s="1001"/>
      <c r="C32" s="1002">
        <f ca="1">ROUND((C4-C21-C22-C23-C25-C28-C31)/(1+C24+D25+D28),0)</f>
        <v>-36</v>
      </c>
      <c r="D32" s="1001"/>
      <c r="E32" s="1001"/>
      <c r="F32" s="1001"/>
      <c r="G32" s="1003" t="s">
        <v>2511</v>
      </c>
      <c r="H32" s="1001"/>
      <c r="I32" s="1001"/>
      <c r="J32" s="1001"/>
      <c r="K32" s="1004"/>
    </row>
    <row r="34" ht="12.75" customHeight="1"/>
  </sheetData>
  <sheetProtection password="C66D" sheet="1" objects="1" scenarios="1" formatCells="0" formatColumns="0" formatRows="0"/>
  <phoneticPr fontId="23"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3113</v>
      </c>
      <c r="D1" s="1818" t="s">
        <v>70</v>
      </c>
      <c r="E1" s="1819" t="s">
        <v>1382</v>
      </c>
      <c r="F1" s="1283">
        <f ca="1">J53</f>
        <v>37.46</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2679</v>
      </c>
      <c r="C2" s="1843" t="s">
        <v>1511</v>
      </c>
      <c r="D2" s="1843"/>
      <c r="E2" s="1844"/>
      <c r="F2" s="1845"/>
      <c r="G2" s="1846"/>
      <c r="H2" s="1838"/>
      <c r="I2" s="1838"/>
      <c r="J2" s="1838"/>
      <c r="K2" s="1839"/>
      <c r="L2" s="1838"/>
      <c r="M2" s="1838"/>
    </row>
    <row r="3" spans="1:37" ht="18" customHeight="1" thickBot="1">
      <c r="A3" s="1847" t="s">
        <v>1512</v>
      </c>
      <c r="B3" s="1848">
        <f ca="1">IF(ISERROR(B2*10000/F43),0,ROUND(B2*10000/F43,0))</f>
        <v>4779</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2">
        <f ca="1">C6+C10+C12</f>
        <v>276</v>
      </c>
      <c r="D5" s="1820" t="s">
        <v>1397</v>
      </c>
      <c r="E5" s="1293"/>
      <c r="F5" s="1294"/>
      <c r="G5" s="1849"/>
      <c r="H5" s="344">
        <v>1</v>
      </c>
      <c r="I5" s="345" t="s">
        <v>1396</v>
      </c>
      <c r="J5" s="1292">
        <f ca="1">J6+J10+J12</f>
        <v>0</v>
      </c>
      <c r="K5" s="1820" t="s">
        <v>1397</v>
      </c>
      <c r="L5" s="1293"/>
      <c r="M5" s="1294"/>
    </row>
    <row r="6" spans="1:37" ht="18" customHeight="1">
      <c r="A6" s="1291" t="s">
        <v>1032</v>
      </c>
      <c r="B6" s="3252" t="s">
        <v>1398</v>
      </c>
      <c r="C6" s="1296">
        <f ca="1">ROUND(F6*F8*F7*(1-F9)/10000,0)</f>
        <v>276</v>
      </c>
      <c r="D6" s="164" t="s">
        <v>3024</v>
      </c>
      <c r="E6" s="347" t="s">
        <v>1400</v>
      </c>
      <c r="F6" s="348">
        <f ca="1">INDIRECT("'数据-取费表'!u"&amp;$G$1)</f>
        <v>1.5</v>
      </c>
      <c r="G6" s="1849"/>
      <c r="H6" s="1291" t="s">
        <v>1032</v>
      </c>
      <c r="I6" s="3252" t="s">
        <v>1398</v>
      </c>
      <c r="J6" s="346">
        <f ca="1">ROUND(M6*M8*M7*(1-M9)/10000,0)</f>
        <v>0</v>
      </c>
      <c r="K6" s="164" t="s">
        <v>3023</v>
      </c>
      <c r="L6" s="347" t="s">
        <v>1400</v>
      </c>
      <c r="M6" s="348">
        <f ca="1">INDIRECT("'数据-取费表'!z"&amp;$G$1)</f>
        <v>0</v>
      </c>
    </row>
    <row r="7" spans="1:37" ht="18" customHeight="1">
      <c r="A7" s="1295"/>
      <c r="B7" s="3253"/>
      <c r="C7" s="1297"/>
      <c r="D7" s="352"/>
      <c r="E7" s="1298" t="s">
        <v>1401</v>
      </c>
      <c r="F7" s="348">
        <f ca="1">IF(INDIRECT("'数据-取费表'!ah"&amp;$G$1)="",INDIRECT("'数据-取费表'!k"&amp;$G$1),INDIRECT("'数据-取费表'!ah"&amp;$G$1))</f>
        <v>5605.68</v>
      </c>
      <c r="G7" s="1849"/>
      <c r="H7" s="349"/>
      <c r="I7" s="3253"/>
      <c r="J7" s="351"/>
      <c r="K7" s="352"/>
      <c r="L7" s="347" t="s">
        <v>1401</v>
      </c>
      <c r="M7" s="348">
        <f ca="1">F7</f>
        <v>5605.68</v>
      </c>
    </row>
    <row r="8" spans="1:37" ht="18" customHeight="1">
      <c r="A8" s="349"/>
      <c r="B8" s="3253"/>
      <c r="C8" s="351"/>
      <c r="D8" s="352"/>
      <c r="E8" s="347" t="s">
        <v>1402</v>
      </c>
      <c r="F8" s="348">
        <f ca="1">INDIRECT("'数据-取费表'!ai"&amp;$G$1)</f>
        <v>365</v>
      </c>
      <c r="G8" s="1849"/>
      <c r="H8" s="349"/>
      <c r="I8" s="3253"/>
      <c r="J8" s="351"/>
      <c r="K8" s="352"/>
      <c r="L8" s="347" t="s">
        <v>1402</v>
      </c>
      <c r="M8" s="348">
        <f ca="1">INDIRECT("'数据-取费表'!ai"&amp;$G$1)</f>
        <v>365</v>
      </c>
    </row>
    <row r="9" spans="1:37" ht="18" customHeight="1">
      <c r="A9" s="349"/>
      <c r="B9" s="3254"/>
      <c r="C9" s="351"/>
      <c r="D9" s="352"/>
      <c r="E9" s="347" t="s">
        <v>1403</v>
      </c>
      <c r="F9" s="357">
        <f ca="1">INDIRECT("'数据-取费表'!w"&amp;$G$1)</f>
        <v>0.1</v>
      </c>
      <c r="G9" s="1849"/>
      <c r="H9" s="349"/>
      <c r="I9" s="3254"/>
      <c r="J9" s="351"/>
      <c r="K9" s="352"/>
      <c r="L9" s="358" t="s">
        <v>1403</v>
      </c>
      <c r="M9" s="359">
        <f ca="1">INDIRECT("'数据-取费表'!ab"&amp;$G$1)</f>
        <v>0</v>
      </c>
    </row>
    <row r="10" spans="1:37" ht="18" hidden="1" customHeight="1">
      <c r="A10" s="1291" t="s">
        <v>1036</v>
      </c>
      <c r="B10" s="1821" t="s">
        <v>1404</v>
      </c>
      <c r="C10" s="361">
        <f ca="1">ROUND(IF(F10="押一",C6/12*F11,IF(F10="押二",C6/12*2*F11,IF(F10="押三",C6/12*3*F11,C11*F11))),0)</f>
        <v>0</v>
      </c>
      <c r="D10" s="1822" t="s">
        <v>3033</v>
      </c>
      <c r="E10" s="358" t="s">
        <v>1405</v>
      </c>
      <c r="F10" s="1366"/>
      <c r="G10" s="1849"/>
      <c r="H10" s="1291" t="s">
        <v>1036</v>
      </c>
      <c r="I10" s="1821" t="s">
        <v>1404</v>
      </c>
      <c r="J10" s="346">
        <f ca="1">ROUND(IF(M10="押一",J6/12*M11,IF(M10="押二",J6/12*2*M11,IF(M10="押三",J6/12*3*M11,J11*M11))),0)</f>
        <v>0</v>
      </c>
      <c r="K10" s="1822" t="s">
        <v>3032</v>
      </c>
      <c r="L10" s="358" t="s">
        <v>1405</v>
      </c>
      <c r="M10" s="1366" t="s">
        <v>1406</v>
      </c>
    </row>
    <row r="11" spans="1:37" ht="18" hidden="1" customHeight="1">
      <c r="A11" s="353"/>
      <c r="B11" s="1823" t="s">
        <v>1383</v>
      </c>
      <c r="C11" s="1178"/>
      <c r="D11" s="1824"/>
      <c r="E11" s="358" t="s">
        <v>1407</v>
      </c>
      <c r="F11" s="359">
        <f ca="1">'数据-取费表'!B39</f>
        <v>1.4999999999999999E-2</v>
      </c>
      <c r="G11" s="1849"/>
      <c r="H11" s="1299"/>
      <c r="I11" s="1823" t="s">
        <v>1383</v>
      </c>
      <c r="J11" s="1178"/>
      <c r="K11" s="748"/>
      <c r="L11" s="358" t="s">
        <v>1407</v>
      </c>
      <c r="M11" s="1056">
        <f ca="1">'数据-取费表'!B39</f>
        <v>1.4999999999999999E-2</v>
      </c>
    </row>
    <row r="12" spans="1:37" ht="18" hidden="1" customHeight="1" thickBot="1">
      <c r="A12" s="1333" t="s">
        <v>1072</v>
      </c>
      <c r="B12" s="1825" t="s">
        <v>1408</v>
      </c>
      <c r="C12" s="1334"/>
      <c r="D12" s="1335"/>
      <c r="E12" s="1340"/>
      <c r="F12" s="1336"/>
      <c r="G12" s="1849"/>
      <c r="H12" s="1333" t="s">
        <v>1072</v>
      </c>
      <c r="I12" s="1825" t="s">
        <v>1408</v>
      </c>
      <c r="J12" s="1334"/>
      <c r="K12" s="1348"/>
      <c r="L12" s="1340"/>
      <c r="M12" s="1349"/>
    </row>
    <row r="13" spans="1:37" ht="18" customHeight="1">
      <c r="A13" s="1329">
        <v>2</v>
      </c>
      <c r="B13" s="1330" t="s">
        <v>1409</v>
      </c>
      <c r="C13" s="355">
        <f ca="1">ROUND(C29*F13,0)</f>
        <v>6770</v>
      </c>
      <c r="D13" s="1331" t="s">
        <v>1410</v>
      </c>
      <c r="E13" s="1331" t="s">
        <v>1411</v>
      </c>
      <c r="F13" s="1332">
        <f ca="1">INDIRECT("'数据-取费表'!y"&amp;$G$1)</f>
        <v>0.98</v>
      </c>
      <c r="G13" s="1849"/>
      <c r="H13" s="1329">
        <v>2</v>
      </c>
      <c r="I13" s="1330" t="s">
        <v>1409</v>
      </c>
      <c r="J13" s="1290">
        <f ca="1">ROUND(J14*J15,0)</f>
        <v>0</v>
      </c>
      <c r="K13" s="1337" t="s">
        <v>1410</v>
      </c>
      <c r="L13" s="1850"/>
      <c r="M13" s="1851"/>
    </row>
    <row r="14" spans="1:37" ht="18" customHeight="1">
      <c r="A14" s="1201" t="s">
        <v>1031</v>
      </c>
      <c r="B14" s="347" t="s">
        <v>1412</v>
      </c>
      <c r="C14" s="363">
        <f ca="1">INDIRECT("'数据-取费表'!m"&amp;$G$1)+INDIRECT("'数据-取费表'!t"&amp;$G$1)</f>
        <v>5045</v>
      </c>
      <c r="D14" s="1798" t="s">
        <v>1413</v>
      </c>
      <c r="E14" s="1792"/>
      <c r="F14" s="364"/>
      <c r="G14" s="1849"/>
      <c r="H14" s="1201" t="s">
        <v>1032</v>
      </c>
      <c r="I14" s="347" t="s">
        <v>1414</v>
      </c>
      <c r="J14" s="24">
        <f ca="1">C29</f>
        <v>6908</v>
      </c>
      <c r="K14" s="15"/>
      <c r="L14" s="979"/>
      <c r="M14" s="980"/>
    </row>
    <row r="15" spans="1:37" s="1856" customFormat="1" ht="18" customHeight="1" thickBot="1">
      <c r="A15" s="1201" t="s">
        <v>1033</v>
      </c>
      <c r="B15" s="347" t="s">
        <v>1415</v>
      </c>
      <c r="C15" s="24">
        <f ca="1">ROUND(C14*F15,0)</f>
        <v>151</v>
      </c>
      <c r="D15" s="365" t="s">
        <v>1416</v>
      </c>
      <c r="E15" s="365" t="s">
        <v>1417</v>
      </c>
      <c r="F15" s="366">
        <f>'数据-取费表'!B33</f>
        <v>0.03</v>
      </c>
      <c r="G15" s="1852"/>
      <c r="H15" s="1339" t="s">
        <v>1036</v>
      </c>
      <c r="I15" s="1340" t="s">
        <v>1411</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49"/>
      <c r="H16" s="1329" t="s">
        <v>1027</v>
      </c>
      <c r="I16" s="1330" t="s">
        <v>1419</v>
      </c>
      <c r="J16" s="355">
        <f ca="1">ROUND(J17+J22+J23+J24,0)</f>
        <v>162</v>
      </c>
      <c r="K16" s="1337" t="s">
        <v>1420</v>
      </c>
      <c r="L16" s="1338"/>
      <c r="M16" s="1294"/>
    </row>
    <row r="17" spans="1:37" s="1856" customFormat="1" ht="18" customHeight="1">
      <c r="A17" s="1201" t="s">
        <v>1385</v>
      </c>
      <c r="B17" s="347" t="s">
        <v>1421</v>
      </c>
      <c r="C17" s="24">
        <f ca="1">ROUND(F17*(F43+INDIRECT("'数据-取费表'!S"&amp;$G$1))/10000,0)</f>
        <v>112</v>
      </c>
      <c r="D17" s="347" t="s">
        <v>1422</v>
      </c>
      <c r="E17" s="347" t="s">
        <v>1423</v>
      </c>
      <c r="F17" s="26">
        <f>'数据-取费表'!B35</f>
        <v>200</v>
      </c>
      <c r="G17" s="1852"/>
      <c r="H17" s="1201" t="s">
        <v>1032</v>
      </c>
      <c r="I17" s="347" t="s">
        <v>1424</v>
      </c>
      <c r="J17" s="24">
        <f ca="1">ROUND(IF(项目基本情况!B11="自然人",J6*M17/(1+'数据-取费表'!C42),J18+J19+J20),1)</f>
        <v>58</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1386</v>
      </c>
      <c r="B18" s="347" t="s">
        <v>1427</v>
      </c>
      <c r="C18" s="24">
        <f ca="1">ROUND(C14*F18,0)</f>
        <v>76</v>
      </c>
      <c r="D18" s="347" t="s">
        <v>1416</v>
      </c>
      <c r="E18" s="347" t="s">
        <v>1417</v>
      </c>
      <c r="F18" s="367">
        <f>'数据-取费表'!B36</f>
        <v>1.4999999999999999E-2</v>
      </c>
      <c r="G18" s="1852"/>
      <c r="H18" s="1201"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1032</v>
      </c>
      <c r="B19" s="347" t="s">
        <v>1430</v>
      </c>
      <c r="C19" s="24">
        <f ca="1">SUM(C14:C18)</f>
        <v>5384</v>
      </c>
      <c r="D19" s="140" t="s">
        <v>1431</v>
      </c>
      <c r="E19" s="1816"/>
      <c r="F19" s="26"/>
      <c r="G19" s="1849"/>
      <c r="H19" s="1201" t="s">
        <v>1033</v>
      </c>
      <c r="I19" s="347" t="s">
        <v>1432</v>
      </c>
      <c r="J19" s="24">
        <f ca="1">IF(K19="按租金收入计税",ROUND(J6*M19/(1+'数据-取费表'!C42),2),ROUND(C29*M19*0.7,2))</f>
        <v>58.03</v>
      </c>
      <c r="K19" s="1826" t="s">
        <v>1433</v>
      </c>
      <c r="L19" s="347" t="s">
        <v>1417</v>
      </c>
      <c r="M19" s="367">
        <f>IF(K19="按租金收入计税",'数据-取费表'!B51,'数据-取费表'!B50)</f>
        <v>1.2E-2</v>
      </c>
    </row>
    <row r="20" spans="1:37" s="1856" customFormat="1" ht="18" customHeight="1">
      <c r="A20" s="1201" t="s">
        <v>1036</v>
      </c>
      <c r="B20" s="347" t="s">
        <v>1434</v>
      </c>
      <c r="C20" s="24">
        <f ca="1">ROUND(C19*F20,0)</f>
        <v>108</v>
      </c>
      <c r="D20" s="369" t="s">
        <v>1435</v>
      </c>
      <c r="E20" s="347" t="s">
        <v>1417</v>
      </c>
      <c r="F20" s="367">
        <f>'数据-取费表'!B37</f>
        <v>0.02</v>
      </c>
      <c r="G20" s="1852"/>
      <c r="H20" s="1201" t="s">
        <v>1384</v>
      </c>
      <c r="I20" s="164" t="s">
        <v>1436</v>
      </c>
      <c r="J20" s="25">
        <f ca="1">ROUND(M20*M21/10000,2)</f>
        <v>0</v>
      </c>
      <c r="K20" s="370" t="s">
        <v>1437</v>
      </c>
      <c r="L20" s="347" t="s">
        <v>1438</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1072</v>
      </c>
      <c r="B21" s="347" t="s">
        <v>1439</v>
      </c>
      <c r="C21" s="24" t="s">
        <v>18</v>
      </c>
      <c r="D21" s="369" t="s">
        <v>1440</v>
      </c>
      <c r="E21" s="347" t="s">
        <v>1441</v>
      </c>
      <c r="F21" s="367">
        <f>'数据-取费表'!B38</f>
        <v>0.03</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6"/>
      <c r="F22" s="26"/>
      <c r="G22" s="1849"/>
      <c r="H22" s="1201" t="s">
        <v>1036</v>
      </c>
      <c r="I22" s="347" t="s">
        <v>1444</v>
      </c>
      <c r="J22" s="24">
        <f ca="1">ROUND(J14*M22,1)</f>
        <v>103.6</v>
      </c>
      <c r="K22" s="1796" t="s">
        <v>1445</v>
      </c>
      <c r="L22" s="347" t="s">
        <v>1417</v>
      </c>
      <c r="M22" s="374">
        <f ca="1">INDIRECT("'数据-取费表'!Ak"&amp;$G$1)</f>
        <v>1.4999999999999999E-2</v>
      </c>
    </row>
    <row r="23" spans="1:37" s="1856" customFormat="1" ht="18" customHeight="1">
      <c r="A23" s="1201" t="s">
        <v>1031</v>
      </c>
      <c r="B23" s="347" t="s">
        <v>1446</v>
      </c>
      <c r="C23" s="24">
        <f ca="1">IF('数据-取费表'!B22&lt;=1,ROUND(C19*F24*F23/2,0)+ROUND(C20*F24*F23/2,0),ROUND(C19*(POWER((1+F24),F23/2)-1),0)+ROUND(C20*(POWER((1+F24),F23/2)-1),0))</f>
        <v>261</v>
      </c>
      <c r="D23" s="375" t="str">
        <f>IF(F23&lt;=1,"(建造成本+管理费用)×利率×(建设周期÷2)","(建造成本+管理费用)×((1+利率)^(建设周期÷2)-1)")</f>
        <v>(建造成本+管理费用)×((1+利率)^(建设周期÷2)-1)</v>
      </c>
      <c r="E23" s="347" t="s">
        <v>1447</v>
      </c>
      <c r="F23" s="371">
        <f>'数据-取费表'!B20</f>
        <v>2</v>
      </c>
      <c r="G23" s="1852"/>
      <c r="H23" s="1201"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9" t="s">
        <v>1388</v>
      </c>
      <c r="I24" s="1340" t="s">
        <v>1434</v>
      </c>
      <c r="J24" s="1341">
        <f ca="1">ROUND(J5*M24,1)</f>
        <v>0</v>
      </c>
      <c r="K24" s="1342" t="s">
        <v>1454</v>
      </c>
      <c r="L24" s="1340" t="s">
        <v>1450</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1455</v>
      </c>
      <c r="B25" s="347" t="s">
        <v>1456</v>
      </c>
      <c r="C25" s="24"/>
      <c r="D25" s="140" t="s">
        <v>1457</v>
      </c>
      <c r="E25" s="1816"/>
      <c r="F25" s="26"/>
      <c r="G25" s="1849"/>
      <c r="H25" s="1329" t="s">
        <v>1028</v>
      </c>
      <c r="I25" s="1344" t="s">
        <v>1458</v>
      </c>
      <c r="J25" s="355">
        <f ca="1">J5-J16</f>
        <v>-162</v>
      </c>
      <c r="K25" s="1345" t="s">
        <v>1459</v>
      </c>
      <c r="L25" s="1346"/>
      <c r="M25" s="1347"/>
    </row>
    <row r="26" spans="1:37">
      <c r="A26" s="1201" t="s">
        <v>1031</v>
      </c>
      <c r="B26" s="347" t="s">
        <v>1460</v>
      </c>
      <c r="C26" s="24">
        <f ca="1">ROUND((C19+C20)*F26,0)</f>
        <v>549</v>
      </c>
      <c r="D26" s="369" t="s">
        <v>1461</v>
      </c>
      <c r="E26" s="358" t="s">
        <v>1462</v>
      </c>
      <c r="F26" s="357">
        <f ca="1">INDIRECT("'数据-取费表'!q"&amp;$G$1)</f>
        <v>0.1</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1"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1035</v>
      </c>
      <c r="B29" s="1340" t="s">
        <v>1473</v>
      </c>
      <c r="C29" s="1341">
        <f ca="1">ROUND((C19+C20+C23+C26)/(1-F21-C24-C27-C28),0)</f>
        <v>6908</v>
      </c>
      <c r="D29" s="1342"/>
      <c r="E29" s="1340"/>
      <c r="F29" s="1343"/>
      <c r="G29" s="1852"/>
      <c r="H29" s="380" t="s">
        <v>1030</v>
      </c>
      <c r="I29" s="381" t="s">
        <v>1474</v>
      </c>
      <c r="J29" s="382">
        <f ca="1">ROUND(J26/(1+F40)^F41,0)</f>
        <v>0</v>
      </c>
      <c r="K29" s="383" t="s">
        <v>1475</v>
      </c>
      <c r="L29" s="384"/>
      <c r="M29" s="385">
        <f ca="1">INDIRECT("'数据-取费表'!k"&amp;$G$1)</f>
        <v>5605.68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1027</v>
      </c>
      <c r="B30" s="1330" t="s">
        <v>1419</v>
      </c>
      <c r="C30" s="355">
        <f ca="1">ROUND(C31+C36+C37+C38,0)</f>
        <v>163</v>
      </c>
      <c r="D30" s="1337" t="s">
        <v>1420</v>
      </c>
      <c r="E30" s="1338"/>
      <c r="F30" s="1294"/>
      <c r="G30" s="1849"/>
      <c r="H30" s="745"/>
      <c r="I30" s="746"/>
      <c r="J30" s="747"/>
      <c r="K30" s="748"/>
      <c r="L30" s="749"/>
      <c r="M30" s="750"/>
    </row>
    <row r="31" spans="1:37" ht="18" customHeight="1">
      <c r="A31" s="1201" t="s">
        <v>1032</v>
      </c>
      <c r="B31" s="347" t="s">
        <v>1424</v>
      </c>
      <c r="C31" s="24">
        <f ca="1">ROUND(IF(项目基本情况!B11="自然人",C6*F31/(1+'数据-取费表'!C42),C32+C33+C34),1)</f>
        <v>46.3</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1031</v>
      </c>
      <c r="B32" s="347" t="s">
        <v>1428</v>
      </c>
      <c r="C32" s="24">
        <f ca="1">IF(项目基本情况!B11="自然人","——",ROUND(C6*F32/(1+'数据-取费表'!C42),2))</f>
        <v>14.72</v>
      </c>
      <c r="D32" s="1796" t="s">
        <v>1429</v>
      </c>
      <c r="E32" s="347" t="s">
        <v>1417</v>
      </c>
      <c r="F32" s="377">
        <f>'数据-取费表'!B41</f>
        <v>5.6000000000000001E-2</v>
      </c>
      <c r="G32" s="1849"/>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31.54</v>
      </c>
      <c r="D33" s="1826" t="s">
        <v>3119</v>
      </c>
      <c r="E33" s="347" t="s">
        <v>1417</v>
      </c>
      <c r="F33" s="367">
        <f>IF(D33="按票据","——",IF(D33="按租金收入计税",'数据-取费表'!B51,'数据-取费表'!B50))</f>
        <v>0.12</v>
      </c>
      <c r="G33" s="1849"/>
      <c r="H33" s="1857"/>
      <c r="I33" s="1858"/>
      <c r="J33" s="1859"/>
      <c r="K33" s="1860"/>
      <c r="L33" s="1857"/>
      <c r="M33" s="1857"/>
    </row>
    <row r="34" spans="1:18" ht="18" customHeight="1">
      <c r="A34" s="1291" t="s">
        <v>1384</v>
      </c>
      <c r="B34" s="164" t="s">
        <v>1436</v>
      </c>
      <c r="C34" s="25">
        <f ca="1">IF(项目基本情况!B11="自然人","——",ROUND(F34*F35/10000,2))</f>
        <v>0</v>
      </c>
      <c r="D34" s="370" t="s">
        <v>1437</v>
      </c>
      <c r="E34" s="347" t="s">
        <v>1438</v>
      </c>
      <c r="F34" s="371">
        <f>'数据-取费表'!B52</f>
        <v>10</v>
      </c>
      <c r="G34" s="1849"/>
      <c r="H34" s="745"/>
      <c r="I34" s="1858"/>
      <c r="J34" s="1859"/>
      <c r="K34" s="1861"/>
      <c r="L34" s="1862"/>
      <c r="M34" s="1862"/>
    </row>
    <row r="35" spans="1:18" ht="18" customHeight="1">
      <c r="A35" s="1353"/>
      <c r="B35" s="1351"/>
      <c r="C35" s="29"/>
      <c r="D35" s="373"/>
      <c r="E35" s="347" t="s">
        <v>1442</v>
      </c>
      <c r="F35" s="348">
        <f ca="1">INDIRECT("'数据-取费表'!r"&amp;$G$1)</f>
        <v>0</v>
      </c>
      <c r="G35" s="1849"/>
      <c r="H35" s="745"/>
      <c r="I35" s="1858"/>
      <c r="J35" s="1859"/>
      <c r="K35" s="1860"/>
      <c r="L35" s="1857"/>
      <c r="M35" s="1857"/>
    </row>
    <row r="36" spans="1:18" ht="18" customHeight="1">
      <c r="A36" s="1352" t="s">
        <v>1036</v>
      </c>
      <c r="B36" s="347" t="s">
        <v>1444</v>
      </c>
      <c r="C36" s="24">
        <f ca="1">ROUND(C29*F36,1)</f>
        <v>103.6</v>
      </c>
      <c r="D36" s="1796" t="s">
        <v>1477</v>
      </c>
      <c r="E36" s="347" t="s">
        <v>1417</v>
      </c>
      <c r="F36" s="374">
        <f ca="1">INDIRECT("'数据-取费表'!Ak"&amp;$G$1)</f>
        <v>1.4999999999999999E-2</v>
      </c>
      <c r="G36" s="1849"/>
      <c r="H36" s="1857"/>
      <c r="I36" s="1858"/>
      <c r="J36" s="1859"/>
      <c r="K36" s="751"/>
      <c r="L36" s="1857"/>
      <c r="M36" s="1857"/>
    </row>
    <row r="37" spans="1:18" ht="18" customHeight="1">
      <c r="A37" s="1201" t="s">
        <v>1072</v>
      </c>
      <c r="B37" s="347" t="s">
        <v>1448</v>
      </c>
      <c r="C37" s="24">
        <f ca="1">ROUND(C13*F37,1)</f>
        <v>10.199999999999999</v>
      </c>
      <c r="D37" s="1796" t="s">
        <v>1449</v>
      </c>
      <c r="E37" s="347" t="s">
        <v>1450</v>
      </c>
      <c r="F37" s="376">
        <f ca="1">INDIRECT("'数据-取费表'!Al"&amp;$G$1)</f>
        <v>1.5E-3</v>
      </c>
      <c r="G37" s="1849"/>
      <c r="H37" s="1857"/>
      <c r="I37" s="1858"/>
      <c r="J37" s="1859"/>
      <c r="K37" s="751"/>
      <c r="L37" s="1857"/>
      <c r="M37" s="1857"/>
    </row>
    <row r="38" spans="1:18" ht="18" customHeight="1" thickBot="1">
      <c r="A38" s="1339" t="s">
        <v>1388</v>
      </c>
      <c r="B38" s="1340" t="s">
        <v>1434</v>
      </c>
      <c r="C38" s="1341">
        <f ca="1">ROUND(C5*F38,1)</f>
        <v>2.8</v>
      </c>
      <c r="D38" s="1342" t="s">
        <v>1454</v>
      </c>
      <c r="E38" s="1340" t="s">
        <v>1450</v>
      </c>
      <c r="F38" s="1336">
        <f ca="1">INDIRECT("'数据-取费表'!Am"&amp;$G$1)</f>
        <v>0.01</v>
      </c>
      <c r="G38" s="1849"/>
      <c r="H38" s="1857"/>
      <c r="I38" s="1858"/>
      <c r="J38" s="1859"/>
      <c r="K38" s="1863"/>
      <c r="L38" s="1857"/>
      <c r="M38" s="1857"/>
    </row>
    <row r="39" spans="1:18" ht="24.6" customHeight="1" thickTop="1">
      <c r="A39" s="1329" t="s">
        <v>1028</v>
      </c>
      <c r="B39" s="1344" t="s">
        <v>1478</v>
      </c>
      <c r="C39" s="355">
        <f ca="1">C5-C30</f>
        <v>113</v>
      </c>
      <c r="D39" s="1345" t="s">
        <v>1479</v>
      </c>
      <c r="E39" s="1346"/>
      <c r="F39" s="1347"/>
      <c r="G39" s="1849"/>
      <c r="H39" s="1857"/>
      <c r="I39" s="1858"/>
      <c r="J39" s="1859"/>
      <c r="K39" s="1863"/>
      <c r="L39" s="1857"/>
      <c r="M39" s="1857"/>
    </row>
    <row r="40" spans="1:18" ht="18" customHeight="1">
      <c r="A40" s="344" t="s">
        <v>1029</v>
      </c>
      <c r="B40" s="345" t="s">
        <v>1480</v>
      </c>
      <c r="C40" s="346">
        <f ca="1">ROUND(C39*(1-((1+F42)/(1+F40))^F41)/(F40-F42),0)</f>
        <v>2679</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37.46</v>
      </c>
      <c r="G41" s="1849"/>
      <c r="H41" s="732"/>
      <c r="I41" s="1858"/>
      <c r="J41" s="1859"/>
      <c r="K41" s="751"/>
      <c r="L41" s="732"/>
      <c r="M41" s="732"/>
    </row>
    <row r="42" spans="1:18" ht="18" customHeight="1">
      <c r="A42" s="353"/>
      <c r="B42" s="354"/>
      <c r="C42" s="355"/>
      <c r="D42" s="373"/>
      <c r="E42" s="347" t="s">
        <v>1472</v>
      </c>
      <c r="F42" s="357">
        <f ca="1">INDIRECT("'数据-取费表'!v"&amp;$G$1)</f>
        <v>0.03</v>
      </c>
      <c r="G42" s="1849"/>
      <c r="H42" s="732"/>
      <c r="I42" s="1858"/>
      <c r="J42" s="1859"/>
      <c r="K42" s="751"/>
      <c r="L42" s="732"/>
      <c r="M42" s="732"/>
    </row>
    <row r="43" spans="1:18" ht="18" customHeight="1" thickBot="1">
      <c r="A43" s="380" t="s">
        <v>1030</v>
      </c>
      <c r="B43" s="381" t="s">
        <v>1482</v>
      </c>
      <c r="C43" s="382">
        <f ca="1">ROUND(C40*10000/F43,0)</f>
        <v>4779</v>
      </c>
      <c r="D43" s="383" t="s">
        <v>1483</v>
      </c>
      <c r="E43" s="384" t="s">
        <v>1484</v>
      </c>
      <c r="F43" s="385">
        <f ca="1">INDIRECT("'数据-取费表'!k"&amp;$G$1)</f>
        <v>5605.68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-13599</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5" t="s">
        <v>1391</v>
      </c>
      <c r="B47" s="1197" t="s">
        <v>1392</v>
      </c>
      <c r="C47" s="1367" t="s">
        <v>1393</v>
      </c>
      <c r="D47" s="1197" t="s">
        <v>1394</v>
      </c>
      <c r="E47" s="1279" t="s">
        <v>1395</v>
      </c>
      <c r="F47" s="1280"/>
      <c r="G47" s="792"/>
      <c r="I47" s="1878" t="s">
        <v>1521</v>
      </c>
      <c r="J47" s="1879" t="s">
        <v>3120</v>
      </c>
      <c r="K47" s="1880" t="s">
        <v>1522</v>
      </c>
      <c r="L47" s="1881">
        <f ca="1">INDIRECT("'数据-取费表'!d"&amp;$G$1)</f>
        <v>40</v>
      </c>
      <c r="M47" s="1836" t="str">
        <f>IF(ISNUMBER(FIND("住宅",C1)),"住宅","非住宅")</f>
        <v>非住宅</v>
      </c>
      <c r="O47" s="1882" t="s">
        <v>1037</v>
      </c>
      <c r="P47" s="1883" t="s">
        <v>1523</v>
      </c>
      <c r="Q47" s="1884">
        <f ca="1">C40+J29</f>
        <v>2679</v>
      </c>
      <c r="R47" s="1884" t="s">
        <v>1524</v>
      </c>
    </row>
    <row r="48" spans="1:18" s="1840" customFormat="1" ht="28.5" thickBot="1">
      <c r="A48" s="1360" t="s">
        <v>1132</v>
      </c>
      <c r="B48" s="345" t="s">
        <v>1396</v>
      </c>
      <c r="C48" s="1815">
        <f ca="1">C49+C53+C55</f>
        <v>0</v>
      </c>
      <c r="D48" s="1362"/>
      <c r="E48" s="1363"/>
      <c r="F48" s="1181"/>
      <c r="G48" s="792"/>
      <c r="H48" s="793"/>
      <c r="I48" s="1885" t="s">
        <v>1525</v>
      </c>
      <c r="J48" s="1886" t="s">
        <v>3121</v>
      </c>
      <c r="K48" s="1887" t="s">
        <v>1526</v>
      </c>
      <c r="L48" s="1888">
        <f ca="1">INDIRECT("'数据-取费表'!f"&amp;$G$1)</f>
        <v>37.46</v>
      </c>
      <c r="O48" s="1882" t="s">
        <v>1038</v>
      </c>
      <c r="P48" s="1883" t="s">
        <v>1527</v>
      </c>
      <c r="Q48" s="1884" t="str">
        <f ca="1">J60</f>
        <v>0</v>
      </c>
      <c r="R48" s="1884" t="s">
        <v>1528</v>
      </c>
    </row>
    <row r="49" spans="1:18" s="1840" customFormat="1" ht="13.5" thickBot="1">
      <c r="A49" s="1194" t="s">
        <v>1133</v>
      </c>
      <c r="B49" s="1827" t="s">
        <v>1485</v>
      </c>
      <c r="C49" s="1364">
        <f ca="1">ROUND(F49*F51*F50*(1-F52)/10000,0)</f>
        <v>0</v>
      </c>
      <c r="D49" s="1276" t="s">
        <v>3025</v>
      </c>
      <c r="E49" s="1828" t="s">
        <v>1486</v>
      </c>
      <c r="F49" s="1281"/>
      <c r="G49" s="1889"/>
      <c r="H49" s="793"/>
      <c r="I49" s="1885" t="s">
        <v>1529</v>
      </c>
      <c r="J49" s="1890">
        <v>2018</v>
      </c>
      <c r="K49" s="1887" t="s">
        <v>1530</v>
      </c>
      <c r="L49" s="1891"/>
      <c r="O49" s="1892" t="s">
        <v>1039</v>
      </c>
      <c r="P49" s="1883" t="s">
        <v>1531</v>
      </c>
      <c r="Q49" s="1884">
        <f ca="1">C29</f>
        <v>6908</v>
      </c>
      <c r="R49" s="1884" t="s">
        <v>1524</v>
      </c>
    </row>
    <row r="50" spans="1:18" s="1840" customFormat="1" ht="13.5" thickBot="1">
      <c r="A50" s="1195"/>
      <c r="B50" s="1198"/>
      <c r="C50" s="1368"/>
      <c r="D50" s="1172"/>
      <c r="E50" s="1277" t="s">
        <v>1401</v>
      </c>
      <c r="F50" s="1278">
        <f ca="1">F7</f>
        <v>5605.68</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6"/>
      <c r="B51" s="1198"/>
      <c r="C51" s="1199"/>
      <c r="D51" s="1172"/>
      <c r="E51" s="1200" t="s">
        <v>1402</v>
      </c>
      <c r="F51" s="348">
        <f ca="1">F8</f>
        <v>365</v>
      </c>
      <c r="I51" s="1896" t="s">
        <v>1535</v>
      </c>
      <c r="J51" s="1897">
        <f>IF(J49="",J50,J49+J50-YEAR('数据-取费表'!B2))</f>
        <v>59</v>
      </c>
      <c r="K51" s="1898" t="s">
        <v>1536</v>
      </c>
      <c r="L51" s="1899">
        <f ca="1">ROUND(-PV(INDIRECT("'数据-取费表'!h"&amp;$G$1),L48,(C39-C13*C76),0),0)</f>
        <v>-7762</v>
      </c>
      <c r="M51" s="1900"/>
      <c r="O51" s="1892" t="s">
        <v>1041</v>
      </c>
      <c r="P51" s="1883" t="s">
        <v>1537</v>
      </c>
      <c r="Q51" s="1895">
        <f>J52</f>
        <v>0.09</v>
      </c>
      <c r="R51" s="1884"/>
    </row>
    <row r="52" spans="1:18" s="1840" customFormat="1" ht="13.5" thickBot="1">
      <c r="A52" s="1196"/>
      <c r="B52" s="1198"/>
      <c r="C52" s="1199"/>
      <c r="D52" s="1172"/>
      <c r="E52" s="1200" t="s">
        <v>1403</v>
      </c>
      <c r="F52" s="1275"/>
      <c r="I52" s="1901" t="s">
        <v>1538</v>
      </c>
      <c r="J52" s="1902">
        <v>0.09</v>
      </c>
      <c r="K52" s="1901" t="s">
        <v>1539</v>
      </c>
      <c r="L52" s="1902"/>
      <c r="O52" s="1892" t="s">
        <v>1042</v>
      </c>
      <c r="P52" s="1883" t="s">
        <v>1540</v>
      </c>
      <c r="Q52" s="1884">
        <f ca="1">J53</f>
        <v>37.46</v>
      </c>
      <c r="R52" s="1884" t="s">
        <v>1541</v>
      </c>
    </row>
    <row r="53" spans="1:18" s="1840" customFormat="1" ht="24.75" thickBot="1">
      <c r="A53" s="1404" t="s">
        <v>1134</v>
      </c>
      <c r="B53" s="1829" t="s">
        <v>1404</v>
      </c>
      <c r="C53" s="361">
        <f ca="1">ROUND(IF(F53="押一",C49/12*F11,IF(F53="押二",C49/12*2*F11,IF(F53="押三",C49/12*3*F11,C54*F11))),0)</f>
        <v>0</v>
      </c>
      <c r="D53" s="1822" t="s">
        <v>3032</v>
      </c>
      <c r="E53" s="358" t="s">
        <v>1405</v>
      </c>
      <c r="F53" s="1366"/>
      <c r="I53" s="1903" t="s">
        <v>1542</v>
      </c>
      <c r="J53" s="2968">
        <f ca="1">IF(M47="住宅",IF(D1="——",MAX(J51,L48),MAX(J51,L48-'数据-取费表'!B24)),IF(D1="——",MIN(J51,L48),MIN(J51,L48-'数据-取费表'!B24)))</f>
        <v>37.46</v>
      </c>
      <c r="K53" s="3250" t="s">
        <v>1543</v>
      </c>
      <c r="L53" s="3251"/>
      <c r="O53" s="1882" t="s">
        <v>1043</v>
      </c>
      <c r="P53" s="1883" t="s">
        <v>1544</v>
      </c>
      <c r="Q53" s="1884">
        <f ca="1">Q47+Q48</f>
        <v>2679</v>
      </c>
      <c r="R53" s="1884" t="s">
        <v>1044</v>
      </c>
    </row>
    <row r="54" spans="1:18" s="1840" customFormat="1" ht="13.5" thickBot="1">
      <c r="A54" s="1405"/>
      <c r="B54" s="1823" t="s">
        <v>1383</v>
      </c>
      <c r="C54" s="1178"/>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3" t="s">
        <v>1072</v>
      </c>
      <c r="B55" s="1825" t="s">
        <v>1408</v>
      </c>
      <c r="C55" s="1334"/>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6">
        <v>2</v>
      </c>
      <c r="B56" s="1177" t="s">
        <v>1409</v>
      </c>
      <c r="C56" s="276">
        <f ca="1">C13</f>
        <v>6770</v>
      </c>
      <c r="D56" s="1911"/>
      <c r="E56" s="1912"/>
      <c r="F56" s="1904"/>
      <c r="I56" s="1913" t="s">
        <v>1549</v>
      </c>
      <c r="J56" s="1914" t="s">
        <v>3092</v>
      </c>
      <c r="K56" s="1885" t="s">
        <v>1550</v>
      </c>
      <c r="L56" s="1888" t="str">
        <f ca="1">IF(L48&lt;J51,"——",L48-J53)</f>
        <v>——</v>
      </c>
      <c r="O56" s="1882" t="s">
        <v>1037</v>
      </c>
      <c r="P56" s="1883" t="s">
        <v>1523</v>
      </c>
      <c r="Q56" s="1884">
        <f ca="1">C40+J29</f>
        <v>2679</v>
      </c>
      <c r="R56" s="1884" t="s">
        <v>1524</v>
      </c>
    </row>
    <row r="57" spans="1:18" s="1840" customFormat="1" ht="24.75" thickBot="1">
      <c r="A57" s="1915"/>
      <c r="B57" s="1169" t="s">
        <v>1473</v>
      </c>
      <c r="C57" s="282">
        <f ca="1">C29</f>
        <v>6908</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7" t="s">
        <v>1419</v>
      </c>
      <c r="C58" s="361">
        <f ca="1">ROUND(C59+C64+C65+C66,0)</f>
        <v>694</v>
      </c>
      <c r="D58" s="1179" t="s">
        <v>1420</v>
      </c>
      <c r="E58" s="1180"/>
      <c r="F58" s="1181"/>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1" t="s">
        <v>1032</v>
      </c>
      <c r="B59" s="1169" t="s">
        <v>1424</v>
      </c>
      <c r="C59" s="24">
        <f ca="1">ROUND(IF(项目基本情况!B11="自然人",C48*F59,C60+C61+C62),1)</f>
        <v>580.29999999999995</v>
      </c>
      <c r="D59" s="1182" t="s">
        <v>1425</v>
      </c>
      <c r="E59" s="1183"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1" t="s">
        <v>1487</v>
      </c>
      <c r="B61" s="1169" t="s">
        <v>1488</v>
      </c>
      <c r="C61" s="24">
        <f ca="1">IF(项目基本情况!B11="自然人","——",IF(D61="按租金收入计税",ROUND(C48*F61,2),IF(D61="按房产原值计税",ROUND(C57*F61*0.7,2),INDIRECT("'数据-取费表'!Aj"&amp;$G$1))))</f>
        <v>580.27</v>
      </c>
      <c r="D61" s="1826" t="s">
        <v>1433</v>
      </c>
      <c r="E61" s="1169"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1" t="s">
        <v>1490</v>
      </c>
      <c r="B62" s="1168" t="s">
        <v>1491</v>
      </c>
      <c r="C62" s="25">
        <f ca="1">IF(项目基本情况!B11="自然人","——",ROUND(F62*F63/10000,2))</f>
        <v>0</v>
      </c>
      <c r="D62" s="1184" t="s">
        <v>1492</v>
      </c>
      <c r="E62" s="1169" t="s">
        <v>1493</v>
      </c>
      <c r="F62" s="371">
        <f t="shared" si="0"/>
        <v>10</v>
      </c>
      <c r="I62" s="1926" t="s">
        <v>1565</v>
      </c>
      <c r="J62" s="1927" t="s">
        <v>1566</v>
      </c>
      <c r="K62" s="1927" t="s">
        <v>1567</v>
      </c>
      <c r="L62" s="1927" t="s">
        <v>1568</v>
      </c>
      <c r="M62" s="1928" t="s">
        <v>1569</v>
      </c>
      <c r="O62" s="1882" t="s">
        <v>1043</v>
      </c>
      <c r="P62" s="1883" t="s">
        <v>1570</v>
      </c>
      <c r="Q62" s="1884">
        <f ca="1">Q56+Q57</f>
        <v>2679</v>
      </c>
      <c r="R62" s="1884" t="s">
        <v>1044</v>
      </c>
    </row>
    <row r="63" spans="1:18" s="1840" customFormat="1" ht="13.5" thickBot="1">
      <c r="A63" s="372"/>
      <c r="B63" s="1175"/>
      <c r="C63" s="29"/>
      <c r="D63" s="1185"/>
      <c r="E63" s="1169"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1" t="s">
        <v>1495</v>
      </c>
      <c r="B64" s="1169" t="s">
        <v>1496</v>
      </c>
      <c r="C64" s="24">
        <f ca="1">ROUND(C57*F64,1)</f>
        <v>103.6</v>
      </c>
      <c r="D64" s="1183" t="s">
        <v>1497</v>
      </c>
      <c r="E64" s="1169"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1" t="s">
        <v>1498</v>
      </c>
      <c r="B65" s="1169" t="s">
        <v>1448</v>
      </c>
      <c r="C65" s="24">
        <f ca="1">ROUND(C56*F65,1)</f>
        <v>10.199999999999999</v>
      </c>
      <c r="D65" s="1183" t="s">
        <v>1449</v>
      </c>
      <c r="E65" s="1169" t="s">
        <v>1450</v>
      </c>
      <c r="F65" s="376">
        <f t="shared" ca="1" si="0"/>
        <v>1.5E-3</v>
      </c>
      <c r="I65" s="1926" t="s">
        <v>1574</v>
      </c>
      <c r="J65" s="1927">
        <v>40</v>
      </c>
      <c r="K65" s="1927">
        <v>30</v>
      </c>
      <c r="L65" s="1927">
        <v>50</v>
      </c>
      <c r="M65" s="1929">
        <v>0.02</v>
      </c>
      <c r="O65" s="1882" t="s">
        <v>1037</v>
      </c>
      <c r="P65" s="1883" t="s">
        <v>1575</v>
      </c>
      <c r="Q65" s="1884">
        <f ca="1">C40+J29</f>
        <v>2679</v>
      </c>
      <c r="R65" s="1884" t="s">
        <v>1524</v>
      </c>
    </row>
    <row r="66" spans="1:18" s="1840" customFormat="1" ht="16.5" thickBot="1">
      <c r="A66" s="1201" t="s">
        <v>1499</v>
      </c>
      <c r="B66" s="1169" t="s">
        <v>1434</v>
      </c>
      <c r="C66" s="24">
        <f ca="1">ROUND(C48*F66,1)</f>
        <v>0</v>
      </c>
      <c r="D66" s="1183" t="s">
        <v>1500</v>
      </c>
      <c r="E66" s="1169" t="s">
        <v>1417</v>
      </c>
      <c r="F66" s="357">
        <f t="shared" ca="1" si="0"/>
        <v>0.01</v>
      </c>
      <c r="O66" s="1882" t="s">
        <v>1038</v>
      </c>
      <c r="P66" s="1883" t="s">
        <v>1553</v>
      </c>
      <c r="Q66" s="1884">
        <f ca="1">L60</f>
        <v>0</v>
      </c>
      <c r="R66" s="1884" t="s">
        <v>1576</v>
      </c>
    </row>
    <row r="67" spans="1:18" s="1840" customFormat="1" ht="16.5" thickBot="1">
      <c r="A67" s="1176" t="s">
        <v>1028</v>
      </c>
      <c r="B67" s="1186" t="s">
        <v>1458</v>
      </c>
      <c r="C67" s="361">
        <f ca="1">C48-C58</f>
        <v>-694</v>
      </c>
      <c r="D67" s="1182" t="s">
        <v>1459</v>
      </c>
      <c r="E67" s="1187"/>
      <c r="F67" s="1188"/>
      <c r="O67" s="1892" t="s">
        <v>1039</v>
      </c>
      <c r="P67" s="1883" t="s">
        <v>1557</v>
      </c>
      <c r="Q67" s="1930">
        <f ca="1">L51</f>
        <v>-7762</v>
      </c>
      <c r="R67" s="1884" t="s">
        <v>1577</v>
      </c>
    </row>
    <row r="68" spans="1:18" s="1840" customFormat="1" ht="16.5" thickBot="1">
      <c r="A68" s="1166" t="s">
        <v>1029</v>
      </c>
      <c r="B68" s="1167" t="s">
        <v>1480</v>
      </c>
      <c r="C68" s="346">
        <f ca="1">ROUND(C67*(1-((1+F70)/(1+F68))^F69)/(F68-F70),0)</f>
        <v>-10920</v>
      </c>
      <c r="D68" s="1184" t="s">
        <v>1464</v>
      </c>
      <c r="E68" s="1169" t="s">
        <v>1465</v>
      </c>
      <c r="F68" s="357">
        <f ca="1">F40</f>
        <v>5.5E-2</v>
      </c>
      <c r="O68" s="1892" t="s">
        <v>1040</v>
      </c>
      <c r="P68" s="1931" t="s">
        <v>1578</v>
      </c>
      <c r="Q68" s="1884">
        <f ca="1">ROUND(Q69-Q70*Q71,0)</f>
        <v>-462</v>
      </c>
      <c r="R68" s="1884" t="s">
        <v>1048</v>
      </c>
    </row>
    <row r="69" spans="1:18" s="1840" customFormat="1" ht="13.5" thickBot="1">
      <c r="A69" s="1170"/>
      <c r="B69" s="1171"/>
      <c r="C69" s="351"/>
      <c r="D69" s="1189" t="s">
        <v>1468</v>
      </c>
      <c r="E69" s="1169" t="s">
        <v>1469</v>
      </c>
      <c r="F69" s="379">
        <f ca="1">F41</f>
        <v>37.46</v>
      </c>
      <c r="O69" s="1892" t="s">
        <v>1045</v>
      </c>
      <c r="P69" s="1931" t="s">
        <v>1579</v>
      </c>
      <c r="Q69" s="1884">
        <f ca="1">C39</f>
        <v>113</v>
      </c>
      <c r="R69" s="1884" t="s">
        <v>1524</v>
      </c>
    </row>
    <row r="70" spans="1:18" s="1840" customFormat="1" ht="13.5" thickBot="1">
      <c r="A70" s="1173"/>
      <c r="B70" s="1174"/>
      <c r="C70" s="355"/>
      <c r="D70" s="1185"/>
      <c r="E70" s="1169" t="s">
        <v>1472</v>
      </c>
      <c r="F70" s="1275"/>
      <c r="O70" s="1892" t="s">
        <v>1046</v>
      </c>
      <c r="P70" s="1931" t="s">
        <v>1580</v>
      </c>
      <c r="Q70" s="1884">
        <f ca="1">C13</f>
        <v>6770</v>
      </c>
      <c r="R70" s="1884" t="s">
        <v>1524</v>
      </c>
    </row>
    <row r="71" spans="1:18" s="1840" customFormat="1" ht="13.5" thickBot="1">
      <c r="A71" s="1190" t="s">
        <v>1030</v>
      </c>
      <c r="B71" s="1191" t="s">
        <v>1482</v>
      </c>
      <c r="C71" s="382">
        <f ca="1">ROUND(C68*10000/F71,0)</f>
        <v>-19480</v>
      </c>
      <c r="D71" s="1192" t="s">
        <v>1483</v>
      </c>
      <c r="E71" s="1193" t="s">
        <v>1484</v>
      </c>
      <c r="F71" s="385">
        <f ca="1">F43</f>
        <v>5605.68</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575</v>
      </c>
      <c r="D75" s="1840"/>
      <c r="E75" s="1840"/>
      <c r="F75" s="1840"/>
      <c r="K75" s="1866"/>
      <c r="L75" s="1840"/>
      <c r="O75" s="1882" t="s">
        <v>1043</v>
      </c>
      <c r="P75" s="1883" t="s">
        <v>1544</v>
      </c>
      <c r="Q75" s="1884">
        <f ca="1">Q65+Q66</f>
        <v>2679</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-4.0880000000000001</v>
      </c>
    </row>
    <row r="80" spans="1:18">
      <c r="B80" s="386" t="s">
        <v>1506</v>
      </c>
      <c r="C80" s="318">
        <f ca="1">ROUND(C75/C39,3)</f>
        <v>5.0880000000000001</v>
      </c>
    </row>
    <row r="81" spans="2:3">
      <c r="B81" s="314" t="s">
        <v>1507</v>
      </c>
      <c r="C81" s="282"/>
    </row>
    <row r="82" spans="2:3">
      <c r="B82" s="317" t="s">
        <v>1508</v>
      </c>
      <c r="C82" s="319">
        <f ca="1">1-C83</f>
        <v>-1.5270000000000001</v>
      </c>
    </row>
    <row r="83" spans="2:3">
      <c r="B83" s="317" t="s">
        <v>1509</v>
      </c>
      <c r="C83" s="318">
        <f ca="1">ROUND(C13/C40,3)</f>
        <v>2.5270000000000001</v>
      </c>
    </row>
  </sheetData>
  <sheetProtection password="C66D" sheet="1" objects="1" scenarios="1" formatCells="0" formatColumns="0" formatRows="0"/>
  <mergeCells count="3">
    <mergeCell ref="K53:L53"/>
    <mergeCell ref="B6:B9"/>
    <mergeCell ref="I6:I9"/>
  </mergeCells>
  <phoneticPr fontId="8"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3">
        <f ca="1">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2">
        <f ca="1">C6+C10+C12</f>
        <v>0</v>
      </c>
      <c r="D5" s="1820" t="s">
        <v>1596</v>
      </c>
      <c r="E5" s="1293"/>
      <c r="F5" s="1294"/>
      <c r="G5" s="1849"/>
      <c r="H5" s="344">
        <v>1</v>
      </c>
      <c r="I5" s="345" t="s">
        <v>1595</v>
      </c>
      <c r="J5" s="1292">
        <f ca="1">J6+J10+J12</f>
        <v>0</v>
      </c>
      <c r="K5" s="1820" t="s">
        <v>1596</v>
      </c>
      <c r="L5" s="1293"/>
      <c r="M5" s="1294"/>
    </row>
    <row r="6" spans="1:37" ht="18" customHeight="1">
      <c r="A6" s="1291" t="s">
        <v>1032</v>
      </c>
      <c r="B6" s="3252" t="s">
        <v>1398</v>
      </c>
      <c r="C6" s="1296">
        <f ca="1">ROUND(F6*F8*F7*(1-F9),0)</f>
        <v>0</v>
      </c>
      <c r="D6" s="164" t="s">
        <v>3021</v>
      </c>
      <c r="E6" s="347" t="s">
        <v>1400</v>
      </c>
      <c r="F6" s="348">
        <f ca="1">INDIRECT("'数据-取费表'!u"&amp;$G$1)</f>
        <v>0</v>
      </c>
      <c r="G6" s="1849"/>
      <c r="H6" s="1291" t="s">
        <v>1032</v>
      </c>
      <c r="I6" s="3252" t="s">
        <v>1398</v>
      </c>
      <c r="J6" s="346">
        <f ca="1">ROUND(M6*M8*M7*(1-M9),0)</f>
        <v>0</v>
      </c>
      <c r="K6" s="1832" t="s">
        <v>3022</v>
      </c>
      <c r="L6" s="347" t="s">
        <v>1400</v>
      </c>
      <c r="M6" s="348">
        <f ca="1">INDIRECT("'数据-取费表'!z"&amp;$G$1)</f>
        <v>0</v>
      </c>
    </row>
    <row r="7" spans="1:37" ht="18" customHeight="1">
      <c r="A7" s="1295"/>
      <c r="B7" s="3253"/>
      <c r="C7" s="1297"/>
      <c r="D7" s="352"/>
      <c r="E7" s="1298" t="s">
        <v>1401</v>
      </c>
      <c r="F7" s="348">
        <f ca="1">IF(INDIRECT("'数据-取费表'!ah"&amp;$G$1)="",INDIRECT("'数据-取费表'!k"&amp;$G$1),INDIRECT("'数据-取费表'!ah"&amp;$G$1))</f>
        <v>0</v>
      </c>
      <c r="G7" s="1849"/>
      <c r="H7" s="349"/>
      <c r="I7" s="3253"/>
      <c r="J7" s="351"/>
      <c r="K7" s="352"/>
      <c r="L7" s="347" t="s">
        <v>1401</v>
      </c>
      <c r="M7" s="348">
        <f ca="1">F7</f>
        <v>0</v>
      </c>
    </row>
    <row r="8" spans="1:37" ht="18" customHeight="1">
      <c r="A8" s="349"/>
      <c r="B8" s="3253"/>
      <c r="C8" s="351"/>
      <c r="D8" s="352"/>
      <c r="E8" s="347" t="s">
        <v>1402</v>
      </c>
      <c r="F8" s="348">
        <f ca="1">INDIRECT("'数据-取费表'!ai"&amp;$G$1)</f>
        <v>0</v>
      </c>
      <c r="G8" s="1849"/>
      <c r="H8" s="349"/>
      <c r="I8" s="3253"/>
      <c r="J8" s="351"/>
      <c r="K8" s="352"/>
      <c r="L8" s="347" t="s">
        <v>1402</v>
      </c>
      <c r="M8" s="348">
        <f ca="1">INDIRECT("'数据-取费表'!ai"&amp;$G$1)</f>
        <v>0</v>
      </c>
    </row>
    <row r="9" spans="1:37" ht="18" customHeight="1">
      <c r="A9" s="349"/>
      <c r="B9" s="3254"/>
      <c r="C9" s="351"/>
      <c r="D9" s="352"/>
      <c r="E9" s="347" t="s">
        <v>1403</v>
      </c>
      <c r="F9" s="357">
        <f ca="1">INDIRECT("'数据-取费表'!w"&amp;$G$1)</f>
        <v>0</v>
      </c>
      <c r="G9" s="1849"/>
      <c r="H9" s="349"/>
      <c r="I9" s="3254"/>
      <c r="J9" s="351"/>
      <c r="K9" s="352"/>
      <c r="L9" s="358" t="s">
        <v>1403</v>
      </c>
      <c r="M9" s="359">
        <f ca="1">INDIRECT("'数据-取费表'!ab"&amp;$G$1)</f>
        <v>0</v>
      </c>
    </row>
    <row r="10" spans="1:37" ht="18" customHeight="1">
      <c r="A10" s="1291" t="s">
        <v>1036</v>
      </c>
      <c r="B10" s="1821" t="s">
        <v>1404</v>
      </c>
      <c r="C10" s="361">
        <f ca="1">ROUND(IF(F10="押一",C6/12*F11,IF(F10="押二",C6/12*2*F11,IF(F10="押三",C6/12*3*F11,C11*F11))),0)</f>
        <v>0</v>
      </c>
      <c r="D10" s="1822" t="s">
        <v>3032</v>
      </c>
      <c r="E10" s="358" t="s">
        <v>1405</v>
      </c>
      <c r="F10" s="1366"/>
      <c r="G10" s="1849"/>
      <c r="H10" s="1291" t="s">
        <v>1036</v>
      </c>
      <c r="I10" s="1821" t="s">
        <v>1404</v>
      </c>
      <c r="J10" s="346">
        <f ca="1">ROUND(IF(M10="押一",J6/12*M11,IF(M10="押二",J6/12*2*M11,IF(M10="押三",J6/12*3*M11,J11*M11))),0)</f>
        <v>0</v>
      </c>
      <c r="K10" s="1833" t="s">
        <v>3034</v>
      </c>
      <c r="L10" s="358" t="s">
        <v>1405</v>
      </c>
      <c r="M10" s="1366"/>
    </row>
    <row r="11" spans="1:37" ht="18" customHeight="1">
      <c r="A11" s="353"/>
      <c r="B11" s="1823" t="s">
        <v>1597</v>
      </c>
      <c r="C11" s="1178"/>
      <c r="D11" s="352"/>
      <c r="E11" s="358" t="s">
        <v>1407</v>
      </c>
      <c r="F11" s="359">
        <f ca="1">'数据-取费表'!B39</f>
        <v>1.4999999999999999E-2</v>
      </c>
      <c r="G11" s="1849"/>
      <c r="H11" s="1299"/>
      <c r="I11" s="1823" t="s">
        <v>1598</v>
      </c>
      <c r="J11" s="1178"/>
      <c r="K11" s="748"/>
      <c r="L11" s="358" t="s">
        <v>1407</v>
      </c>
      <c r="M11" s="1056">
        <f ca="1">'数据-取费表'!B39</f>
        <v>1.4999999999999999E-2</v>
      </c>
    </row>
    <row r="12" spans="1:37" ht="18" customHeight="1" thickBot="1">
      <c r="A12" s="1333" t="s">
        <v>1072</v>
      </c>
      <c r="B12" s="1825" t="s">
        <v>1408</v>
      </c>
      <c r="C12" s="1334"/>
      <c r="D12" s="1335"/>
      <c r="E12" s="1340"/>
      <c r="F12" s="1336"/>
      <c r="G12" s="1849"/>
      <c r="H12" s="1333" t="s">
        <v>1072</v>
      </c>
      <c r="I12" s="1825"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49"/>
      <c r="H13" s="1329">
        <v>2</v>
      </c>
      <c r="I13" s="1330" t="s">
        <v>1409</v>
      </c>
      <c r="J13" s="1290">
        <f ca="1">ROUND(J14*J15,0)</f>
        <v>0</v>
      </c>
      <c r="K13" s="1337" t="s">
        <v>1410</v>
      </c>
      <c r="L13" s="1850"/>
      <c r="M13" s="1851"/>
    </row>
    <row r="14" spans="1:37" ht="18" customHeight="1">
      <c r="A14" s="1201" t="s">
        <v>1031</v>
      </c>
      <c r="B14" s="347" t="s">
        <v>1412</v>
      </c>
      <c r="C14" s="363">
        <f ca="1">ROUND(INDIRECT("'数据-取费表'!l"&amp;$G$1)*F43+'数据-取费表'!L14*INDIRECT("'数据-取费表'!S"&amp;$G$1),0)</f>
        <v>0</v>
      </c>
      <c r="D14" s="1798" t="s">
        <v>1413</v>
      </c>
      <c r="E14" s="1792"/>
      <c r="F14" s="364"/>
      <c r="G14" s="1849"/>
      <c r="H14" s="1201" t="s">
        <v>1032</v>
      </c>
      <c r="I14" s="347" t="s">
        <v>1414</v>
      </c>
      <c r="J14" s="24">
        <f ca="1">C29</f>
        <v>0</v>
      </c>
      <c r="K14" s="15"/>
      <c r="L14" s="979"/>
      <c r="M14" s="980"/>
    </row>
    <row r="15" spans="1:37" s="1856" customFormat="1" ht="18" customHeight="1" thickBot="1">
      <c r="A15" s="1201" t="s">
        <v>1033</v>
      </c>
      <c r="B15" s="347" t="s">
        <v>1415</v>
      </c>
      <c r="C15" s="24">
        <f ca="1">ROUND(C14*F15,0)</f>
        <v>0</v>
      </c>
      <c r="D15" s="365" t="s">
        <v>1416</v>
      </c>
      <c r="E15" s="365" t="s">
        <v>1417</v>
      </c>
      <c r="F15" s="366">
        <f>'数据-取费表'!B33</f>
        <v>0.03</v>
      </c>
      <c r="G15" s="1852"/>
      <c r="H15" s="1339" t="s">
        <v>1036</v>
      </c>
      <c r="I15" s="1340" t="s">
        <v>1411</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49"/>
      <c r="H16" s="1329" t="s">
        <v>1027</v>
      </c>
      <c r="I16" s="1330" t="s">
        <v>1419</v>
      </c>
      <c r="J16" s="355">
        <f ca="1">ROUND(J17+J22+J23+J24,0)</f>
        <v>0</v>
      </c>
      <c r="K16" s="1337" t="s">
        <v>1420</v>
      </c>
      <c r="L16" s="1338"/>
      <c r="M16" s="1294"/>
    </row>
    <row r="17" spans="1:37" s="1856" customFormat="1" ht="18" customHeight="1">
      <c r="A17" s="1201" t="s">
        <v>1385</v>
      </c>
      <c r="B17" s="347" t="s">
        <v>1421</v>
      </c>
      <c r="C17" s="24">
        <f ca="1">ROUND(F17*(F43+INDIRECT("'数据-取费表'!S"&amp;$G$1)),0)</f>
        <v>0</v>
      </c>
      <c r="D17" s="347" t="s">
        <v>1422</v>
      </c>
      <c r="E17" s="347" t="s">
        <v>1423</v>
      </c>
      <c r="F17" s="26">
        <f>'数据-取费表'!B35</f>
        <v>200</v>
      </c>
      <c r="G17" s="1852"/>
      <c r="H17" s="1201"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1386</v>
      </c>
      <c r="B18" s="347" t="s">
        <v>1427</v>
      </c>
      <c r="C18" s="24">
        <f ca="1">ROUND(C14*F18,0)</f>
        <v>0</v>
      </c>
      <c r="D18" s="347" t="s">
        <v>1416</v>
      </c>
      <c r="E18" s="347" t="s">
        <v>1417</v>
      </c>
      <c r="F18" s="367">
        <f>'数据-取费表'!B36</f>
        <v>1.4999999999999999E-2</v>
      </c>
      <c r="G18" s="1852"/>
      <c r="H18" s="1201"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1032</v>
      </c>
      <c r="B19" s="347" t="s">
        <v>1430</v>
      </c>
      <c r="C19" s="24">
        <f ca="1">SUM(C14:C18)</f>
        <v>0</v>
      </c>
      <c r="D19" s="140" t="s">
        <v>1431</v>
      </c>
      <c r="E19" s="1816"/>
      <c r="F19" s="26"/>
      <c r="G19" s="1849"/>
      <c r="H19" s="1201"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1" t="s">
        <v>1036</v>
      </c>
      <c r="B20" s="347" t="s">
        <v>1434</v>
      </c>
      <c r="C20" s="24">
        <f ca="1">ROUND(C19*F20,0)</f>
        <v>0</v>
      </c>
      <c r="D20" s="369" t="s">
        <v>1435</v>
      </c>
      <c r="E20" s="347" t="s">
        <v>1417</v>
      </c>
      <c r="F20" s="367">
        <f>'数据-取费表'!B37</f>
        <v>0.02</v>
      </c>
      <c r="G20" s="1852"/>
      <c r="H20" s="1201" t="s">
        <v>1384</v>
      </c>
      <c r="I20" s="164" t="s">
        <v>1436</v>
      </c>
      <c r="J20" s="25">
        <f ca="1">ROUND(M20*M21,0)</f>
        <v>0</v>
      </c>
      <c r="K20" s="370" t="s">
        <v>1437</v>
      </c>
      <c r="L20" s="347" t="s">
        <v>1438</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1072</v>
      </c>
      <c r="B21" s="347" t="s">
        <v>1439</v>
      </c>
      <c r="C21" s="24" t="s">
        <v>1</v>
      </c>
      <c r="D21" s="369" t="s">
        <v>1440</v>
      </c>
      <c r="E21" s="347" t="s">
        <v>1441</v>
      </c>
      <c r="F21" s="367">
        <f>'数据-取费表'!B38</f>
        <v>0.03</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6"/>
      <c r="F22" s="26"/>
      <c r="G22" s="1849"/>
      <c r="H22" s="1201" t="s">
        <v>1036</v>
      </c>
      <c r="I22" s="347" t="s">
        <v>1444</v>
      </c>
      <c r="J22" s="24">
        <f ca="1">ROUND(J14*M22,0)</f>
        <v>0</v>
      </c>
      <c r="K22" s="1796" t="s">
        <v>1445</v>
      </c>
      <c r="L22" s="347" t="s">
        <v>1417</v>
      </c>
      <c r="M22" s="374">
        <f ca="1">INDIRECT("'数据-取费表'!Ak"&amp;$G$1)</f>
        <v>0</v>
      </c>
    </row>
    <row r="23" spans="1:37" s="1856"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1"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9" t="s">
        <v>1388</v>
      </c>
      <c r="I24" s="1340" t="s">
        <v>1434</v>
      </c>
      <c r="J24" s="1341">
        <f ca="1">ROUND(J5*M24,0)</f>
        <v>0</v>
      </c>
      <c r="K24" s="1342" t="s">
        <v>1454</v>
      </c>
      <c r="L24" s="1340" t="s">
        <v>1450</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1455</v>
      </c>
      <c r="B25" s="347" t="s">
        <v>1456</v>
      </c>
      <c r="C25" s="24"/>
      <c r="D25" s="140" t="s">
        <v>1457</v>
      </c>
      <c r="E25" s="1816"/>
      <c r="F25" s="26"/>
      <c r="G25" s="1849"/>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1"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1035</v>
      </c>
      <c r="B29" s="1340" t="s">
        <v>1473</v>
      </c>
      <c r="C29" s="1341">
        <f ca="1">ROUND((C19+C20+C23+C26)/(1-F21-C24-C27-C28),0)</f>
        <v>0</v>
      </c>
      <c r="D29" s="1342"/>
      <c r="E29" s="1340"/>
      <c r="F29" s="1343"/>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1027</v>
      </c>
      <c r="B30" s="1330" t="s">
        <v>1419</v>
      </c>
      <c r="C30" s="355">
        <f ca="1">ROUND(C31+C36+C37+C38,0)</f>
        <v>0</v>
      </c>
      <c r="D30" s="1337" t="s">
        <v>1420</v>
      </c>
      <c r="E30" s="1338"/>
      <c r="F30" s="1294"/>
      <c r="G30" s="1849"/>
      <c r="H30" s="745"/>
      <c r="I30" s="746"/>
      <c r="J30" s="747"/>
      <c r="K30" s="748"/>
      <c r="L30" s="749"/>
      <c r="M30" s="750"/>
    </row>
    <row r="31" spans="1:37" ht="18" customHeight="1">
      <c r="A31" s="1201"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1" t="s">
        <v>1384</v>
      </c>
      <c r="B34" s="164" t="s">
        <v>1436</v>
      </c>
      <c r="C34" s="25">
        <f ca="1">IF(项目基本情况!B11="自然人","——",ROUND(F34*F35,))</f>
        <v>0</v>
      </c>
      <c r="D34" s="370" t="s">
        <v>1437</v>
      </c>
      <c r="E34" s="347" t="s">
        <v>1438</v>
      </c>
      <c r="F34" s="371">
        <f>'数据-取费表'!B52</f>
        <v>10</v>
      </c>
      <c r="G34" s="1849"/>
      <c r="H34" s="745"/>
      <c r="I34" s="1858"/>
      <c r="J34" s="1859"/>
      <c r="K34" s="1861"/>
      <c r="L34" s="1862"/>
      <c r="M34" s="1862"/>
    </row>
    <row r="35" spans="1:18" ht="18" customHeight="1">
      <c r="A35" s="1353"/>
      <c r="B35" s="1351"/>
      <c r="C35" s="29"/>
      <c r="D35" s="373"/>
      <c r="E35" s="347" t="s">
        <v>1442</v>
      </c>
      <c r="F35" s="348">
        <f ca="1">INDIRECT("'数据-取费表'!r"&amp;$G$1)</f>
        <v>0</v>
      </c>
      <c r="G35" s="1849"/>
      <c r="H35" s="745"/>
      <c r="I35" s="1858"/>
      <c r="J35" s="1859"/>
      <c r="K35" s="1860"/>
      <c r="L35" s="1857"/>
      <c r="M35" s="1857"/>
    </row>
    <row r="36" spans="1:18" ht="18" customHeight="1">
      <c r="A36" s="1352"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1"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9" t="s">
        <v>1388</v>
      </c>
      <c r="B38" s="1340" t="s">
        <v>1434</v>
      </c>
      <c r="C38" s="1341">
        <f ca="1">ROUND(C5*F38,1)</f>
        <v>0</v>
      </c>
      <c r="D38" s="1342" t="s">
        <v>1454</v>
      </c>
      <c r="E38" s="1340" t="s">
        <v>1450</v>
      </c>
      <c r="F38" s="1336">
        <f ca="1">INDIRECT("'数据-取费表'!Am"&amp;$G$1)</f>
        <v>0</v>
      </c>
      <c r="G38" s="1849"/>
      <c r="H38" s="1857"/>
      <c r="I38" s="1858"/>
      <c r="J38" s="1859"/>
      <c r="K38" s="1863"/>
      <c r="L38" s="1857"/>
      <c r="M38" s="1857"/>
    </row>
    <row r="39" spans="1:18" ht="24.6" customHeight="1" thickTop="1">
      <c r="A39" s="1329" t="s">
        <v>1028</v>
      </c>
      <c r="B39" s="1344" t="s">
        <v>1478</v>
      </c>
      <c r="C39" s="355">
        <f ca="1">C5-C30</f>
        <v>0</v>
      </c>
      <c r="D39" s="1345" t="s">
        <v>1479</v>
      </c>
      <c r="E39" s="1346"/>
      <c r="F39" s="1347"/>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5" t="s">
        <v>1391</v>
      </c>
      <c r="B47" s="1197" t="s">
        <v>1392</v>
      </c>
      <c r="C47" s="1197" t="s">
        <v>1393</v>
      </c>
      <c r="D47" s="1197" t="s">
        <v>1394</v>
      </c>
      <c r="E47" s="1279" t="s">
        <v>1395</v>
      </c>
      <c r="F47" s="1280"/>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60" t="s">
        <v>1132</v>
      </c>
      <c r="B48" s="345" t="s">
        <v>1396</v>
      </c>
      <c r="C48" s="1815">
        <f ca="1">C49+C53+C55</f>
        <v>0</v>
      </c>
      <c r="D48" s="1362"/>
      <c r="E48" s="1363"/>
      <c r="F48" s="1181"/>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4" t="s">
        <v>1133</v>
      </c>
      <c r="B49" s="1827" t="s">
        <v>1485</v>
      </c>
      <c r="C49" s="1364">
        <f ca="1">ROUND(F49*F51*F50*(1-F52),0)</f>
        <v>0</v>
      </c>
      <c r="D49" s="1276" t="s">
        <v>1399</v>
      </c>
      <c r="E49" s="1828" t="s">
        <v>1486</v>
      </c>
      <c r="F49" s="1281"/>
      <c r="G49" s="1889"/>
      <c r="H49" s="793"/>
      <c r="I49" s="1885" t="s">
        <v>1529</v>
      </c>
      <c r="J49" s="1890"/>
      <c r="K49" s="1887" t="s">
        <v>1530</v>
      </c>
      <c r="L49" s="1891"/>
      <c r="O49" s="1892" t="s">
        <v>1039</v>
      </c>
      <c r="P49" s="1883" t="s">
        <v>1531</v>
      </c>
      <c r="Q49" s="1884">
        <f ca="1">C29</f>
        <v>0</v>
      </c>
      <c r="R49" s="1884" t="s">
        <v>1524</v>
      </c>
    </row>
    <row r="50" spans="1:18" s="1840" customFormat="1" ht="13.5" thickBot="1">
      <c r="A50" s="1195"/>
      <c r="B50" s="1198"/>
      <c r="C50" s="1199"/>
      <c r="D50" s="1172"/>
      <c r="E50" s="1277" t="s">
        <v>1401</v>
      </c>
      <c r="F50" s="1278">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6"/>
      <c r="B51" s="1198"/>
      <c r="C51" s="1199"/>
      <c r="D51" s="1172"/>
      <c r="E51" s="1200"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6"/>
      <c r="B52" s="1198"/>
      <c r="C52" s="1199"/>
      <c r="D52" s="1172"/>
      <c r="E52" s="1200" t="s">
        <v>1403</v>
      </c>
      <c r="F52" s="1275"/>
      <c r="I52" s="1901" t="s">
        <v>1538</v>
      </c>
      <c r="J52" s="1902"/>
      <c r="K52" s="1901" t="s">
        <v>1539</v>
      </c>
      <c r="L52" s="1902"/>
      <c r="O52" s="1892" t="s">
        <v>1042</v>
      </c>
      <c r="P52" s="1883" t="s">
        <v>1540</v>
      </c>
      <c r="Q52" s="1884">
        <f ca="1">J53</f>
        <v>0</v>
      </c>
      <c r="R52" s="1884" t="s">
        <v>1541</v>
      </c>
    </row>
    <row r="53" spans="1:18" s="1840" customFormat="1" ht="30.75" customHeight="1" thickBot="1">
      <c r="A53" s="1361" t="s">
        <v>1134</v>
      </c>
      <c r="B53" s="369" t="s">
        <v>1404</v>
      </c>
      <c r="C53" s="361">
        <f ca="1">ROUND(IF(F53="押一",C49/12*F11,IF(F53="押二",C49/12*2*F11,IF(F53="押三",C49/12*3*F11,C54*F11))),0)</f>
        <v>0</v>
      </c>
      <c r="D53" s="1822" t="s">
        <v>3035</v>
      </c>
      <c r="E53" s="358" t="s">
        <v>1405</v>
      </c>
      <c r="F53" s="1366"/>
      <c r="I53" s="1903" t="s">
        <v>1542</v>
      </c>
      <c r="J53" s="2968">
        <f ca="1">IF(M47="住宅",IF(D1="——",MAX(J51,L48),MAX(J51,L48-'数据-取费表'!B24)),IF(D1="——",MIN(J51,L48),MIN(J51,L48-'数据-取费表'!B24)))</f>
        <v>0</v>
      </c>
      <c r="K53" s="3250" t="s">
        <v>1543</v>
      </c>
      <c r="L53" s="3251"/>
      <c r="O53" s="1882" t="s">
        <v>1043</v>
      </c>
      <c r="P53" s="1883" t="s">
        <v>1544</v>
      </c>
      <c r="Q53" s="1884" t="e">
        <f ca="1">Q47+Q48</f>
        <v>#DIV/0!</v>
      </c>
      <c r="R53" s="1884" t="s">
        <v>1044</v>
      </c>
    </row>
    <row r="54" spans="1:18" s="1840" customFormat="1" ht="13.5" thickBot="1">
      <c r="A54" s="1194"/>
      <c r="B54" s="1938" t="s">
        <v>1598</v>
      </c>
      <c r="C54" s="1178"/>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3" t="s">
        <v>1072</v>
      </c>
      <c r="B55" s="1825" t="s">
        <v>1408</v>
      </c>
      <c r="C55" s="1334"/>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6">
        <v>2</v>
      </c>
      <c r="B56" s="1177"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9"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7" t="s">
        <v>1419</v>
      </c>
      <c r="C58" s="361">
        <f ca="1">ROUND(C59+C64+C65+C66,0)</f>
        <v>0</v>
      </c>
      <c r="D58" s="1179" t="s">
        <v>1420</v>
      </c>
      <c r="E58" s="1180"/>
      <c r="F58" s="1181"/>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1" t="s">
        <v>1487</v>
      </c>
      <c r="B61" s="1169" t="s">
        <v>1488</v>
      </c>
      <c r="C61" s="24">
        <f ca="1">IF(项目基本情况!B11="自然人","——",IF(D61="按租金收入计税",ROUND(C48*F61,0),IF(D61="按房产原值计税",ROUND(C57*F61*0.7,0),INDIRECT("'数据-取费表'!Aj"&amp;$G$1))))</f>
        <v>0</v>
      </c>
      <c r="D61" s="1826" t="s">
        <v>1433</v>
      </c>
      <c r="E61" s="1169"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1" t="s">
        <v>1490</v>
      </c>
      <c r="B62" s="1168" t="s">
        <v>1491</v>
      </c>
      <c r="C62" s="25">
        <f ca="1">IF(项目基本情况!B11="自然人","——",ROUND(F62*F63,0))</f>
        <v>0</v>
      </c>
      <c r="D62" s="1184" t="s">
        <v>1492</v>
      </c>
      <c r="E62" s="1169" t="s">
        <v>1493</v>
      </c>
      <c r="F62" s="371">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5"/>
      <c r="C63" s="29"/>
      <c r="D63" s="1185"/>
      <c r="E63" s="1169"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1" t="s">
        <v>1495</v>
      </c>
      <c r="B64" s="1169" t="s">
        <v>1496</v>
      </c>
      <c r="C64" s="24">
        <f ca="1">ROUND(C57*F64,0)</f>
        <v>0</v>
      </c>
      <c r="D64" s="1183" t="s">
        <v>1497</v>
      </c>
      <c r="E64" s="1169"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1" t="s">
        <v>1498</v>
      </c>
      <c r="B65" s="1169" t="s">
        <v>1448</v>
      </c>
      <c r="C65" s="24">
        <f ca="1">ROUND(C56*F65,0)</f>
        <v>0</v>
      </c>
      <c r="D65" s="1183" t="s">
        <v>1449</v>
      </c>
      <c r="E65" s="1169"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1" t="s">
        <v>1499</v>
      </c>
      <c r="B66" s="1169" t="s">
        <v>1434</v>
      </c>
      <c r="C66" s="24">
        <f ca="1">ROUND(C48*F66,0)</f>
        <v>0</v>
      </c>
      <c r="D66" s="1183" t="s">
        <v>1500</v>
      </c>
      <c r="E66" s="1169" t="s">
        <v>1417</v>
      </c>
      <c r="F66" s="357">
        <f t="shared" ca="1" si="0"/>
        <v>0</v>
      </c>
      <c r="O66" s="1882" t="s">
        <v>1038</v>
      </c>
      <c r="P66" s="1883" t="s">
        <v>1553</v>
      </c>
      <c r="Q66" s="1884" t="e">
        <f ca="1">L60</f>
        <v>#DIV/0!</v>
      </c>
      <c r="R66" s="1884" t="s">
        <v>1576</v>
      </c>
    </row>
    <row r="67" spans="1:18" s="1840" customFormat="1" ht="16.5" thickBot="1">
      <c r="A67" s="1176" t="s">
        <v>1028</v>
      </c>
      <c r="B67" s="1186" t="s">
        <v>1458</v>
      </c>
      <c r="C67" s="361">
        <f ca="1">C48-C58</f>
        <v>0</v>
      </c>
      <c r="D67" s="1182" t="s">
        <v>1459</v>
      </c>
      <c r="E67" s="1187"/>
      <c r="F67" s="1188"/>
      <c r="O67" s="1892" t="s">
        <v>1039</v>
      </c>
      <c r="P67" s="1883" t="s">
        <v>1557</v>
      </c>
      <c r="Q67" s="1930">
        <f ca="1">L51</f>
        <v>0</v>
      </c>
      <c r="R67" s="1884" t="s">
        <v>1577</v>
      </c>
    </row>
    <row r="68" spans="1:18" s="1840" customFormat="1" ht="16.5" thickBot="1">
      <c r="A68" s="1166" t="s">
        <v>1029</v>
      </c>
      <c r="B68" s="1167" t="s">
        <v>1480</v>
      </c>
      <c r="C68" s="346" t="e">
        <f ca="1">ROUND(C67*(1-((1+F70)/(1+F68))^F69)/(F68-F70),0)</f>
        <v>#DIV/0!</v>
      </c>
      <c r="D68" s="1184" t="s">
        <v>1464</v>
      </c>
      <c r="E68" s="1169" t="s">
        <v>1465</v>
      </c>
      <c r="F68" s="357">
        <f ca="1">F40</f>
        <v>0</v>
      </c>
      <c r="O68" s="1892" t="s">
        <v>1040</v>
      </c>
      <c r="P68" s="1931" t="s">
        <v>1578</v>
      </c>
      <c r="Q68" s="1884">
        <f ca="1">ROUND(Q69-Q70*Q71,0)</f>
        <v>0</v>
      </c>
      <c r="R68" s="1884" t="s">
        <v>1048</v>
      </c>
    </row>
    <row r="69" spans="1:18" s="1840" customFormat="1" ht="13.5" thickBot="1">
      <c r="A69" s="1170"/>
      <c r="B69" s="1171"/>
      <c r="C69" s="351"/>
      <c r="D69" s="1189" t="s">
        <v>1468</v>
      </c>
      <c r="E69" s="1169" t="s">
        <v>1469</v>
      </c>
      <c r="F69" s="379">
        <f ca="1">F41</f>
        <v>0</v>
      </c>
      <c r="O69" s="1892" t="s">
        <v>1045</v>
      </c>
      <c r="P69" s="1931" t="s">
        <v>1579</v>
      </c>
      <c r="Q69" s="1884">
        <f ca="1">C39</f>
        <v>0</v>
      </c>
      <c r="R69" s="1884" t="s">
        <v>1524</v>
      </c>
    </row>
    <row r="70" spans="1:18" s="1840" customFormat="1" ht="13.5" thickBot="1">
      <c r="A70" s="1173"/>
      <c r="B70" s="1174"/>
      <c r="C70" s="355"/>
      <c r="D70" s="1185"/>
      <c r="E70" s="1169" t="s">
        <v>1472</v>
      </c>
      <c r="F70" s="1275">
        <f ca="1">F42</f>
        <v>0</v>
      </c>
      <c r="O70" s="1892" t="s">
        <v>1046</v>
      </c>
      <c r="P70" s="1931" t="s">
        <v>1580</v>
      </c>
      <c r="Q70" s="1884">
        <f ca="1">C13</f>
        <v>0</v>
      </c>
      <c r="R70" s="1884" t="s">
        <v>1524</v>
      </c>
    </row>
    <row r="71" spans="1:18" s="1840" customFormat="1" ht="13.5" thickBot="1">
      <c r="A71" s="1190" t="s">
        <v>1030</v>
      </c>
      <c r="B71" s="1191" t="s">
        <v>1482</v>
      </c>
      <c r="C71" s="382" t="e">
        <f ca="1">ROUND(C68/F71,0)</f>
        <v>#DIV/0!</v>
      </c>
      <c r="D71" s="1192" t="s">
        <v>1483</v>
      </c>
      <c r="E71" s="1193"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51"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
  <sheetViews>
    <sheetView topLeftCell="A16" workbookViewId="0">
      <selection activeCell="D31" sqref="D31"/>
    </sheetView>
  </sheetViews>
  <sheetFormatPr defaultRowHeight="13.5"/>
  <sheetData>
    <row r="2" spans="2:4">
      <c r="B2" s="3012" t="s">
        <v>3356</v>
      </c>
      <c r="C2" s="3012" t="s">
        <v>3357</v>
      </c>
      <c r="D2" s="3012" t="s">
        <v>3358</v>
      </c>
    </row>
  </sheetData>
  <phoneticPr fontId="14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20"/>
    <col min="3" max="4" width="2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2113</v>
      </c>
      <c r="B1" s="2414"/>
      <c r="C1" s="2415" t="s">
        <v>3114</v>
      </c>
      <c r="D1" s="2414"/>
      <c r="E1" s="2414"/>
      <c r="F1" s="2416" t="s">
        <v>2114</v>
      </c>
      <c r="G1" s="2065" t="s">
        <v>3107</v>
      </c>
      <c r="H1" s="2417" t="str">
        <f>IF(G1="现房","——","估价对象范围")</f>
        <v>——</v>
      </c>
      <c r="I1" s="2418" t="s">
        <v>3125</v>
      </c>
    </row>
    <row r="2" spans="1:12" ht="21.75" customHeight="1" thickBot="1">
      <c r="A2" s="3222" t="str">
        <f>项目基本情况!S2</f>
        <v>贵州省遵义市仁怀市盐津街道办事处城南社区酒都广场局部房地产房地产</v>
      </c>
      <c r="B2" s="3223"/>
      <c r="C2" s="3223"/>
      <c r="D2" s="3223"/>
      <c r="E2" s="3223"/>
      <c r="F2" s="3223"/>
      <c r="G2" s="3223"/>
      <c r="H2" s="3223"/>
      <c r="I2" s="3224"/>
    </row>
    <row r="3" spans="1:12" ht="12.75">
      <c r="A3" s="3226" t="s">
        <v>2115</v>
      </c>
      <c r="B3" s="3227"/>
      <c r="C3" s="3227"/>
      <c r="D3" s="3227"/>
      <c r="E3" s="3227"/>
      <c r="F3" s="3227"/>
      <c r="G3" s="3227"/>
      <c r="H3" s="3227"/>
      <c r="I3" s="3227"/>
    </row>
    <row r="4" spans="1:12" ht="14.25">
      <c r="A4" s="2421" t="s">
        <v>2116</v>
      </c>
      <c r="B4" s="2422" t="s">
        <v>2117</v>
      </c>
      <c r="C4" s="2423" t="s">
        <v>3247</v>
      </c>
      <c r="D4" s="2423" t="s">
        <v>3118</v>
      </c>
      <c r="E4" s="3206" t="s">
        <v>2118</v>
      </c>
      <c r="F4" s="3219"/>
      <c r="G4" s="3219"/>
      <c r="H4" s="3219"/>
      <c r="I4" s="3207"/>
      <c r="K4" s="2424" t="str">
        <f>IF(ISNUMBER(FIND("比较法",'结果表（天街）'!C4)),"比较法",IF(ISNUMBER(FIND("成本法",'结果表（天街）'!C4)),"成本法",IF(ISNUMBER(FIND("假设开发法",'结果表（天街）'!C4)),"假设开发法",IF(ISNUMBER(FIND("收益法",'结果表（天街）'!C4)),"收益法","基准地价系数修正法"))))</f>
        <v>成本法</v>
      </c>
      <c r="L4" s="2424" t="str">
        <f>IF(ISNUMBER(FIND("比较法",'结果表（天街）'!D4)),"比较法",IF(ISNUMBER(FIND("成本法",'结果表（天街）'!D4)),"成本法",IF(ISNUMBER(FIND("假设开发法",'结果表（天街）'!D4)),"假设开发法",IF(ISNUMBER(FIND("收益法",'结果表（天街）'!D4)),"收益法","基准地价系数修正法"))))</f>
        <v>收益法</v>
      </c>
    </row>
    <row r="5" spans="1:12" ht="12.75">
      <c r="A5" s="3197" t="s">
        <v>2119</v>
      </c>
      <c r="B5" s="3115">
        <v>25</v>
      </c>
      <c r="C5" s="3228"/>
      <c r="D5" s="3225"/>
      <c r="E5" s="140" t="s">
        <v>2120</v>
      </c>
      <c r="F5" s="2425"/>
      <c r="G5" s="2425"/>
      <c r="H5" s="2425"/>
      <c r="I5" s="1829"/>
    </row>
    <row r="6" spans="1:12" ht="12.75">
      <c r="A6" s="3197"/>
      <c r="B6" s="3115"/>
      <c r="C6" s="3230"/>
      <c r="D6" s="3225"/>
      <c r="E6" s="140" t="s">
        <v>2121</v>
      </c>
      <c r="F6" s="2425"/>
      <c r="G6" s="2425"/>
      <c r="H6" s="2425"/>
      <c r="I6" s="1829"/>
    </row>
    <row r="7" spans="1:12" ht="12.75">
      <c r="A7" s="3197"/>
      <c r="B7" s="3115"/>
      <c r="C7" s="3229"/>
      <c r="D7" s="3225"/>
      <c r="E7" s="140" t="s">
        <v>2122</v>
      </c>
      <c r="F7" s="2425"/>
      <c r="G7" s="2425"/>
      <c r="H7" s="2425"/>
      <c r="I7" s="1829"/>
    </row>
    <row r="8" spans="1:12" ht="12.75">
      <c r="A8" s="3197" t="s">
        <v>2123</v>
      </c>
      <c r="B8" s="3115">
        <v>15</v>
      </c>
      <c r="C8" s="3228"/>
      <c r="D8" s="3225"/>
      <c r="E8" s="140" t="s">
        <v>2124</v>
      </c>
      <c r="F8" s="2425"/>
      <c r="G8" s="2425"/>
      <c r="H8" s="2425"/>
      <c r="I8" s="1829"/>
    </row>
    <row r="9" spans="1:12" ht="12.75">
      <c r="A9" s="3197"/>
      <c r="B9" s="3115"/>
      <c r="C9" s="3229"/>
      <c r="D9" s="3225"/>
      <c r="E9" s="140" t="s">
        <v>2125</v>
      </c>
      <c r="F9" s="2425"/>
      <c r="G9" s="2425"/>
      <c r="H9" s="2425"/>
      <c r="I9" s="1829"/>
    </row>
    <row r="10" spans="1:12" ht="12.75">
      <c r="A10" s="3197" t="s">
        <v>2126</v>
      </c>
      <c r="B10" s="3115">
        <v>15</v>
      </c>
      <c r="C10" s="3228"/>
      <c r="D10" s="3225"/>
      <c r="E10" s="140" t="s">
        <v>2127</v>
      </c>
      <c r="F10" s="2425"/>
      <c r="G10" s="2425"/>
      <c r="H10" s="2425"/>
      <c r="I10" s="1829"/>
    </row>
    <row r="11" spans="1:12" ht="12.75">
      <c r="A11" s="3197"/>
      <c r="B11" s="3115"/>
      <c r="C11" s="3229"/>
      <c r="D11" s="3225"/>
      <c r="E11" s="140" t="s">
        <v>2128</v>
      </c>
      <c r="F11" s="2425"/>
      <c r="G11" s="2425"/>
      <c r="H11" s="2425"/>
      <c r="I11" s="1829"/>
    </row>
    <row r="12" spans="1:12" ht="12.75">
      <c r="A12" s="3197" t="s">
        <v>2129</v>
      </c>
      <c r="B12" s="3115">
        <v>15</v>
      </c>
      <c r="C12" s="3228"/>
      <c r="D12" s="3225"/>
      <c r="E12" s="140" t="s">
        <v>2130</v>
      </c>
      <c r="F12" s="2425"/>
      <c r="G12" s="2425"/>
      <c r="H12" s="2425"/>
      <c r="I12" s="1829"/>
    </row>
    <row r="13" spans="1:12" ht="12.75">
      <c r="A13" s="3197"/>
      <c r="B13" s="3115"/>
      <c r="C13" s="3229"/>
      <c r="D13" s="3225"/>
      <c r="E13" s="140" t="s">
        <v>2131</v>
      </c>
      <c r="F13" s="2425"/>
      <c r="G13" s="2425"/>
      <c r="H13" s="2425"/>
      <c r="I13" s="1829"/>
    </row>
    <row r="14" spans="1:12" ht="12.75">
      <c r="A14" s="3197" t="s">
        <v>2132</v>
      </c>
      <c r="B14" s="3115">
        <v>30</v>
      </c>
      <c r="C14" s="3228">
        <v>5</v>
      </c>
      <c r="D14" s="3225">
        <v>5</v>
      </c>
      <c r="E14" s="140" t="s">
        <v>2133</v>
      </c>
      <c r="F14" s="2425"/>
      <c r="G14" s="2425"/>
      <c r="H14" s="2425"/>
      <c r="I14" s="1829"/>
    </row>
    <row r="15" spans="1:12" ht="12.75">
      <c r="A15" s="3197"/>
      <c r="B15" s="3115"/>
      <c r="C15" s="3230"/>
      <c r="D15" s="3225"/>
      <c r="E15" s="140" t="s">
        <v>2134</v>
      </c>
      <c r="F15" s="2425"/>
      <c r="G15" s="2425"/>
      <c r="H15" s="2425"/>
      <c r="I15" s="1829"/>
    </row>
    <row r="16" spans="1:12" ht="12.75">
      <c r="A16" s="3197"/>
      <c r="B16" s="3115"/>
      <c r="C16" s="3229"/>
      <c r="D16" s="3225"/>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5165.3600000000006</v>
      </c>
      <c r="M18" s="2424">
        <f>IF(C1="",'数据-汇总表'!E3,SUMIF(项目类型,C1,'数据-汇总表'!E17:E26))</f>
        <v>5165.3600000000006</v>
      </c>
    </row>
    <row r="19" spans="1:35" ht="15">
      <c r="A19" s="2430" t="s">
        <v>2141</v>
      </c>
      <c r="B19" s="2431" t="s">
        <v>2142</v>
      </c>
      <c r="C19" s="143">
        <f ca="1">SUMIF(INDIRECT("'"&amp;C4&amp;"'"&amp;"!A:A"),'结果表（天街）'!B19,INDIRECT("'"&amp;C4&amp;"'"&amp;"!B:B"))</f>
        <v>3303</v>
      </c>
      <c r="D19" s="144">
        <f ca="1">SUMIF(INDIRECT("'"&amp;D4&amp;"'"&amp;"!A:A"),'结果表（天街）'!B19,INDIRECT("'"&amp;D4&amp;"'"&amp;"!B:B"))</f>
        <v>4353</v>
      </c>
      <c r="E19" s="2430" t="s">
        <v>2143</v>
      </c>
      <c r="F19" s="2431" t="s">
        <v>2142</v>
      </c>
      <c r="G19" s="145">
        <f ca="1">ROUND(C19*$C$18+D19*$D$18,0)</f>
        <v>3828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7" t="s">
        <v>2146</v>
      </c>
      <c r="C20" s="146">
        <f ca="1">SUMIF(INDIRECT("'"&amp;C4&amp;"'"&amp;"!A:A"),'结果表（天街）'!B20,INDIRECT("'"&amp;C4&amp;"'"&amp;"!B:B"))</f>
        <v>6395</v>
      </c>
      <c r="D20" s="147">
        <f ca="1">SUMIF(INDIRECT("'"&amp;D4&amp;"'"&amp;"!A:A"),'结果表（天街）'!B20,INDIRECT("'"&amp;D4&amp;"'"&amp;"!B:B"))</f>
        <v>8427</v>
      </c>
      <c r="E20" s="2433"/>
      <c r="F20" s="1247" t="s">
        <v>2146</v>
      </c>
      <c r="G20" s="148">
        <f ca="1">ROUND(C20*$C$18+D20*$D$18,0)</f>
        <v>7411</v>
      </c>
      <c r="H20" s="980" t="s">
        <v>2147</v>
      </c>
      <c r="I20" s="138"/>
    </row>
    <row r="21" spans="1:35" ht="15" customHeight="1" thickBot="1">
      <c r="A21" s="1000"/>
      <c r="B21" s="2434" t="s">
        <v>2148</v>
      </c>
      <c r="C21" s="789" t="e">
        <f ca="1">ROUND(C19*10000/L19,0)</f>
        <v>#DIV/0!</v>
      </c>
      <c r="D21" s="790" t="e">
        <f ca="1">ROUND(D19*10000/L19,0)</f>
        <v>#DIV/0!</v>
      </c>
      <c r="E21" s="1000"/>
      <c r="F21" s="2434" t="s">
        <v>2148</v>
      </c>
      <c r="G21" s="149" t="e">
        <f ca="1">ROUND(G19*10000/L19,0)</f>
        <v>#DIV/0!</v>
      </c>
      <c r="H21" s="2435" t="s">
        <v>2147</v>
      </c>
      <c r="I21" s="138"/>
    </row>
    <row r="22" spans="1:35" ht="15" thickBot="1">
      <c r="A22" s="2276" t="s">
        <v>2149</v>
      </c>
      <c r="B22" s="2436"/>
      <c r="C22" s="2437"/>
      <c r="D22" s="791">
        <f ca="1">IF(C19&lt;D19,D19/C19-1,C19/D19-1)</f>
        <v>0.31789282470481384</v>
      </c>
      <c r="E22" s="138"/>
      <c r="F22" s="138"/>
      <c r="G22" s="138"/>
      <c r="H22" s="138"/>
      <c r="I22" s="138"/>
    </row>
    <row r="23" spans="1:35" ht="13.5" thickBot="1">
      <c r="A23" s="2414"/>
      <c r="B23" s="2414"/>
      <c r="C23" s="2414"/>
      <c r="D23" s="2414"/>
      <c r="E23" s="138"/>
      <c r="F23" s="138"/>
      <c r="G23" s="138"/>
      <c r="H23" s="138"/>
      <c r="I23" s="138"/>
    </row>
    <row r="24" spans="1:35" ht="14.25">
      <c r="A24" s="3237" t="s">
        <v>2150</v>
      </c>
      <c r="B24" s="2431" t="s">
        <v>2142</v>
      </c>
      <c r="C24" s="145">
        <f>IF(B30=0,0,D30)</f>
        <v>0</v>
      </c>
      <c r="D24" s="2438"/>
      <c r="E24" s="138"/>
      <c r="F24" s="138"/>
      <c r="G24" s="138"/>
      <c r="H24" s="138"/>
      <c r="I24" s="138"/>
    </row>
    <row r="25" spans="1:35" ht="14.25">
      <c r="A25" s="3238"/>
      <c r="B25" s="1247"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3028</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2156</v>
      </c>
      <c r="B32" s="2444"/>
      <c r="C32" s="153">
        <f ca="1">IF(D32="总价",G19-C24,G20-C25)</f>
        <v>3828</v>
      </c>
      <c r="D32" s="2445" t="s">
        <v>2157</v>
      </c>
      <c r="E32" s="138"/>
      <c r="F32" s="138"/>
      <c r="G32" s="138"/>
      <c r="H32" s="138"/>
      <c r="I32" s="138"/>
    </row>
    <row r="33" spans="1:15" ht="15">
      <c r="A33" s="957" t="s">
        <v>2158</v>
      </c>
      <c r="B33" s="2446"/>
      <c r="C33" s="2447" t="s">
        <v>3124</v>
      </c>
      <c r="D33" s="2448" t="s">
        <v>3247</v>
      </c>
      <c r="E33" s="2449" t="s">
        <v>2159</v>
      </c>
      <c r="F33" s="2949" t="str">
        <f>IF(D32="楼面单价","取值（单价）","取值（总价）")</f>
        <v>取值（总价）</v>
      </c>
      <c r="G33" s="138"/>
      <c r="H33" s="138"/>
      <c r="I33" s="138"/>
    </row>
    <row r="34" spans="1:15" ht="15">
      <c r="A34" s="2451"/>
      <c r="B34" s="2452" t="s">
        <v>2160</v>
      </c>
      <c r="C34" s="157">
        <f ca="1">IF(C33="自定义",F34,C32-C35)</f>
        <v>1615</v>
      </c>
      <c r="D34" s="1055">
        <f ca="1">IF(C33="自定义",ROUND(C34/C32,3),IF(C33="收益比率",SUMIF(INDIRECT("'"&amp;D33&amp;"'"&amp;"!b:b"),"土地收益比率",INDIRECT("'"&amp;D33&amp;"'"&amp;"!c:c")),SUMIF(INDIRECT("'"&amp;D33&amp;"'"&amp;"!b:b"),"土地成本比率",INDIRECT("'"&amp;D33&amp;"'"&amp;"!c:c"))))</f>
        <v>0.42200000000000004</v>
      </c>
      <c r="E34" s="2453" t="s">
        <v>2161</v>
      </c>
      <c r="F34" s="1734"/>
      <c r="G34" s="138"/>
      <c r="H34" s="138"/>
      <c r="I34" s="138"/>
    </row>
    <row r="35" spans="1:15" ht="15.75" thickBot="1">
      <c r="A35" s="2454"/>
      <c r="B35" s="2455" t="s">
        <v>2162</v>
      </c>
      <c r="C35" s="1440">
        <f ca="1">IF(C33="自定义",F35,ROUND(C32*D35,0))</f>
        <v>2213</v>
      </c>
      <c r="D35" s="1441">
        <f ca="1">IF(C33="自定义",ROUND(C35/C32,3),IF(C33="收益比率",SUMIF(INDIRECT("'"&amp;D33&amp;"'"&amp;"!b:b"),"建筑物收益比率",INDIRECT("'"&amp;D33&amp;"'"&amp;"!c:c")),SUMIF(INDIRECT("'"&amp;D33&amp;"'"&amp;"!b:b"),"建筑物成本比率",INDIRECT("'"&amp;D33&amp;"'"&amp;"!c:c"))))</f>
        <v>0.57799999999999996</v>
      </c>
      <c r="E35" s="2456" t="s">
        <v>2163</v>
      </c>
      <c r="F35" s="163"/>
      <c r="G35" s="138"/>
      <c r="H35" s="138"/>
      <c r="I35" s="138"/>
    </row>
    <row r="36" spans="1:15" ht="15.75" thickBot="1">
      <c r="A36" s="3216" t="s">
        <v>2164</v>
      </c>
      <c r="B36" s="2457" t="s">
        <v>2165</v>
      </c>
      <c r="C36" s="154"/>
      <c r="D36" s="2458"/>
      <c r="E36" s="2459"/>
      <c r="F36" s="2460"/>
      <c r="G36" s="138"/>
      <c r="H36" s="138"/>
      <c r="I36" s="138"/>
    </row>
    <row r="37" spans="1:15" ht="15.75" thickBot="1">
      <c r="A37" s="3217"/>
      <c r="B37" s="2262" t="s">
        <v>2166</v>
      </c>
      <c r="C37" s="156"/>
      <c r="D37" s="1391"/>
      <c r="E37" s="1391"/>
      <c r="F37" s="2460"/>
      <c r="G37" s="138"/>
      <c r="H37" s="138"/>
      <c r="I37" s="138"/>
    </row>
    <row r="38" spans="1:15" ht="15.75" thickBot="1">
      <c r="A38" s="3218"/>
      <c r="B38" s="2461" t="s">
        <v>2167</v>
      </c>
      <c r="C38" s="727"/>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hidden="1">
      <c r="A44" s="2470" t="s">
        <v>2176</v>
      </c>
      <c r="B44" s="2471"/>
      <c r="C44" s="2471"/>
      <c r="D44" s="2472"/>
      <c r="E44" s="2472"/>
      <c r="F44" s="2473"/>
      <c r="G44" s="2473"/>
      <c r="H44" s="2473"/>
      <c r="I44" s="2473"/>
      <c r="J44" s="2474" t="s">
        <v>2177</v>
      </c>
      <c r="K44" s="2475"/>
      <c r="L44" s="2475"/>
      <c r="M44" s="2475"/>
      <c r="N44" s="2475"/>
      <c r="O44" s="2475"/>
    </row>
    <row r="45" spans="1:15" ht="14.25" hidden="1" customHeight="1" thickBot="1">
      <c r="A45" s="3234" t="s">
        <v>2178</v>
      </c>
      <c r="B45" s="3235"/>
      <c r="C45" s="3236"/>
      <c r="D45" s="164">
        <f ca="1">ROUND(H101*F45,0)</f>
        <v>3828</v>
      </c>
      <c r="E45" s="165" t="s">
        <v>2179</v>
      </c>
      <c r="F45" s="166">
        <v>1</v>
      </c>
      <c r="G45" s="167" t="s">
        <v>2180</v>
      </c>
      <c r="H45" s="138"/>
      <c r="I45" s="138"/>
      <c r="J45" s="3152" t="s">
        <v>2181</v>
      </c>
      <c r="K45" s="3152"/>
      <c r="L45" s="3152"/>
      <c r="M45" s="3152"/>
      <c r="N45" s="3152"/>
      <c r="O45" s="3152"/>
    </row>
    <row r="46" spans="1:15" ht="14.25" hidden="1" customHeight="1">
      <c r="A46" s="3231" t="s">
        <v>2182</v>
      </c>
      <c r="B46" s="3232"/>
      <c r="C46" s="3232"/>
      <c r="D46" s="3232"/>
      <c r="E46" s="3232"/>
      <c r="F46" s="3232"/>
      <c r="G46" s="3233"/>
      <c r="H46" s="2476"/>
      <c r="I46" s="168"/>
      <c r="J46" s="2961">
        <v>1</v>
      </c>
      <c r="K46" s="3152" t="s">
        <v>2183</v>
      </c>
      <c r="L46" s="3152"/>
      <c r="M46" s="3153"/>
      <c r="N46" s="3153"/>
      <c r="O46" s="3153"/>
    </row>
    <row r="47" spans="1:15" ht="12" hidden="1" customHeight="1">
      <c r="A47" s="169" t="s">
        <v>2184</v>
      </c>
      <c r="B47" s="170"/>
      <c r="C47" s="171"/>
      <c r="D47" s="172" t="s">
        <v>2185</v>
      </c>
      <c r="E47" s="24" t="s">
        <v>2186</v>
      </c>
      <c r="F47" s="173" t="s">
        <v>2187</v>
      </c>
      <c r="G47" s="174" t="s">
        <v>2188</v>
      </c>
      <c r="H47" s="2476"/>
      <c r="I47" s="168"/>
      <c r="J47" s="2961">
        <v>2</v>
      </c>
      <c r="K47" s="3152" t="s">
        <v>2189</v>
      </c>
      <c r="L47" s="3152"/>
      <c r="M47" s="3154">
        <f>'数据-取费表'!B2</f>
        <v>43671</v>
      </c>
      <c r="N47" s="3154"/>
      <c r="O47" s="3154"/>
    </row>
    <row r="48" spans="1:15" ht="25.5" hidden="1">
      <c r="A48" s="3220" t="s">
        <v>2190</v>
      </c>
      <c r="B48" s="3221"/>
      <c r="C48" s="3221"/>
      <c r="D48" s="140">
        <f>IF(H48="情况1",0,IF(H48="情况2",D52,IF(H48="情况3",D53,IF(H48="情况4",D54))))</f>
        <v>0</v>
      </c>
      <c r="E48" s="2953" t="str">
        <f>IF(H48="情况4","(销售额-原购置价)×税（费）率","销售额×税（费）率")</f>
        <v>销售额×税（费）率</v>
      </c>
      <c r="F48" s="175" t="str">
        <f>IF(H48="情况1","免征",'数据-取费表'!B41)</f>
        <v>免征</v>
      </c>
      <c r="G48" s="2477" t="s">
        <v>2191</v>
      </c>
      <c r="H48" s="2478" t="s">
        <v>2192</v>
      </c>
      <c r="I48" s="2476"/>
      <c r="J48" s="2961">
        <v>3</v>
      </c>
      <c r="K48" s="3152" t="s">
        <v>2193</v>
      </c>
      <c r="L48" s="3152"/>
      <c r="M48" s="3155">
        <f ca="1">H101</f>
        <v>3828</v>
      </c>
      <c r="N48" s="3155"/>
      <c r="O48" s="3155"/>
    </row>
    <row r="49" spans="1:35" ht="25.5" hidden="1" customHeight="1">
      <c r="A49" s="176" t="s">
        <v>2194</v>
      </c>
      <c r="B49" s="3200" t="s">
        <v>2195</v>
      </c>
      <c r="C49" s="3200"/>
      <c r="D49" s="177">
        <v>0</v>
      </c>
      <c r="E49" s="23" t="s">
        <v>2196</v>
      </c>
      <c r="F49" s="28" t="s">
        <v>34</v>
      </c>
      <c r="G49" s="3181"/>
      <c r="H49" s="138"/>
      <c r="I49" s="2479"/>
      <c r="J49" s="2961">
        <v>4</v>
      </c>
      <c r="K49" s="3152" t="str">
        <f>IF(项目基本情况!E8="房地产抵押价值","房地产抵押价值","抵押担保权已注销时的房地产抵押价值")</f>
        <v>房地产抵押价值</v>
      </c>
      <c r="L49" s="3152"/>
      <c r="M49" s="3155">
        <f ca="1">IF(项目基本情况!E8="房地产抵押价值",H107,H109)</f>
        <v>3828</v>
      </c>
      <c r="N49" s="3155"/>
      <c r="O49" s="3155"/>
    </row>
    <row r="50" spans="1:35" ht="25.5" hidden="1" customHeight="1">
      <c r="A50" s="178"/>
      <c r="B50" s="3200" t="s">
        <v>2197</v>
      </c>
      <c r="C50" s="3200"/>
      <c r="D50" s="179"/>
      <c r="E50" s="31"/>
      <c r="F50" s="180"/>
      <c r="G50" s="3182"/>
      <c r="H50" s="138"/>
      <c r="I50" s="2479"/>
      <c r="J50" s="3152" t="s">
        <v>2198</v>
      </c>
      <c r="K50" s="3152"/>
      <c r="L50" s="3152"/>
      <c r="M50" s="3152"/>
      <c r="N50" s="3152"/>
      <c r="O50" s="3152"/>
    </row>
    <row r="51" spans="1:35" ht="12" hidden="1" customHeight="1">
      <c r="A51" s="181"/>
      <c r="B51" s="3200" t="s">
        <v>2199</v>
      </c>
      <c r="C51" s="3200"/>
      <c r="D51" s="182"/>
      <c r="E51" s="30"/>
      <c r="F51" s="180"/>
      <c r="G51" s="3183"/>
      <c r="H51" s="138"/>
      <c r="I51" s="2479"/>
      <c r="J51" s="2960" t="s">
        <v>2200</v>
      </c>
      <c r="K51" s="3152" t="s">
        <v>2201</v>
      </c>
      <c r="L51" s="3152"/>
      <c r="M51" s="2960" t="s">
        <v>2202</v>
      </c>
      <c r="N51" s="2960" t="s">
        <v>2203</v>
      </c>
      <c r="O51" s="2960" t="s">
        <v>2204</v>
      </c>
    </row>
    <row r="52" spans="1:35" ht="24" hidden="1" customHeight="1">
      <c r="A52" s="183" t="s">
        <v>2205</v>
      </c>
      <c r="B52" s="3200" t="s">
        <v>2206</v>
      </c>
      <c r="C52" s="3200"/>
      <c r="D52" s="182">
        <f ca="1">ROUND(D45*'数据-取费表'!B41/(1+'数据-取费表'!C42),0)</f>
        <v>204</v>
      </c>
      <c r="E52" s="11" t="s">
        <v>2207</v>
      </c>
      <c r="F52" s="184">
        <f>'数据-取费表'!B41</f>
        <v>5.6000000000000001E-2</v>
      </c>
      <c r="G52" s="2481"/>
      <c r="H52" s="138"/>
      <c r="I52" s="2479"/>
      <c r="J52" s="2961">
        <v>1</v>
      </c>
      <c r="K52" s="3175" t="s">
        <v>2208</v>
      </c>
      <c r="L52" s="3175"/>
      <c r="M52" s="1749">
        <f>D48</f>
        <v>0</v>
      </c>
      <c r="N52" s="2961" t="str">
        <f>E48</f>
        <v>销售额×税（费）率</v>
      </c>
      <c r="O52" s="1750" t="str">
        <f>F48</f>
        <v>免征</v>
      </c>
    </row>
    <row r="53" spans="1:35" ht="12" hidden="1" customHeight="1">
      <c r="A53" s="183" t="s">
        <v>2209</v>
      </c>
      <c r="B53" s="3201" t="s">
        <v>2210</v>
      </c>
      <c r="C53" s="3202"/>
      <c r="D53" s="182">
        <f ca="1">ROUND(D45*'数据-取费表'!B41/(1+'数据-取费表'!C42),0)</f>
        <v>204</v>
      </c>
      <c r="E53" s="11" t="s">
        <v>2207</v>
      </c>
      <c r="F53" s="184">
        <f>'数据-取费表'!B41</f>
        <v>5.6000000000000001E-2</v>
      </c>
      <c r="G53" s="2481"/>
      <c r="H53" s="138"/>
      <c r="I53" s="2479"/>
      <c r="J53" s="2961">
        <v>2</v>
      </c>
      <c r="K53" s="3175" t="s">
        <v>2211</v>
      </c>
      <c r="L53" s="3175"/>
      <c r="M53" s="1749">
        <f t="shared" ref="M53:O54" ca="1" si="0">D55</f>
        <v>2</v>
      </c>
      <c r="N53" s="2961" t="str">
        <f t="shared" si="0"/>
        <v>销售额×税（费）率</v>
      </c>
      <c r="O53" s="1750">
        <f t="shared" si="0"/>
        <v>5.0000000000000001E-4</v>
      </c>
    </row>
    <row r="54" spans="1:35" ht="12" hidden="1" customHeight="1">
      <c r="A54" s="183" t="s">
        <v>2212</v>
      </c>
      <c r="B54" s="3201" t="s">
        <v>2213</v>
      </c>
      <c r="C54" s="3202"/>
      <c r="D54" s="182">
        <f ca="1">C68</f>
        <v>204</v>
      </c>
      <c r="E54" s="30" t="s">
        <v>2214</v>
      </c>
      <c r="F54" s="184">
        <f>'数据-取费表'!B41</f>
        <v>5.6000000000000001E-2</v>
      </c>
      <c r="G54" s="2481"/>
      <c r="H54" s="2482"/>
      <c r="I54" s="2479"/>
      <c r="J54" s="2961">
        <v>3</v>
      </c>
      <c r="K54" s="3175" t="s">
        <v>2215</v>
      </c>
      <c r="L54" s="3175"/>
      <c r="M54" s="1749">
        <f t="shared" ca="1" si="0"/>
        <v>2167</v>
      </c>
      <c r="N54" s="2961" t="str">
        <f t="shared" si="0"/>
        <v>增值额×税（费）率</v>
      </c>
      <c r="O54" s="1751" t="str">
        <f t="shared" si="0"/>
        <v>——</v>
      </c>
    </row>
    <row r="55" spans="1:35" ht="24" hidden="1" customHeight="1">
      <c r="A55" s="3240" t="s">
        <v>2216</v>
      </c>
      <c r="B55" s="3221"/>
      <c r="C55" s="3221"/>
      <c r="D55" s="185">
        <f ca="1">IF(H55="个人住宅",0,ROUND(D45*I55,0))</f>
        <v>2</v>
      </c>
      <c r="E55" s="11" t="s">
        <v>2217</v>
      </c>
      <c r="F55" s="184">
        <f>IF(H55="正常",I55,"免征")</f>
        <v>5.0000000000000001E-4</v>
      </c>
      <c r="G55" s="2481"/>
      <c r="H55" s="2478" t="s">
        <v>2218</v>
      </c>
      <c r="I55" s="186">
        <f>'数据-取费表'!B49</f>
        <v>5.0000000000000001E-4</v>
      </c>
      <c r="J55" s="2961" t="str">
        <f>IF(H59="非个人房产","",4)</f>
        <v/>
      </c>
      <c r="K55" s="3175" t="str">
        <f>IF(H59="非个人房产","——","个人所得税")</f>
        <v>——</v>
      </c>
      <c r="L55" s="3175"/>
      <c r="M55" s="1752" t="str">
        <f>D59</f>
        <v>——</v>
      </c>
      <c r="N55" s="2962" t="str">
        <f>E59</f>
        <v>——</v>
      </c>
      <c r="O55" s="1753" t="str">
        <f>F59</f>
        <v>——</v>
      </c>
    </row>
    <row r="56" spans="1:35" ht="24.75" hidden="1">
      <c r="A56" s="3240" t="s">
        <v>2219</v>
      </c>
      <c r="B56" s="3221"/>
      <c r="C56" s="3221"/>
      <c r="D56" s="185">
        <f ca="1">IF(H56="个人住宅",D57,D58)</f>
        <v>2167</v>
      </c>
      <c r="E56" s="11" t="s">
        <v>2220</v>
      </c>
      <c r="F56" s="184" t="str">
        <f>IF(H56="正常",F58,"免征")</f>
        <v>——</v>
      </c>
      <c r="G56" s="2483" t="s">
        <v>2221</v>
      </c>
      <c r="H56" s="2484" t="s">
        <v>2218</v>
      </c>
      <c r="I56" s="2485"/>
      <c r="J56" s="2961" t="str">
        <f>IF(项目基本情况!K6="上海银行",IF(J55="",4,J55+1),"")</f>
        <v/>
      </c>
      <c r="K56" s="3158" t="str">
        <f>IF(项目基本情况!K6="上海银行","其他处置费用","")</f>
        <v/>
      </c>
      <c r="L56" s="3159"/>
      <c r="M56" s="1749" t="str">
        <f>IF(项目基本情况!K6="上海银行",M69,"")</f>
        <v/>
      </c>
      <c r="N56" s="3161" t="str">
        <f>IF(项目基本情况!K6="上海银行","包含处置中涉及的律师、诉讼、拍卖、评估等费用","")</f>
        <v/>
      </c>
      <c r="O56" s="3162"/>
    </row>
    <row r="57" spans="1:35" ht="12.75" hidden="1">
      <c r="A57" s="183" t="s">
        <v>2194</v>
      </c>
      <c r="B57" s="3206" t="s">
        <v>2222</v>
      </c>
      <c r="C57" s="3207"/>
      <c r="D57" s="187">
        <v>0</v>
      </c>
      <c r="E57" s="23" t="s">
        <v>2196</v>
      </c>
      <c r="F57" s="155"/>
      <c r="G57" s="2481"/>
      <c r="H57" s="2485"/>
      <c r="I57" s="2485"/>
      <c r="J57" s="3175">
        <f>IF(AND(J55="",J56=""),4,IF(项目基本情况!K6="上海银行",'结果表（天街）'!J56+1,'结果表（天街）'!J55+1))</f>
        <v>4</v>
      </c>
      <c r="K57" s="3175" t="s">
        <v>2223</v>
      </c>
      <c r="L57" s="2486" t="s">
        <v>2224</v>
      </c>
      <c r="M57" s="1754"/>
      <c r="N57" s="1755">
        <f ca="1">SUMIF(M52:M56,"&lt;9e307")</f>
        <v>2169</v>
      </c>
      <c r="O57" s="2487"/>
      <c r="P57" s="1748">
        <f ca="1">N57/M49</f>
        <v>0.56661442006269591</v>
      </c>
    </row>
    <row r="58" spans="1:35" ht="24.75" hidden="1">
      <c r="A58" s="183" t="s">
        <v>2205</v>
      </c>
      <c r="B58" s="3206" t="s">
        <v>2225</v>
      </c>
      <c r="C58" s="3219"/>
      <c r="D58" s="185">
        <f ca="1">IF(H58="转让取得",C81,C97)</f>
        <v>2167</v>
      </c>
      <c r="E58" s="11" t="s">
        <v>2220</v>
      </c>
      <c r="F58" s="24" t="s">
        <v>34</v>
      </c>
      <c r="G58" s="2481"/>
      <c r="H58" s="2484" t="s">
        <v>2226</v>
      </c>
      <c r="I58" s="2485"/>
      <c r="J58" s="3175"/>
      <c r="K58" s="3175"/>
      <c r="L58" s="2486" t="s">
        <v>2227</v>
      </c>
      <c r="M58" s="1756"/>
      <c r="N58" s="2488" t="str">
        <f ca="1">NUMBERSTRING(INT(N57*10000),2)&amp;"元整"</f>
        <v>贰仟壹佰陆拾玖万元整</v>
      </c>
      <c r="O58" s="2489"/>
    </row>
    <row r="59" spans="1:35" ht="24.75" hidden="1" thickBot="1">
      <c r="A59" s="3179" t="s">
        <v>2228</v>
      </c>
      <c r="B59" s="3180"/>
      <c r="C59" s="3180"/>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77">
        <f>J57+1</f>
        <v>5</v>
      </c>
      <c r="K59" s="3175" t="s">
        <v>2230</v>
      </c>
      <c r="L59" s="2961" t="s">
        <v>2224</v>
      </c>
      <c r="M59" s="1757"/>
      <c r="N59" s="1758">
        <f ca="1">M49-N57</f>
        <v>1659</v>
      </c>
      <c r="O59" s="2491"/>
    </row>
    <row r="60" spans="1:35" ht="12" hidden="1" customHeight="1">
      <c r="A60" s="2492"/>
      <c r="B60" s="2414"/>
      <c r="C60" s="2414"/>
      <c r="D60" s="2414"/>
      <c r="E60" s="2161"/>
      <c r="F60" s="2485"/>
      <c r="G60" s="2485"/>
      <c r="H60" s="2493"/>
      <c r="I60" s="138"/>
      <c r="J60" s="3178"/>
      <c r="K60" s="3175"/>
      <c r="L60" s="2486" t="s">
        <v>2227</v>
      </c>
      <c r="M60" s="1756"/>
      <c r="N60" s="2488" t="str">
        <f ca="1">NUMBERSTRING(INT(N59*10000),2)&amp;"元整"</f>
        <v>壹仟陆佰伍拾玖万元整</v>
      </c>
      <c r="O60" s="2489"/>
    </row>
    <row r="61" spans="1:35" ht="13.5" hidden="1" thickBot="1">
      <c r="A61" s="3239" t="s">
        <v>2231</v>
      </c>
      <c r="B61" s="3239"/>
      <c r="C61" s="3239"/>
      <c r="D61" s="3239"/>
      <c r="E61" s="3239"/>
      <c r="F61" s="2485"/>
      <c r="G61" s="2485"/>
      <c r="H61" s="2493"/>
      <c r="I61" s="138"/>
      <c r="J61" s="2961">
        <f>J59+1</f>
        <v>6</v>
      </c>
      <c r="K61" s="3175" t="s">
        <v>2232</v>
      </c>
      <c r="L61" s="3175"/>
      <c r="M61" s="1759"/>
      <c r="N61" s="1760">
        <f ca="1">ROUND(N59*10000/'数据-汇总表'!E3,0)</f>
        <v>1540</v>
      </c>
      <c r="O61" s="2494"/>
    </row>
    <row r="62" spans="1:35" ht="12.75" hidden="1">
      <c r="A62" s="3195" t="s">
        <v>2233</v>
      </c>
      <c r="B62" s="3196"/>
      <c r="C62" s="2956"/>
      <c r="D62" s="2956" t="s">
        <v>2234</v>
      </c>
      <c r="E62" s="192" t="s">
        <v>2235</v>
      </c>
      <c r="F62" s="2485"/>
      <c r="G62" s="2485"/>
      <c r="H62" s="2493"/>
      <c r="I62" s="138"/>
    </row>
    <row r="63" spans="1:35" ht="12.75" hidden="1">
      <c r="A63" s="203" t="s">
        <v>775</v>
      </c>
      <c r="B63" s="193" t="s">
        <v>2236</v>
      </c>
      <c r="C63" s="194">
        <f ca="1">ROUND((C64+C65)/(1+'数据-取费表'!C42),0)</f>
        <v>3646</v>
      </c>
      <c r="D63" s="195"/>
      <c r="E63" s="196"/>
      <c r="F63" s="2485"/>
      <c r="G63" s="2485"/>
      <c r="H63" s="2493"/>
      <c r="I63" s="138"/>
      <c r="J63" s="3160" t="s">
        <v>2237</v>
      </c>
      <c r="K63" s="2965" t="s">
        <v>2238</v>
      </c>
      <c r="L63" s="1747">
        <f ca="1">IF(M49&gt;10000,M49*0.5%,IF(AND(M49&gt;1000,M49&lt;=10000),M49*1%,IF(AND(M49&gt;100,M49&lt;=1000),M49*3%,IF(AND(M49&gt;10,M49&lt;=100),M49*5%,M49*8%))))</f>
        <v>38.28</v>
      </c>
      <c r="M63" s="24">
        <f ca="1">ROUND(L63,1)</f>
        <v>38.299999999999997</v>
      </c>
      <c r="Z63" s="2419"/>
      <c r="AI63" s="2420"/>
    </row>
    <row r="64" spans="1:35" ht="14.25" hidden="1" customHeight="1">
      <c r="A64" s="197" t="s">
        <v>770</v>
      </c>
      <c r="B64" s="198" t="s">
        <v>2239</v>
      </c>
      <c r="C64" s="199">
        <f ca="1">D45</f>
        <v>3828</v>
      </c>
      <c r="D64" s="200" t="s">
        <v>32</v>
      </c>
      <c r="E64" s="201"/>
      <c r="F64" s="2485"/>
      <c r="G64" s="2485"/>
      <c r="H64" s="2493"/>
      <c r="I64" s="138"/>
      <c r="J64" s="3160"/>
      <c r="K64" s="2965" t="s">
        <v>2240</v>
      </c>
      <c r="L64" s="1747">
        <f ca="1">IF(M49&gt;2000,M49*0.5%,IF(AND(M49&gt;1000,M49&lt;=2000),M49*0.6%,IF(AND(M49&gt;500,M49&lt;=1000),M49*0.7%,IF(AND(M49&gt;200,M49&lt;=500),M49*0.8%,IF(AND(M49&gt;100,M49&lt;=200),M49*0.9%,IF(AND(M49&gt;50,M49&lt;=100),M49*1%,IF(AND(M49&gt;20,M49&lt;=50),M49*1.5%,IF(AND(M49&gt;10,M49&lt;=20),M49*2%,IF(AND(M49&gt;1,M49&lt;=10),M49*2.5%)))))))))</f>
        <v>19.14</v>
      </c>
      <c r="M64" s="24">
        <f t="shared" ref="M64:M65" ca="1" si="1">ROUND(L64,1)</f>
        <v>19.100000000000001</v>
      </c>
      <c r="N64" s="138" t="s">
        <v>2241</v>
      </c>
      <c r="Z64" s="2419"/>
      <c r="AI64" s="2420"/>
    </row>
    <row r="65" spans="1:35" ht="14.25" hidden="1" customHeight="1">
      <c r="A65" s="197" t="s">
        <v>771</v>
      </c>
      <c r="B65" s="198" t="s">
        <v>2242</v>
      </c>
      <c r="C65" s="202"/>
      <c r="D65" s="200"/>
      <c r="E65" s="201"/>
      <c r="F65" s="2485"/>
      <c r="G65" s="2485"/>
      <c r="H65" s="2493"/>
      <c r="I65" s="138"/>
      <c r="J65" s="3160"/>
      <c r="K65" s="2965" t="s">
        <v>2243</v>
      </c>
      <c r="L65" s="1747">
        <f ca="1">IF(M49&gt;1000,M49*0.1%,IF(AND(M49&gt;500,M49&lt;=1000),M49*0.5%,IF(AND(M49&gt;50,M49&lt;=500),M49*1%,IF(AND(M49&gt;1,M49&lt;=50),M49*1.5%))))</f>
        <v>3.8280000000000003</v>
      </c>
      <c r="M65" s="24">
        <f t="shared" ca="1" si="1"/>
        <v>3.8</v>
      </c>
      <c r="N65" s="138" t="s">
        <v>2241</v>
      </c>
      <c r="Z65" s="2419"/>
      <c r="AI65" s="2420"/>
    </row>
    <row r="66" spans="1:35" ht="14.25" hidden="1" customHeight="1">
      <c r="A66" s="203" t="s">
        <v>772</v>
      </c>
      <c r="B66" s="204" t="s">
        <v>2244</v>
      </c>
      <c r="C66" s="205"/>
      <c r="D66" s="206" t="s">
        <v>32</v>
      </c>
      <c r="E66" s="1771" t="s">
        <v>1367</v>
      </c>
      <c r="F66" s="2485"/>
      <c r="G66" s="2485"/>
      <c r="H66" s="2493"/>
      <c r="I66" s="138"/>
      <c r="J66" s="3160"/>
      <c r="K66" s="2965" t="s">
        <v>2245</v>
      </c>
      <c r="L66" s="1747">
        <f ca="1">M49*0.5%</f>
        <v>19.14</v>
      </c>
      <c r="M66" s="24">
        <f ca="1">IF(L66&gt;0.5,0.5,ROUND(L66,0))</f>
        <v>0.5</v>
      </c>
      <c r="N66" s="138" t="s">
        <v>2246</v>
      </c>
      <c r="Z66" s="2419"/>
      <c r="AI66" s="2420"/>
    </row>
    <row r="67" spans="1:35" ht="14.25" hidden="1" customHeight="1">
      <c r="A67" s="203" t="s">
        <v>773</v>
      </c>
      <c r="B67" s="204" t="s">
        <v>2247</v>
      </c>
      <c r="C67" s="207">
        <f ca="1">C63-C66</f>
        <v>3646</v>
      </c>
      <c r="D67" s="200" t="s">
        <v>32</v>
      </c>
      <c r="E67" s="201"/>
      <c r="F67" s="2485"/>
      <c r="G67" s="2485"/>
      <c r="H67" s="2493"/>
      <c r="I67" s="138"/>
      <c r="J67" s="3160"/>
      <c r="K67" s="2965" t="s">
        <v>2248</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8" t="s">
        <v>774</v>
      </c>
      <c r="B68" s="209" t="s">
        <v>2249</v>
      </c>
      <c r="C68" s="210">
        <f ca="1">IF(C67&lt;=0,0,ROUND(C67*D68,0))</f>
        <v>204</v>
      </c>
      <c r="D68" s="211">
        <f>'数据-取费表'!B41</f>
        <v>5.6000000000000001E-2</v>
      </c>
      <c r="E68" s="212"/>
      <c r="F68" s="2485"/>
      <c r="G68" s="2485"/>
      <c r="H68" s="2493"/>
      <c r="I68" s="138"/>
      <c r="J68" s="3160"/>
      <c r="K68" s="2965" t="s">
        <v>2250</v>
      </c>
      <c r="L68" s="1747">
        <f ca="1">IF(M49&gt;10000,M49*0.5%,IF(AND(M49&gt;5000,M49&lt;=10000),M49*1%,IF(AND(M49&gt;1000,M49&lt;=5000),M49*2%,IF(AND(M49&gt;200,M49&lt;=1000),M49*3%,M49*5%))))</f>
        <v>76.56</v>
      </c>
      <c r="M68" s="24">
        <f ca="1">ROUND(L68,1)</f>
        <v>76.599999999999994</v>
      </c>
      <c r="Z68" s="2419"/>
      <c r="AI68" s="2420"/>
    </row>
    <row r="69" spans="1:35" s="2442" customFormat="1" ht="16.5" hidden="1" customHeight="1">
      <c r="A69" s="2496"/>
      <c r="B69" s="2497"/>
      <c r="C69" s="2498"/>
      <c r="D69" s="2499"/>
      <c r="E69" s="2500"/>
      <c r="F69" s="2161"/>
      <c r="G69" s="2161"/>
      <c r="H69" s="2160"/>
      <c r="I69" s="2414"/>
      <c r="J69" s="3160"/>
      <c r="K69" s="2965" t="s">
        <v>2251</v>
      </c>
      <c r="L69" s="2501"/>
      <c r="M69" s="24">
        <f ca="1">ROUND(SUM(M63:M68),0)</f>
        <v>141</v>
      </c>
      <c r="N69" s="1748">
        <f ca="1">M69/M49</f>
        <v>3.6833855799373039E-2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04" t="s">
        <v>2252</v>
      </c>
      <c r="B70" s="3205"/>
      <c r="C70" s="3205"/>
      <c r="D70" s="3205"/>
      <c r="E70" s="3205"/>
      <c r="F70" s="3205"/>
      <c r="G70" s="3205"/>
      <c r="H70" s="320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95" t="s">
        <v>2233</v>
      </c>
      <c r="B71" s="3196"/>
      <c r="C71" s="2956"/>
      <c r="D71" s="2956"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2253</v>
      </c>
      <c r="C72" s="207">
        <f ca="1">ROUND(D45/(1+'数据-取费表'!C42),0)</f>
        <v>3646</v>
      </c>
      <c r="D72" s="200" t="s">
        <v>32</v>
      </c>
      <c r="E72" s="2955"/>
      <c r="F72" s="2950"/>
      <c r="G72" s="2950"/>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2254</v>
      </c>
      <c r="C73" s="207">
        <f ca="1">C74+C78</f>
        <v>22</v>
      </c>
      <c r="D73" s="200" t="s">
        <v>32</v>
      </c>
      <c r="E73" s="2955"/>
      <c r="F73" s="2950"/>
      <c r="G73" s="2950"/>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2255</v>
      </c>
      <c r="C74" s="200">
        <f>ROUND(IF(G77="2016年5月1日后购买",C75/(1+'数据-取费表'!C42)+C76+C77,C75+C76+C77),0)</f>
        <v>0</v>
      </c>
      <c r="D74" s="200" t="s">
        <v>32</v>
      </c>
      <c r="E74" s="2955"/>
      <c r="F74" s="2950"/>
      <c r="G74" s="2950"/>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2260</v>
      </c>
      <c r="C76" s="200">
        <f>IF(F75="购房发票",ROUND(C75*H75*D76,0),0)</f>
        <v>0</v>
      </c>
      <c r="D76" s="222">
        <v>0.05</v>
      </c>
      <c r="E76" s="3201" t="s">
        <v>2261</v>
      </c>
      <c r="F76" s="3200"/>
      <c r="G76" s="3200"/>
      <c r="H76" s="320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2262</v>
      </c>
      <c r="C77" s="200">
        <f>ROUND(IF(G77="个人住宅",0,IF(G77="2016年5月1日前购买",C75*D77,C75*D77/(1+'数据-取费表'!C42))),0)</f>
        <v>0</v>
      </c>
      <c r="D77" s="223">
        <f>'数据-取费表'!B48+'数据-取费表'!B49</f>
        <v>3.0499999999999999E-2</v>
      </c>
      <c r="E77" s="2966" t="s">
        <v>2263</v>
      </c>
      <c r="F77" s="224"/>
      <c r="G77" s="2509" t="s">
        <v>2264</v>
      </c>
      <c r="H77" s="295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2265</v>
      </c>
      <c r="C78" s="225">
        <f ca="1">ROUND(D45*D78/(1+'数据-取费表'!C42),0)</f>
        <v>22</v>
      </c>
      <c r="D78" s="226">
        <f>'数据-取费表'!B43</f>
        <v>6.000000000000001E-3</v>
      </c>
      <c r="E78" s="3192" t="s">
        <v>2266</v>
      </c>
      <c r="F78" s="3193"/>
      <c r="G78" s="3193"/>
      <c r="H78" s="319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773</v>
      </c>
      <c r="B79" s="204" t="s">
        <v>2267</v>
      </c>
      <c r="C79" s="207">
        <f ca="1">C72-C73</f>
        <v>3624</v>
      </c>
      <c r="D79" s="200" t="s">
        <v>32</v>
      </c>
      <c r="E79" s="2955"/>
      <c r="F79" s="2950"/>
      <c r="G79" s="2950"/>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2268</v>
      </c>
      <c r="C80" s="227">
        <f ca="1">IF(C79&lt;=0,0,C79/C73)</f>
        <v>164.72727272727272</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2269</v>
      </c>
      <c r="C81" s="228">
        <f ca="1">ROUND(IF(C79&lt;=0,0,IF(C80&gt;=200%,C79*60%-C73*35%,IF(C80&gt;=100%,C79*50%-C73*15%,IF(C80&gt;=50%,C79*40%-C73*5%,IF(C80&lt;50%,C79*30%,0))))),0)</f>
        <v>2167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04" t="s">
        <v>2270</v>
      </c>
      <c r="B83" s="3205"/>
      <c r="C83" s="3205"/>
      <c r="D83" s="3205"/>
      <c r="E83" s="3205"/>
      <c r="F83" s="3205"/>
      <c r="G83" s="3205"/>
      <c r="H83" s="320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95" t="s">
        <v>2233</v>
      </c>
      <c r="B84" s="3196"/>
      <c r="C84" s="2956"/>
      <c r="D84" s="2956"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2253</v>
      </c>
      <c r="C85" s="207">
        <f ca="1">ROUND(D45/(1+'数据-取费表'!C42),0)</f>
        <v>3646</v>
      </c>
      <c r="D85" s="200" t="s">
        <v>32</v>
      </c>
      <c r="E85" s="2955"/>
      <c r="F85" s="2950"/>
      <c r="G85" s="2950"/>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2254</v>
      </c>
      <c r="C86" s="207">
        <f ca="1">IF(H88="仅含出让金",C87+C90+C91+C92+C93+C94,C87+C91+C92+C93+C94)</f>
        <v>22</v>
      </c>
      <c r="D86" s="235"/>
      <c r="E86" s="2955"/>
      <c r="F86" s="2950"/>
      <c r="G86" s="2950"/>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2271</v>
      </c>
      <c r="C87" s="225">
        <f>C88+C89</f>
        <v>0</v>
      </c>
      <c r="D87" s="226"/>
      <c r="E87" s="2951"/>
      <c r="F87" s="2952"/>
      <c r="G87" s="2952"/>
      <c r="H87" s="295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2272</v>
      </c>
      <c r="C88" s="236"/>
      <c r="D88" s="226"/>
      <c r="E88" s="237" t="s">
        <v>2273</v>
      </c>
      <c r="F88" s="2952"/>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2262</v>
      </c>
      <c r="C89" s="225">
        <f>ROUND(C88*D89,0)</f>
        <v>0</v>
      </c>
      <c r="D89" s="226">
        <f>'数据-取费表'!B48+'数据-取费表'!B49</f>
        <v>3.0499999999999999E-2</v>
      </c>
      <c r="E89" s="237" t="s">
        <v>2275</v>
      </c>
      <c r="F89" s="2952"/>
      <c r="G89" s="2952"/>
      <c r="H89" s="295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2276</v>
      </c>
      <c r="C90" s="236"/>
      <c r="D90" s="226"/>
      <c r="E90" s="237" t="str">
        <f>IF(H88="-","土地取得成本中已包含该笔费用"," ")</f>
        <v xml:space="preserve"> </v>
      </c>
      <c r="F90" s="2952"/>
      <c r="G90" s="2952"/>
      <c r="H90" s="295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2277</v>
      </c>
      <c r="B91" s="198" t="s">
        <v>2278</v>
      </c>
      <c r="C91" s="225">
        <f>IF(H91="——",'成本法（四羊方尊）'!C33,I91)</f>
        <v>0</v>
      </c>
      <c r="D91" s="226"/>
      <c r="E91" s="3192" t="s">
        <v>2279</v>
      </c>
      <c r="F91" s="3193"/>
      <c r="G91" s="3193"/>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2281</v>
      </c>
      <c r="B92" s="198" t="s">
        <v>2282</v>
      </c>
      <c r="C92" s="225">
        <f>ROUND((C87+C90+C91)*D92,0)</f>
        <v>0</v>
      </c>
      <c r="D92" s="226">
        <v>0.1</v>
      </c>
      <c r="E92" s="3192" t="s">
        <v>2283</v>
      </c>
      <c r="F92" s="3193"/>
      <c r="G92" s="3193"/>
      <c r="H92" s="319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2284</v>
      </c>
      <c r="B93" s="198" t="s">
        <v>2265</v>
      </c>
      <c r="C93" s="225">
        <f ca="1">ROUND(D45*D93/(1+'数据-取费表'!C42),0)</f>
        <v>22</v>
      </c>
      <c r="D93" s="226">
        <f>'数据-取费表'!B43</f>
        <v>6.000000000000001E-3</v>
      </c>
      <c r="E93" s="3192" t="s">
        <v>2266</v>
      </c>
      <c r="F93" s="3193"/>
      <c r="G93" s="3193"/>
      <c r="H93" s="319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2285</v>
      </c>
      <c r="B94" s="198" t="s">
        <v>2286</v>
      </c>
      <c r="C94" s="236">
        <f>ROUND((C87+C90+C91)*D94,0)</f>
        <v>0</v>
      </c>
      <c r="D94" s="226">
        <v>0.2</v>
      </c>
      <c r="E94" s="3244" t="s">
        <v>2287</v>
      </c>
      <c r="F94" s="3245"/>
      <c r="G94" s="3245"/>
      <c r="H94" s="32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773</v>
      </c>
      <c r="B95" s="204" t="s">
        <v>2267</v>
      </c>
      <c r="C95" s="207">
        <f ca="1">ROUND(C85-C86,0)</f>
        <v>3624</v>
      </c>
      <c r="D95" s="200" t="s">
        <v>32</v>
      </c>
      <c r="E95" s="2955"/>
      <c r="F95" s="2950"/>
      <c r="G95" s="2950"/>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2268</v>
      </c>
      <c r="C96" s="227">
        <f ca="1">IF(C95&lt;=0,0,C95/C86)</f>
        <v>164.72727272727272</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2269</v>
      </c>
      <c r="C97" s="228">
        <f ca="1">ROUND(IF(C95&lt;=0,0,IF(C96&gt;=200%,C95*60%-C86*35%,IF(C96&gt;=100%,C95*50%-C86*15%,IF(C96&gt;=50%,C95*40%-C86*5%,IF(C96&lt;50%,C95*30%,0))))),0)</f>
        <v>2167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142" t="s">
        <v>2289</v>
      </c>
      <c r="B100" s="3143"/>
      <c r="C100" s="3143"/>
      <c r="D100" s="3176"/>
      <c r="E100" s="3143" t="s">
        <v>2290</v>
      </c>
      <c r="F100" s="3143"/>
      <c r="G100" s="3143"/>
      <c r="H100" s="3176"/>
      <c r="I100" s="138"/>
    </row>
    <row r="101" spans="1:35" ht="18.75" customHeight="1">
      <c r="A101" s="3184" t="s">
        <v>2291</v>
      </c>
      <c r="B101" s="3185"/>
      <c r="C101" s="736" t="str">
        <f>C4</f>
        <v>成本法（天街）</v>
      </c>
      <c r="D101" s="737" t="str">
        <f>D4</f>
        <v>收益法（天街）</v>
      </c>
      <c r="E101" s="3156" t="s">
        <v>2292</v>
      </c>
      <c r="F101" s="3157"/>
      <c r="G101" s="2516" t="s">
        <v>2293</v>
      </c>
      <c r="H101" s="1045">
        <f ca="1">H118</f>
        <v>3828</v>
      </c>
      <c r="I101" s="138"/>
    </row>
    <row r="102" spans="1:35" ht="18.75" customHeight="1">
      <c r="A102" s="3186" t="s">
        <v>2294</v>
      </c>
      <c r="B102" s="2516" t="s">
        <v>2293</v>
      </c>
      <c r="C102" s="736">
        <f ca="1">C19</f>
        <v>3303</v>
      </c>
      <c r="D102" s="737">
        <f ca="1">D19</f>
        <v>4353</v>
      </c>
      <c r="E102" s="3156"/>
      <c r="F102" s="3157"/>
      <c r="G102" s="2516" t="s">
        <v>2295</v>
      </c>
      <c r="H102" s="371">
        <f ca="1">I118</f>
        <v>7411</v>
      </c>
      <c r="I102" s="138"/>
    </row>
    <row r="103" spans="1:35" ht="42.75" customHeight="1">
      <c r="A103" s="3186"/>
      <c r="B103" s="2516" t="s">
        <v>2295</v>
      </c>
      <c r="C103" s="738">
        <f ca="1">C20</f>
        <v>6395</v>
      </c>
      <c r="D103" s="739">
        <f ca="1">D20</f>
        <v>8427</v>
      </c>
      <c r="E103" s="3150" t="s">
        <v>2296</v>
      </c>
      <c r="F103" s="3151"/>
      <c r="G103" s="2517" t="s">
        <v>2297</v>
      </c>
      <c r="H103" s="1045">
        <f>IF(D36="正常操作",H104+H105+H106,H105+H106)</f>
        <v>0</v>
      </c>
      <c r="I103" s="138"/>
    </row>
    <row r="104" spans="1:35" ht="18.75" customHeight="1">
      <c r="A104" s="3186" t="s">
        <v>2298</v>
      </c>
      <c r="B104" s="2518" t="s">
        <v>2293</v>
      </c>
      <c r="C104" s="740">
        <f ca="1">H118</f>
        <v>3828</v>
      </c>
      <c r="D104" s="741"/>
      <c r="E104" s="2262" t="s">
        <v>2299</v>
      </c>
      <c r="F104" s="2253"/>
      <c r="G104" s="2517" t="s">
        <v>2297</v>
      </c>
      <c r="H104" s="1046">
        <f>IF(D36="同一抵押权人同一抵押物续贷",C36&amp;"（未扣减，详见特别提示）",C36)</f>
        <v>0</v>
      </c>
      <c r="I104" s="138"/>
    </row>
    <row r="105" spans="1:35" ht="18.75" customHeight="1" thickBot="1">
      <c r="A105" s="3198"/>
      <c r="B105" s="2519" t="s">
        <v>2295</v>
      </c>
      <c r="C105" s="742">
        <f ca="1">I118</f>
        <v>7411</v>
      </c>
      <c r="D105" s="743"/>
      <c r="E105" s="2262" t="s">
        <v>2300</v>
      </c>
      <c r="F105" s="2253"/>
      <c r="G105" s="2517" t="s">
        <v>2297</v>
      </c>
      <c r="H105" s="1046">
        <f>C37</f>
        <v>0</v>
      </c>
      <c r="I105" s="138"/>
    </row>
    <row r="106" spans="1:35" ht="18.75" customHeight="1">
      <c r="A106" s="2414" t="s">
        <v>2301</v>
      </c>
      <c r="B106" s="2414"/>
      <c r="C106" s="2414"/>
      <c r="D106" s="2414"/>
      <c r="E106" s="2520" t="s">
        <v>2302</v>
      </c>
      <c r="F106" s="2253"/>
      <c r="G106" s="2517" t="s">
        <v>2297</v>
      </c>
      <c r="H106" s="1046">
        <f>C38</f>
        <v>0</v>
      </c>
      <c r="I106" s="138"/>
    </row>
    <row r="107" spans="1:35" ht="18.75" customHeight="1">
      <c r="A107" s="138"/>
      <c r="B107" s="138"/>
      <c r="C107" s="138"/>
      <c r="D107" s="138"/>
      <c r="E107" s="3187" t="str">
        <f>IF(项目基本情况!E8="已注销","——","3.房地产抵押价值")</f>
        <v>3.房地产抵押价值</v>
      </c>
      <c r="F107" s="3157"/>
      <c r="G107" s="2516" t="s">
        <v>2293</v>
      </c>
      <c r="H107" s="1045">
        <f ca="1">IF(E107="——","——",H101-H103)</f>
        <v>3828</v>
      </c>
      <c r="I107" s="138"/>
    </row>
    <row r="108" spans="1:35" ht="18.75" customHeight="1">
      <c r="A108" s="138"/>
      <c r="B108" s="138"/>
      <c r="C108" s="138"/>
      <c r="D108" s="138"/>
      <c r="E108" s="3187"/>
      <c r="F108" s="3157"/>
      <c r="G108" s="2516" t="s">
        <v>2295</v>
      </c>
      <c r="H108" s="371">
        <f ca="1">ROUND(H107*10000/'数据-汇总表'!E3,0)</f>
        <v>3554</v>
      </c>
      <c r="I108" s="138"/>
    </row>
    <row r="109" spans="1:35" ht="18.75" customHeight="1">
      <c r="A109" s="138"/>
      <c r="B109" s="138"/>
      <c r="C109" s="138"/>
      <c r="D109" s="138"/>
      <c r="E109" s="3187" t="str">
        <f>IF(项目基本情况!E8="已注销及未注销","4.抵押担保权已注销时的房地产抵押价值",IF(项目基本情况!E8="已注销","3.抵押担保权已注销时的房地产抵押价值","——"))</f>
        <v>——</v>
      </c>
      <c r="F109" s="3157"/>
      <c r="G109" s="2516" t="s">
        <v>2293</v>
      </c>
      <c r="H109" s="348" t="str">
        <f>IF(E109="——","——",H101-H105-H106)</f>
        <v>——</v>
      </c>
      <c r="I109" s="138"/>
    </row>
    <row r="110" spans="1:35" ht="18.75" customHeight="1">
      <c r="A110" s="138"/>
      <c r="B110" s="138"/>
      <c r="C110" s="138"/>
      <c r="D110" s="138"/>
      <c r="E110" s="3187"/>
      <c r="F110" s="3157"/>
      <c r="G110" s="2516" t="s">
        <v>2295</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16" t="s">
        <v>2293</v>
      </c>
      <c r="H111" s="1045" t="str">
        <f>IF(E111="——","——",N59)</f>
        <v>——</v>
      </c>
      <c r="I111" s="138"/>
    </row>
    <row r="112" spans="1:35" ht="18.75" customHeight="1" thickBot="1">
      <c r="A112" s="138"/>
      <c r="B112" s="138"/>
      <c r="C112" s="138"/>
      <c r="D112" s="138"/>
      <c r="E112" s="3190"/>
      <c r="F112" s="3191"/>
      <c r="G112" s="2521" t="s">
        <v>2295</v>
      </c>
      <c r="H112" s="790" t="str">
        <f>IF(E111="——","——",N61)</f>
        <v>——</v>
      </c>
      <c r="I112" s="138"/>
    </row>
    <row r="113" spans="1:11" ht="18.75" customHeight="1">
      <c r="A113" s="138"/>
      <c r="B113" s="138"/>
      <c r="C113" s="138"/>
      <c r="D113" s="138"/>
      <c r="E113" s="3199" t="s">
        <v>2301</v>
      </c>
      <c r="F113" s="3199"/>
      <c r="G113" s="3199"/>
      <c r="H113" s="3199"/>
      <c r="I113" s="138"/>
    </row>
    <row r="114" spans="1:11" ht="3.75" customHeight="1">
      <c r="A114" s="2414"/>
      <c r="B114" s="2414"/>
      <c r="C114" s="2414"/>
      <c r="D114" s="2414"/>
      <c r="E114" s="2492"/>
      <c r="F114" s="2492"/>
      <c r="G114" s="2492"/>
      <c r="H114" s="2492"/>
      <c r="I114" s="2414"/>
    </row>
    <row r="115" spans="1:11" ht="18.75" customHeight="1">
      <c r="A115" s="3212" t="s">
        <v>2303</v>
      </c>
      <c r="B115" s="3213"/>
      <c r="C115" s="3213"/>
      <c r="D115" s="3213"/>
      <c r="E115" s="3213"/>
      <c r="F115" s="3213"/>
      <c r="G115" s="3213"/>
      <c r="H115" s="3213"/>
      <c r="I115" s="3214"/>
    </row>
    <row r="116" spans="1:11" ht="27" customHeight="1">
      <c r="A116" s="3115" t="s">
        <v>2304</v>
      </c>
      <c r="B116" s="3166" t="s">
        <v>3056</v>
      </c>
      <c r="C116" s="3166" t="s">
        <v>3361</v>
      </c>
      <c r="D116" s="3172" t="s">
        <v>2305</v>
      </c>
      <c r="E116" s="3173"/>
      <c r="F116" s="3208" t="s">
        <v>3362</v>
      </c>
      <c r="G116" s="3208"/>
      <c r="H116" s="3115" t="s">
        <v>2306</v>
      </c>
      <c r="I116" s="3115"/>
    </row>
    <row r="117" spans="1:11" ht="18.75" customHeight="1">
      <c r="A117" s="3115"/>
      <c r="B117" s="3167"/>
      <c r="C117" s="3167"/>
      <c r="D117" s="2948" t="s">
        <v>2307</v>
      </c>
      <c r="E117" s="2948" t="s">
        <v>2308</v>
      </c>
      <c r="F117" s="2948" t="s">
        <v>2307</v>
      </c>
      <c r="G117" s="2948" t="s">
        <v>2309</v>
      </c>
      <c r="H117" s="2948" t="s">
        <v>2307</v>
      </c>
      <c r="I117" s="2948" t="s">
        <v>2309</v>
      </c>
    </row>
    <row r="118" spans="1:11" ht="24.75" customHeight="1">
      <c r="A118" s="2522" t="str">
        <f>项目基本情况!S2</f>
        <v>贵州省遵义市仁怀市盐津街道办事处城南社区酒都广场局部房地产房地产</v>
      </c>
      <c r="B118" s="2948">
        <f>M18</f>
        <v>5165.3600000000006</v>
      </c>
      <c r="C118" s="2948">
        <f>M19</f>
        <v>0</v>
      </c>
      <c r="D118" s="2948">
        <f ca="1">ROUND(IF(D32="总价",C34,E118*B118/10000),0)</f>
        <v>1615</v>
      </c>
      <c r="E118" s="2948">
        <f ca="1">ROUND(IF(C33="自定义",IF(D32="楼面单价",C34,D118*10000/B118),I118-G118),0)</f>
        <v>3127</v>
      </c>
      <c r="F118" s="2948">
        <f ca="1">ROUND(IF(D32="总价",C35,G118*B118/10000),0)</f>
        <v>2213</v>
      </c>
      <c r="G118" s="2948">
        <f ca="1">ROUND(IF(D32="楼面单价",C35,F118*10000/B118),0)</f>
        <v>4284</v>
      </c>
      <c r="H118" s="2948">
        <f ca="1">ROUND(IF(D32="总价",C32,I118*B118/10000),0)</f>
        <v>3828</v>
      </c>
      <c r="I118" s="2948">
        <f ca="1">ROUND(IF(D32="楼面单价",C32,H118*10000/B118),0)</f>
        <v>7411</v>
      </c>
    </row>
    <row r="119" spans="1:11" ht="18.75" customHeight="1">
      <c r="A119" s="3115" t="s">
        <v>2310</v>
      </c>
      <c r="B119" s="3115"/>
      <c r="C119" s="3115"/>
      <c r="D119" s="3168" t="str">
        <f ca="1">NUMBERSTRING(INT(D118*10000),2)&amp;"元整"</f>
        <v>壹仟陆佰壹拾伍万元整</v>
      </c>
      <c r="E119" s="3169"/>
      <c r="F119" s="3168" t="str">
        <f ca="1">NUMBERSTRING(INT(F118*10000),2)&amp;"元整"</f>
        <v>贰仟贰佰壹拾叁万元整</v>
      </c>
      <c r="G119" s="3169"/>
      <c r="H119" s="3168" t="str">
        <f ca="1">NUMBERSTRING(INT(H118*10000),2)&amp;"元整"</f>
        <v>叁仟捌佰贰拾捌万元整</v>
      </c>
      <c r="I119" s="3169"/>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9" t="str">
        <f>IF(D120=0,"故，本次评估不存在"&amp;A120,"故，本次评估"&amp;A120&amp;"为人民币"&amp;D120&amp;"万元整。")</f>
        <v>故，本次评估不存在估价师知悉的法定优先受偿款</v>
      </c>
    </row>
    <row r="121" spans="1:11" ht="18.75" customHeight="1">
      <c r="A121" s="3209" t="s">
        <v>2310</v>
      </c>
      <c r="B121" s="3210"/>
      <c r="C121" s="3211"/>
      <c r="D121" s="3168" t="str">
        <f>IF(D120=0,"零元整",NUMBERSTRING(INT(D120*10000),2)&amp;"元整")</f>
        <v>零元整</v>
      </c>
      <c r="E121" s="3170"/>
      <c r="F121" s="3170"/>
      <c r="G121" s="3170"/>
      <c r="H121" s="3170"/>
      <c r="I121" s="3169"/>
    </row>
    <row r="122" spans="1:11" ht="18.75" customHeight="1">
      <c r="A122" s="3174" t="str">
        <f>IF(项目基本情况!B9="房地产市场价值","",MID(E107,3,LEN(E107)-2))</f>
        <v>房地产抵押价值</v>
      </c>
      <c r="B122" s="3174"/>
      <c r="C122" s="3174"/>
      <c r="D122" s="3163">
        <f ca="1">H107</f>
        <v>3828</v>
      </c>
      <c r="E122" s="3164"/>
      <c r="F122" s="3164"/>
      <c r="G122" s="3164"/>
      <c r="H122" s="3164"/>
      <c r="I122" s="3165"/>
    </row>
    <row r="123" spans="1:11" ht="18.75" customHeight="1">
      <c r="A123" s="3115" t="s">
        <v>2310</v>
      </c>
      <c r="B123" s="3115"/>
      <c r="C123" s="3115"/>
      <c r="D123" s="3168" t="str">
        <f ca="1">NUMBERSTRING(INT(D122*10000),2)&amp;"元整"</f>
        <v>叁仟捌佰贰拾捌万元整</v>
      </c>
      <c r="E123" s="3170"/>
      <c r="F123" s="3170"/>
      <c r="G123" s="3170"/>
      <c r="H123" s="3170"/>
      <c r="I123" s="3169"/>
    </row>
    <row r="124" spans="1:11" ht="18.75" customHeight="1">
      <c r="A124" s="3174" t="str">
        <f>IF(项目基本情况!B9="房地产市场价值","",MID(E109,3,LEN(E109)-2))</f>
        <v/>
      </c>
      <c r="B124" s="3174"/>
      <c r="C124" s="3174"/>
      <c r="D124" s="3163" t="str">
        <f>H109</f>
        <v>——</v>
      </c>
      <c r="E124" s="3164"/>
      <c r="F124" s="3164"/>
      <c r="G124" s="3164"/>
      <c r="H124" s="3164"/>
      <c r="I124" s="3165"/>
    </row>
    <row r="125" spans="1:11" ht="18.75" customHeight="1">
      <c r="A125" s="3115" t="s">
        <v>2310</v>
      </c>
      <c r="B125" s="3115"/>
      <c r="C125" s="3115"/>
      <c r="D125" s="3168" t="e">
        <f>NUMBERSTRING(INT(D124*10000),2)&amp;"元整"</f>
        <v>#VALUE!</v>
      </c>
      <c r="E125" s="3170"/>
      <c r="F125" s="3170"/>
      <c r="G125" s="3170"/>
      <c r="H125" s="3170"/>
      <c r="I125" s="3169"/>
    </row>
    <row r="126" spans="1:11" ht="18.75" customHeight="1">
      <c r="A126" s="3174" t="str">
        <f>IF(项目基本情况!B9="房地产市场价值","",MID(E111,3,LEN(E111)-2))</f>
        <v/>
      </c>
      <c r="B126" s="3174"/>
      <c r="C126" s="3174"/>
      <c r="D126" s="3163" t="str">
        <f>H111</f>
        <v>——</v>
      </c>
      <c r="E126" s="3164"/>
      <c r="F126" s="3164"/>
      <c r="G126" s="3164"/>
      <c r="H126" s="3164"/>
      <c r="I126" s="3165"/>
    </row>
    <row r="127" spans="1:11" ht="18.75" customHeight="1">
      <c r="A127" s="3115" t="s">
        <v>2310</v>
      </c>
      <c r="B127" s="3115"/>
      <c r="C127" s="3115"/>
      <c r="D127" s="3168" t="e">
        <f>NUMBERSTRING(INT(D126*10000),2)&amp;"元整"</f>
        <v>#VALUE!</v>
      </c>
      <c r="E127" s="3170"/>
      <c r="F127" s="3170"/>
      <c r="G127" s="3170"/>
      <c r="H127" s="3170"/>
      <c r="I127" s="3169"/>
    </row>
    <row r="128" spans="1:11" ht="21.75" customHeight="1">
      <c r="A128" s="3171" t="s">
        <v>2311</v>
      </c>
      <c r="B128" s="3171"/>
      <c r="C128" s="3171"/>
      <c r="D128" s="3171"/>
      <c r="E128" s="3171"/>
      <c r="F128" s="3171"/>
      <c r="G128" s="3171"/>
      <c r="H128" s="3171"/>
      <c r="I128" s="3171"/>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8"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72" orientation="portrait" r:id="rId1"/>
  <rowBreaks count="3" manualBreakCount="3">
    <brk id="43" max="8" man="1"/>
    <brk id="97" max="8" man="1"/>
    <brk id="142" max="8"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中信信托有限责任公司：</v>
      </c>
    </row>
    <row r="4" spans="1:1" ht="36">
      <c r="A4" s="1945" t="str">
        <f>"受贵公司委托，我公司对"&amp;项目基本情况!S1&amp;"进行了预评估。"</f>
        <v>受贵公司委托，我公司对贵州省遵义市仁怀市盐津街道办事处城南社区酒都广场局部房地产房地产抵押价值进行了预评估。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遵义市仁怀市盐津街道办事处城南社区酒都广场局部房地产房地产，为仁怀市城市开发建设投资经营有限责任公司所有。根据《国有土地使用证》[]，估价对象（分摊）出让国有建设用地使用权面积为0平方米，建筑面积为10771.04平方米。</v>
      </c>
    </row>
    <row r="8" spans="1:1" ht="57.75">
      <c r="A8" s="1948" t="s">
        <v>1609</v>
      </c>
    </row>
    <row r="9" spans="1:1" ht="18.75">
      <c r="A9" s="1947" t="s">
        <v>1610</v>
      </c>
    </row>
    <row r="10" spans="1:1" ht="90">
      <c r="A10" s="1945" t="str">
        <f>"估价对象为"&amp;项目基本情况!S2&amp;IF('结果表（四羊方尊）'!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遵义市仁怀市盐津街道办事处城南社区酒都广场局部房地产房地产,属仁怀市城市开发建设投资经营有限责任公司开发建设的综合项目（商业、办公），该项目尚在开发建设中。根据《国有土地使用证》[]，估价对象（分摊）出让国有建设用地使用权面积为0平方米，规划建筑面积为10771.04平方米。</v>
      </c>
    </row>
    <row r="11" spans="1:1" ht="76.5">
      <c r="A11" s="1948" t="s">
        <v>1611</v>
      </c>
    </row>
    <row r="12" spans="1:1" ht="18.75">
      <c r="A12" s="1946" t="s">
        <v>1612</v>
      </c>
    </row>
    <row r="13" spans="1:1" ht="38.25" customHeight="1">
      <c r="A13" s="1949" t="str">
        <f>IF(项目基本情况!B8="抵押",IF(项目基本情况!B5=项目基本情况!B6,定义!C51,定义!B51),定义!D51)</f>
        <v>仁怀市城市开发建设投资经营有限责任公司拟使用贵州省遵义市仁怀市盐津街道办事处城南社区酒都广场局部房地产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2019年7月25日（评估专业人员实地查勘之日）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25日，估价对象规划用途为办公、商业，土地取得方式为出让，出让国有建设用地使用权剩余土地使用年限为商业37.46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四羊方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四羊方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红线内场地平整条件下，剩余土地使用年限为商业37.46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"本次评估采用的主估价方法为"&amp;'结果表（四羊方尊）'!K4&amp;"和"&amp;'结果表（四羊方尊）'!L4&amp;"。"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92"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4" t="s">
        <v>3114</v>
      </c>
      <c r="C1" s="242"/>
      <c r="D1" s="242"/>
      <c r="E1" s="242"/>
      <c r="F1" s="242"/>
      <c r="G1" s="1379">
        <f>MATCH(B1,'数据-取费表'!A6:A16,0)+5</f>
        <v>7</v>
      </c>
    </row>
    <row r="2" spans="1:9" s="244" customFormat="1" ht="18" customHeight="1">
      <c r="A2" s="245" t="s">
        <v>2320</v>
      </c>
      <c r="B2" s="246">
        <f ca="1">IF(D2="——",C52,C52-E2)</f>
        <v>3303</v>
      </c>
      <c r="C2" s="243" t="s">
        <v>2321</v>
      </c>
      <c r="D2" s="2545" t="s">
        <v>70</v>
      </c>
      <c r="E2" s="1439" t="e">
        <f ca="1">SUMIF(INDIRECT("'"&amp;G2&amp;"'"&amp;"!A:A"),"承租人权益价值",INDIRECT("'"&amp;G2&amp;"'"&amp;"!c:c"))</f>
        <v>#REF!</v>
      </c>
      <c r="F2" s="2546" t="s">
        <v>2321</v>
      </c>
      <c r="G2" s="2547"/>
    </row>
    <row r="3" spans="1:9" s="244" customFormat="1" ht="18" customHeight="1" thickBot="1">
      <c r="A3" s="247" t="s">
        <v>2322</v>
      </c>
      <c r="B3" s="248">
        <f ca="1">ROUND(B2*10000/(IF(B1="",'数据-汇总表'!E3,INDIRECT("'数据-取费表'!k"&amp;$G$1))),0)</f>
        <v>6395</v>
      </c>
      <c r="C3" s="243" t="s">
        <v>2323</v>
      </c>
      <c r="D3" s="243"/>
      <c r="E3" s="243"/>
      <c r="F3" s="243"/>
      <c r="G3" s="243"/>
    </row>
    <row r="4" spans="1:9" s="252" customFormat="1" ht="15.75">
      <c r="A4" s="249" t="s">
        <v>2324</v>
      </c>
      <c r="B4" s="250"/>
      <c r="C4" s="250"/>
      <c r="D4" s="250"/>
      <c r="E4" s="250"/>
      <c r="F4" s="250"/>
      <c r="G4" s="251"/>
    </row>
    <row r="5" spans="1:9" s="258" customFormat="1" ht="13.5" customHeight="1">
      <c r="A5" s="299" t="s">
        <v>782</v>
      </c>
      <c r="B5" s="254" t="s">
        <v>2326</v>
      </c>
      <c r="C5" s="255">
        <f ca="1">C6+C7+C8</f>
        <v>1000</v>
      </c>
      <c r="D5" s="255" t="s">
        <v>2327</v>
      </c>
      <c r="E5" s="256" t="s">
        <v>2328</v>
      </c>
      <c r="F5" s="256" t="s">
        <v>2329</v>
      </c>
      <c r="G5" s="257"/>
    </row>
    <row r="6" spans="1:9" s="258" customFormat="1" ht="13.5" customHeight="1">
      <c r="A6" s="949" t="s">
        <v>2330</v>
      </c>
      <c r="B6" s="259" t="s">
        <v>2331</v>
      </c>
      <c r="C6" s="260">
        <f>ROUND('土地比较法-住宅、综合'!B3*'数据-汇总表'!F20/10000,0)</f>
        <v>956</v>
      </c>
      <c r="D6" s="261"/>
      <c r="E6" s="262"/>
      <c r="F6" s="262"/>
      <c r="G6" s="263"/>
    </row>
    <row r="7" spans="1:9" s="258" customFormat="1" ht="13.5" customHeight="1">
      <c r="A7" s="949" t="s">
        <v>2332</v>
      </c>
      <c r="B7" s="259" t="s">
        <v>2333</v>
      </c>
      <c r="C7" s="264">
        <f>ROUND(C6*F7,0)</f>
        <v>29</v>
      </c>
      <c r="D7" s="264"/>
      <c r="E7" s="262"/>
      <c r="F7" s="265">
        <f>IF(项目基本情况!B8="出让",0,'数据-取费表'!B48+'数据-取费表'!B49)</f>
        <v>3.0499999999999999E-2</v>
      </c>
      <c r="G7" s="263"/>
    </row>
    <row r="8" spans="1:9" s="267" customFormat="1">
      <c r="A8" s="949" t="s">
        <v>793</v>
      </c>
      <c r="B8" s="259" t="s">
        <v>2335</v>
      </c>
      <c r="C8" s="264">
        <f ca="1">IF(G8="已包含在土地购买价格中","0",IF(B1="",'数据-取费表'!B29,IF(G9="全部缴纳",C9+C10,H9)))</f>
        <v>15</v>
      </c>
      <c r="D8" s="266"/>
      <c r="E8" s="264"/>
      <c r="F8" s="265"/>
      <c r="G8" s="2548" t="s">
        <v>3122</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30</v>
      </c>
      <c r="F9" s="265"/>
      <c r="G9" s="2549"/>
      <c r="H9" s="2984">
        <f ca="1">C10</f>
        <v>15</v>
      </c>
      <c r="I9" s="2550" t="s">
        <v>2337</v>
      </c>
    </row>
    <row r="10" spans="1:9" s="258" customFormat="1" ht="13.5" customHeight="1">
      <c r="A10" s="950" t="s">
        <v>801</v>
      </c>
      <c r="B10" s="268" t="s">
        <v>2338</v>
      </c>
      <c r="C10" s="269">
        <f ca="1">ROUND(D10*E10/10000,0)</f>
        <v>15</v>
      </c>
      <c r="D10" s="1032">
        <f ca="1">IF(B1="",'数据-汇总表'!E6,IF(INDIRECT("'数据-取费表'!c"&amp;$G$1)="住宅",INDIRECT("'数据-取费表'!s"&amp;$G$1),INDIRECT("'数据-取费表'!k"&amp;$G$1)+INDIRECT("'数据-取费表'!s"&amp;$G$1)))</f>
        <v>5165.3600000000006</v>
      </c>
      <c r="E10" s="269">
        <f>'数据-取费表'!B28</f>
        <v>30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2335</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5165.3600000000006</v>
      </c>
      <c r="E19" s="255">
        <f>'数据-取费表'!B31</f>
        <v>200</v>
      </c>
      <c r="F19" s="275"/>
      <c r="G19" s="2548" t="s">
        <v>3123</v>
      </c>
    </row>
    <row r="20" spans="1:7" s="258" customFormat="1" ht="13.5" customHeight="1">
      <c r="A20" s="299" t="s">
        <v>2351</v>
      </c>
      <c r="B20" s="254" t="s">
        <v>2352</v>
      </c>
      <c r="C20" s="276">
        <f ca="1">ROUND((C5+C19)*F20,0)</f>
        <v>20</v>
      </c>
      <c r="D20" s="276"/>
      <c r="E20" s="276"/>
      <c r="F20" s="277">
        <f>'数据-取费表'!B37</f>
        <v>0.02</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4">
        <f ca="1">ROUND(SUM(C23:C25),0)</f>
        <v>98</v>
      </c>
      <c r="D22" s="279">
        <f ca="1">C26</f>
        <v>1.4E-3</v>
      </c>
      <c r="E22" s="280" t="s">
        <v>2356</v>
      </c>
      <c r="F22" s="281">
        <f ca="1">'数据-取费表'!B40</f>
        <v>4.7500000000000001E-2</v>
      </c>
      <c r="G22" s="278" t="str">
        <f>IF('数据-取费表'!B22&lt;=1,"单利计息","复利计息")</f>
        <v>复利计息</v>
      </c>
    </row>
    <row r="23" spans="1:7" s="258" customFormat="1" ht="13.5" customHeight="1">
      <c r="A23" s="951" t="s">
        <v>2360</v>
      </c>
      <c r="B23" s="259" t="s">
        <v>2361</v>
      </c>
      <c r="C23" s="1355">
        <f ca="1">ROUND(IF('数据-取费表'!B22&lt;=1,C5*F22*'数据-取费表'!B23,C5*(POWER((1+F22),'数据-取费表'!B23)-1)),0)</f>
        <v>97</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153</v>
      </c>
      <c r="D27" s="279">
        <f ca="1">C29</f>
        <v>4.4999999999999997E-3</v>
      </c>
      <c r="E27" s="280" t="s">
        <v>2372</v>
      </c>
      <c r="F27" s="290">
        <f ca="1">IF(B1="",'数据-取费表'!Q16,INDIRECT("'数据-取费表'!q"&amp;$G$1))</f>
        <v>0.15</v>
      </c>
      <c r="G27" s="291" t="s">
        <v>2373</v>
      </c>
    </row>
    <row r="28" spans="1:7" s="258" customFormat="1" ht="13.5" customHeight="1">
      <c r="A28" s="951" t="s">
        <v>791</v>
      </c>
      <c r="B28" s="292" t="s">
        <v>2374</v>
      </c>
      <c r="C28" s="293">
        <f ca="1">ROUND((C5+C19+C20)*F27*'数据-取费表'!B21/'数据-取费表'!B20,0)</f>
        <v>153</v>
      </c>
      <c r="D28" s="279"/>
      <c r="E28" s="280"/>
      <c r="F28" s="290"/>
      <c r="G28" s="291"/>
    </row>
    <row r="29" spans="1:7" s="258" customFormat="1" ht="13.5" customHeight="1">
      <c r="A29" s="951" t="s">
        <v>792</v>
      </c>
      <c r="B29" s="292" t="s">
        <v>2375</v>
      </c>
      <c r="C29" s="282">
        <f ca="1">ROUND(C21*F27*'数据-取费表'!B21/'数据-取费表'!B20,4)</f>
        <v>4.4999999999999997E-3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1395</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1452</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1291</v>
      </c>
      <c r="D34" s="261"/>
      <c r="E34" s="264"/>
      <c r="F34" s="301">
        <f ca="1">IF('数据-取费表'!B24=0,1,IF(B1="",'数据-取费表'!N16,INDIRECT("'数据-取费表'!n"&amp;$G$1)))</f>
        <v>1</v>
      </c>
      <c r="G34" s="263" t="s">
        <v>2384</v>
      </c>
    </row>
    <row r="35" spans="1:7" ht="13.5" customHeight="1">
      <c r="A35" s="951" t="s">
        <v>796</v>
      </c>
      <c r="B35" s="259" t="s">
        <v>2385</v>
      </c>
      <c r="C35" s="264">
        <f ca="1">ROUND(C34*F35,0)</f>
        <v>39</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103</v>
      </c>
      <c r="D37" s="261">
        <f ca="1">D19</f>
        <v>5165.3600000000006</v>
      </c>
      <c r="E37" s="293">
        <f>'数据-取费表'!B35</f>
        <v>200</v>
      </c>
      <c r="F37" s="303"/>
      <c r="G37" s="305" t="s">
        <v>2390</v>
      </c>
    </row>
    <row r="38" spans="1:7" ht="13.5" customHeight="1">
      <c r="A38" s="951" t="s">
        <v>799</v>
      </c>
      <c r="B38" s="259" t="s">
        <v>2391</v>
      </c>
      <c r="C38" s="264">
        <f ca="1">ROUND(C34*F38,0)</f>
        <v>19</v>
      </c>
      <c r="D38" s="264"/>
      <c r="E38" s="264"/>
      <c r="F38" s="303">
        <f>'数据-取费表'!B36</f>
        <v>1.4999999999999999E-2</v>
      </c>
      <c r="G38" s="263" t="s">
        <v>2386</v>
      </c>
    </row>
    <row r="39" spans="1:7" s="258" customFormat="1" ht="13.5" customHeight="1">
      <c r="A39" s="299" t="s">
        <v>2392</v>
      </c>
      <c r="B39" s="254" t="s">
        <v>2393</v>
      </c>
      <c r="C39" s="276">
        <f ca="1">ROUND(C33*F20,0)</f>
        <v>29</v>
      </c>
      <c r="D39" s="276"/>
      <c r="E39" s="276"/>
      <c r="F39" s="277"/>
      <c r="G39" s="278" t="s">
        <v>2394</v>
      </c>
    </row>
    <row r="40" spans="1:7" s="258" customFormat="1" ht="13.5" customHeight="1">
      <c r="A40" s="299" t="s">
        <v>2395</v>
      </c>
      <c r="B40" s="254" t="s">
        <v>2396</v>
      </c>
      <c r="C40" s="1726">
        <f>F21</f>
        <v>0.03</v>
      </c>
      <c r="D40" s="280" t="s">
        <v>2397</v>
      </c>
      <c r="E40" s="276"/>
      <c r="F40" s="277"/>
      <c r="G40" s="278" t="s">
        <v>2398</v>
      </c>
    </row>
    <row r="41" spans="1:7" s="258" customFormat="1" ht="13.5" customHeight="1">
      <c r="A41" s="299" t="s">
        <v>2399</v>
      </c>
      <c r="B41" s="254" t="s">
        <v>2400</v>
      </c>
      <c r="C41" s="276">
        <f ca="1">ROUND(SUM(C42:C43),0)</f>
        <v>70</v>
      </c>
      <c r="D41" s="279">
        <f ca="1">C44</f>
        <v>1.4E-3</v>
      </c>
      <c r="E41" s="280" t="s">
        <v>2397</v>
      </c>
      <c r="F41" s="281"/>
      <c r="G41" s="278" t="str">
        <f>IF('数据-取费表'!B22&lt;=1,"单利计息","复利计息")</f>
        <v>复利计息</v>
      </c>
    </row>
    <row r="42" spans="1:7" ht="13.5" customHeight="1">
      <c r="A42" s="951" t="s">
        <v>791</v>
      </c>
      <c r="B42" s="259" t="s">
        <v>2401</v>
      </c>
      <c r="C42" s="282">
        <f ca="1">ROUND(IF('数据-取费表'!B22&lt;=1,C33*F22*'数据-取费表'!B21/2,C33*(POWER((1+F22),'数据-取费表'!B21/2)-1)),0)</f>
        <v>69</v>
      </c>
      <c r="D42" s="282"/>
      <c r="E42" s="282"/>
      <c r="F42" s="283"/>
      <c r="G42" s="3247" t="s">
        <v>2402</v>
      </c>
    </row>
    <row r="43" spans="1:7" ht="13.5" customHeight="1">
      <c r="A43" s="951" t="s">
        <v>792</v>
      </c>
      <c r="B43" s="259" t="s">
        <v>2403</v>
      </c>
      <c r="C43" s="282">
        <f ca="1">ROUND(IF('数据-取费表'!B22&lt;=1,C39*F22*'数据-取费表'!B21/2,C39*(POWER((1+F22),'数据-取费表'!B21/2)-1)),0)</f>
        <v>1</v>
      </c>
      <c r="D43" s="282"/>
      <c r="E43" s="282"/>
      <c r="F43" s="283"/>
      <c r="G43" s="3248"/>
    </row>
    <row r="44" spans="1:7" ht="13.5" customHeight="1">
      <c r="A44" s="951" t="s">
        <v>793</v>
      </c>
      <c r="B44" s="259" t="s">
        <v>2404</v>
      </c>
      <c r="C44" s="282">
        <f ca="1">ROUND(IF('数据-取费表'!B22&lt;=1,C40*F22*'数据-取费表'!B21/2,C40*(POWER((1+F22),'数据-取费表'!B21/2)-1)),4)</f>
        <v>1.4E-3</v>
      </c>
      <c r="D44" s="282"/>
      <c r="E44" s="282"/>
      <c r="F44" s="283"/>
      <c r="G44" s="3249"/>
    </row>
    <row r="45" spans="1:7" s="258" customFormat="1" ht="13.5" customHeight="1">
      <c r="A45" s="299" t="s">
        <v>2405</v>
      </c>
      <c r="B45" s="288" t="s">
        <v>2371</v>
      </c>
      <c r="C45" s="289">
        <f ca="1">C46</f>
        <v>222</v>
      </c>
      <c r="D45" s="279">
        <f ca="1">C47</f>
        <v>4.4999999999999997E-3</v>
      </c>
      <c r="E45" s="280" t="s">
        <v>2397</v>
      </c>
      <c r="F45" s="290"/>
      <c r="G45" s="291" t="s">
        <v>2406</v>
      </c>
    </row>
    <row r="46" spans="1:7" s="258" customFormat="1" ht="13.5" customHeight="1">
      <c r="A46" s="951" t="s">
        <v>791</v>
      </c>
      <c r="B46" s="292" t="s">
        <v>2407</v>
      </c>
      <c r="C46" s="293">
        <f ca="1">ROUND((C33+C39)*F27,0)</f>
        <v>222</v>
      </c>
      <c r="D46" s="307"/>
      <c r="E46" s="280"/>
      <c r="F46" s="290"/>
      <c r="G46" s="291"/>
    </row>
    <row r="47" spans="1:7" s="258" customFormat="1" ht="13.5" customHeight="1">
      <c r="A47" s="951" t="s">
        <v>792</v>
      </c>
      <c r="B47" s="292" t="s">
        <v>2408</v>
      </c>
      <c r="C47" s="282">
        <f ca="1">ROUND(C40*F27,4)</f>
        <v>4.4999999999999997E-3</v>
      </c>
      <c r="D47" s="307"/>
      <c r="E47" s="280"/>
      <c r="F47" s="290"/>
      <c r="G47" s="291"/>
    </row>
    <row r="48" spans="1:7" s="258" customFormat="1" ht="13.5" customHeight="1">
      <c r="A48" s="299" t="s">
        <v>2370</v>
      </c>
      <c r="B48" s="254" t="s">
        <v>2409</v>
      </c>
      <c r="C48" s="1726">
        <f>ROUND(F30/(1+'数据-取费表'!C42),4)</f>
        <v>5.33E-2</v>
      </c>
      <c r="D48" s="280" t="s">
        <v>2397</v>
      </c>
      <c r="E48" s="276"/>
      <c r="F48" s="281"/>
      <c r="G48" s="278" t="s">
        <v>2410</v>
      </c>
    </row>
    <row r="49" spans="1:7" ht="16.5" customHeight="1">
      <c r="A49" s="299" t="s">
        <v>2376</v>
      </c>
      <c r="B49" s="254" t="s">
        <v>2411</v>
      </c>
      <c r="C49" s="276">
        <f ca="1">ROUND((C33+C39+C41+C45)/(1-C40-D41-D45-C48),0)</f>
        <v>1947</v>
      </c>
      <c r="D49" s="276"/>
      <c r="E49" s="276"/>
      <c r="F49" s="308"/>
      <c r="G49" s="278" t="s">
        <v>2412</v>
      </c>
    </row>
    <row r="50" spans="1:7" s="302" customFormat="1" ht="24">
      <c r="A50" s="299" t="s">
        <v>2413</v>
      </c>
      <c r="B50" s="254" t="s">
        <v>2414</v>
      </c>
      <c r="C50" s="276"/>
      <c r="D50" s="276"/>
      <c r="E50" s="276"/>
      <c r="F50" s="308">
        <f>IF('数据-取费表'!B24=0,'数据-取费表'!N16,1)</f>
        <v>0.98</v>
      </c>
      <c r="G50" s="291" t="s">
        <v>2415</v>
      </c>
    </row>
    <row r="51" spans="1:7" ht="16.5" customHeight="1">
      <c r="A51" s="299" t="s">
        <v>2416</v>
      </c>
      <c r="B51" s="254" t="s">
        <v>2417</v>
      </c>
      <c r="C51" s="276">
        <f ca="1">ROUND(C49*F50,0)</f>
        <v>1908</v>
      </c>
      <c r="D51" s="276"/>
      <c r="E51" s="276"/>
      <c r="F51" s="308"/>
      <c r="G51" s="278" t="s">
        <v>2418</v>
      </c>
    </row>
    <row r="52" spans="1:7" s="252" customFormat="1" ht="16.5" thickBot="1">
      <c r="A52" s="309" t="s">
        <v>2419</v>
      </c>
      <c r="B52" s="310"/>
      <c r="C52" s="311">
        <f ca="1">C31+C51</f>
        <v>3303</v>
      </c>
      <c r="D52" s="310"/>
      <c r="E52" s="310"/>
      <c r="F52" s="310"/>
      <c r="G52" s="312"/>
    </row>
    <row r="55" spans="1:7" ht="15">
      <c r="B55" s="314" t="s">
        <v>2420</v>
      </c>
      <c r="C55" s="315"/>
    </row>
    <row r="56" spans="1:7">
      <c r="B56" s="317" t="s">
        <v>1508</v>
      </c>
      <c r="C56" s="319">
        <f ca="1">1-C57</f>
        <v>0.42200000000000004</v>
      </c>
    </row>
    <row r="57" spans="1:7">
      <c r="B57" s="317" t="s">
        <v>1509</v>
      </c>
      <c r="C57" s="318">
        <f ca="1">ROUND(C51/C52,3)</f>
        <v>0.57799999999999996</v>
      </c>
    </row>
  </sheetData>
  <sheetProtection password="C66D" sheet="1" objects="1" scenarios="1" formatCells="0"/>
  <mergeCells count="1">
    <mergeCell ref="G42:G44"/>
  </mergeCells>
  <phoneticPr fontId="148"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3114</v>
      </c>
      <c r="D1" s="1818" t="s">
        <v>70</v>
      </c>
      <c r="E1" s="1819" t="s">
        <v>1382</v>
      </c>
      <c r="F1" s="1283">
        <f ca="1">J53</f>
        <v>37.46</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4353</v>
      </c>
      <c r="C2" s="1843" t="s">
        <v>1511</v>
      </c>
      <c r="D2" s="1843"/>
      <c r="E2" s="1844"/>
      <c r="F2" s="1845"/>
      <c r="G2" s="1846"/>
      <c r="H2" s="1838"/>
      <c r="I2" s="1838"/>
      <c r="J2" s="1838"/>
      <c r="K2" s="1839"/>
      <c r="L2" s="1838"/>
      <c r="M2" s="1838"/>
    </row>
    <row r="3" spans="1:37" ht="18" customHeight="1" thickBot="1">
      <c r="A3" s="1847" t="s">
        <v>1512</v>
      </c>
      <c r="B3" s="1848">
        <f ca="1">IF(ISERROR(B2*10000/F43),0,ROUND(B2*10000/F43,0))</f>
        <v>8427</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2">
        <f ca="1">C6+C10+C12</f>
        <v>232</v>
      </c>
      <c r="D5" s="1820" t="s">
        <v>1397</v>
      </c>
      <c r="E5" s="1293"/>
      <c r="F5" s="1294"/>
      <c r="G5" s="1849"/>
      <c r="H5" s="344">
        <v>1</v>
      </c>
      <c r="I5" s="345" t="s">
        <v>1396</v>
      </c>
      <c r="J5" s="1292">
        <f ca="1">J6+J10+J12</f>
        <v>305</v>
      </c>
      <c r="K5" s="1820" t="s">
        <v>1397</v>
      </c>
      <c r="L5" s="1293"/>
      <c r="M5" s="1294"/>
    </row>
    <row r="6" spans="1:37" ht="18" customHeight="1">
      <c r="A6" s="1291" t="s">
        <v>1032</v>
      </c>
      <c r="B6" s="3252" t="s">
        <v>1398</v>
      </c>
      <c r="C6" s="1296">
        <f ca="1">ROUND(F6*F8*F7*(1-F9)/10000,0)</f>
        <v>232</v>
      </c>
      <c r="D6" s="164" t="s">
        <v>3024</v>
      </c>
      <c r="E6" s="347" t="s">
        <v>1400</v>
      </c>
      <c r="F6" s="348">
        <f ca="1">INDIRECT("'数据-取费表'!u"&amp;$G$1)</f>
        <v>1.23</v>
      </c>
      <c r="G6" s="1849"/>
      <c r="H6" s="1291" t="s">
        <v>1032</v>
      </c>
      <c r="I6" s="3252" t="s">
        <v>1398</v>
      </c>
      <c r="J6" s="346">
        <f ca="1">ROUND(M6*M8*M7*(1-M9)/10000,0)</f>
        <v>305</v>
      </c>
      <c r="K6" s="164" t="s">
        <v>3023</v>
      </c>
      <c r="L6" s="347" t="s">
        <v>1400</v>
      </c>
      <c r="M6" s="348">
        <f ca="1">INDIRECT("'数据-取费表'!z"&amp;$G$1)</f>
        <v>1.8</v>
      </c>
    </row>
    <row r="7" spans="1:37" ht="18" customHeight="1">
      <c r="A7" s="1295"/>
      <c r="B7" s="3253"/>
      <c r="C7" s="1297"/>
      <c r="D7" s="352"/>
      <c r="E7" s="2967" t="s">
        <v>1401</v>
      </c>
      <c r="F7" s="348">
        <f ca="1">IF(INDIRECT("'数据-取费表'!ah"&amp;$G$1)="",INDIRECT("'数据-取费表'!k"&amp;$G$1),INDIRECT("'数据-取费表'!ah"&amp;$G$1))</f>
        <v>5165.3600000000006</v>
      </c>
      <c r="G7" s="1849"/>
      <c r="H7" s="349"/>
      <c r="I7" s="3253"/>
      <c r="J7" s="351"/>
      <c r="K7" s="352"/>
      <c r="L7" s="347" t="s">
        <v>1401</v>
      </c>
      <c r="M7" s="348">
        <f ca="1">F7</f>
        <v>5165.3600000000006</v>
      </c>
    </row>
    <row r="8" spans="1:37" ht="18" customHeight="1">
      <c r="A8" s="349"/>
      <c r="B8" s="3253"/>
      <c r="C8" s="351"/>
      <c r="D8" s="352"/>
      <c r="E8" s="347" t="s">
        <v>1402</v>
      </c>
      <c r="F8" s="348">
        <f ca="1">INDIRECT("'数据-取费表'!ai"&amp;$G$1)</f>
        <v>365</v>
      </c>
      <c r="G8" s="1849"/>
      <c r="H8" s="349"/>
      <c r="I8" s="3253"/>
      <c r="J8" s="351"/>
      <c r="K8" s="352"/>
      <c r="L8" s="347" t="s">
        <v>1402</v>
      </c>
      <c r="M8" s="348">
        <f ca="1">INDIRECT("'数据-取费表'!ai"&amp;$G$1)</f>
        <v>365</v>
      </c>
    </row>
    <row r="9" spans="1:37" ht="18" customHeight="1">
      <c r="A9" s="349"/>
      <c r="B9" s="3254"/>
      <c r="C9" s="351"/>
      <c r="D9" s="352"/>
      <c r="E9" s="347" t="s">
        <v>1403</v>
      </c>
      <c r="F9" s="357">
        <f ca="1">INDIRECT("'数据-取费表'!w"&amp;$G$1)</f>
        <v>0</v>
      </c>
      <c r="G9" s="1849"/>
      <c r="H9" s="349"/>
      <c r="I9" s="3254"/>
      <c r="J9" s="351"/>
      <c r="K9" s="352"/>
      <c r="L9" s="358" t="s">
        <v>1403</v>
      </c>
      <c r="M9" s="359">
        <f ca="1">INDIRECT("'数据-取费表'!ab"&amp;$G$1)</f>
        <v>0.1</v>
      </c>
    </row>
    <row r="10" spans="1:37" ht="18" customHeight="1">
      <c r="A10" s="1291" t="s">
        <v>1036</v>
      </c>
      <c r="B10" s="1821" t="s">
        <v>1404</v>
      </c>
      <c r="C10" s="361">
        <f ca="1">ROUND(IF(F10="押一",C6/12*F11,IF(F10="押二",C6/12*2*F11,IF(F10="押三",C6/12*3*F11,C11*F11))),0)</f>
        <v>0</v>
      </c>
      <c r="D10" s="1822" t="s">
        <v>3032</v>
      </c>
      <c r="E10" s="358" t="s">
        <v>1405</v>
      </c>
      <c r="F10" s="1366"/>
      <c r="G10" s="1849"/>
      <c r="H10" s="1291" t="s">
        <v>1036</v>
      </c>
      <c r="I10" s="1821" t="s">
        <v>1404</v>
      </c>
      <c r="J10" s="346">
        <f ca="1">ROUND(IF(M10="押一",J6/12*M11,IF(M10="押二",J6/12*2*M11,IF(M10="押三",J6/12*3*M11,J11*M11))),0)</f>
        <v>0</v>
      </c>
      <c r="K10" s="1822" t="s">
        <v>3032</v>
      </c>
      <c r="L10" s="358" t="s">
        <v>1405</v>
      </c>
      <c r="M10" s="3392" t="s">
        <v>3430</v>
      </c>
    </row>
    <row r="11" spans="1:37" ht="18" customHeight="1">
      <c r="A11" s="353"/>
      <c r="B11" s="1823" t="s">
        <v>1383</v>
      </c>
      <c r="C11" s="1178"/>
      <c r="D11" s="1824"/>
      <c r="E11" s="358" t="s">
        <v>1407</v>
      </c>
      <c r="F11" s="359">
        <f ca="1">'数据-取费表'!B39</f>
        <v>1.4999999999999999E-2</v>
      </c>
      <c r="G11" s="1849"/>
      <c r="H11" s="1299"/>
      <c r="I11" s="1823" t="s">
        <v>1383</v>
      </c>
      <c r="J11" s="1178"/>
      <c r="K11" s="748"/>
      <c r="L11" s="358" t="s">
        <v>1407</v>
      </c>
      <c r="M11" s="1056">
        <f ca="1">'数据-取费表'!B39</f>
        <v>1.4999999999999999E-2</v>
      </c>
    </row>
    <row r="12" spans="1:37" ht="18" customHeight="1" thickBot="1">
      <c r="A12" s="1333" t="s">
        <v>1072</v>
      </c>
      <c r="B12" s="1825" t="s">
        <v>1408</v>
      </c>
      <c r="C12" s="1334"/>
      <c r="D12" s="1335"/>
      <c r="E12" s="1340"/>
      <c r="F12" s="1336"/>
      <c r="G12" s="1849"/>
      <c r="H12" s="1333" t="s">
        <v>1072</v>
      </c>
      <c r="I12" s="1825" t="s">
        <v>1408</v>
      </c>
      <c r="J12" s="1334"/>
      <c r="K12" s="1348"/>
      <c r="L12" s="1340"/>
      <c r="M12" s="1349"/>
    </row>
    <row r="13" spans="1:37" ht="18" customHeight="1" thickTop="1">
      <c r="A13" s="1329">
        <v>2</v>
      </c>
      <c r="B13" s="1330" t="s">
        <v>1409</v>
      </c>
      <c r="C13" s="355">
        <f ca="1">ROUND(C29*F13,0)</f>
        <v>1908</v>
      </c>
      <c r="D13" s="1331" t="s">
        <v>1410</v>
      </c>
      <c r="E13" s="1331" t="s">
        <v>1411</v>
      </c>
      <c r="F13" s="1332">
        <f ca="1">INDIRECT("'数据-取费表'!y"&amp;$G$1)</f>
        <v>0.98</v>
      </c>
      <c r="G13" s="1849"/>
      <c r="H13" s="1329">
        <v>2</v>
      </c>
      <c r="I13" s="1330" t="s">
        <v>1409</v>
      </c>
      <c r="J13" s="1290">
        <f ca="1">ROUND(J14*J15,0)</f>
        <v>1772</v>
      </c>
      <c r="K13" s="1337" t="s">
        <v>1410</v>
      </c>
      <c r="L13" s="1850"/>
      <c r="M13" s="1851"/>
    </row>
    <row r="14" spans="1:37" ht="18" customHeight="1">
      <c r="A14" s="1201" t="s">
        <v>1031</v>
      </c>
      <c r="B14" s="347" t="s">
        <v>1412</v>
      </c>
      <c r="C14" s="363">
        <f ca="1">INDIRECT("'数据-取费表'!m"&amp;$G$1)+INDIRECT("'数据-取费表'!t"&amp;$G$1)</f>
        <v>1291</v>
      </c>
      <c r="D14" s="2955" t="s">
        <v>1413</v>
      </c>
      <c r="E14" s="2950"/>
      <c r="F14" s="364"/>
      <c r="G14" s="1849"/>
      <c r="H14" s="1201" t="s">
        <v>1032</v>
      </c>
      <c r="I14" s="347" t="s">
        <v>1414</v>
      </c>
      <c r="J14" s="24">
        <f ca="1">C29</f>
        <v>1947</v>
      </c>
      <c r="K14" s="2966"/>
      <c r="L14" s="979"/>
      <c r="M14" s="980"/>
    </row>
    <row r="15" spans="1:37" s="1856" customFormat="1" ht="18" customHeight="1" thickBot="1">
      <c r="A15" s="1201" t="s">
        <v>1033</v>
      </c>
      <c r="B15" s="347" t="s">
        <v>1415</v>
      </c>
      <c r="C15" s="24">
        <f ca="1">ROUND(C14*F15,0)</f>
        <v>39</v>
      </c>
      <c r="D15" s="365" t="s">
        <v>1416</v>
      </c>
      <c r="E15" s="365" t="s">
        <v>1417</v>
      </c>
      <c r="F15" s="366">
        <f>'数据-取费表'!B33</f>
        <v>0.03</v>
      </c>
      <c r="G15" s="1852"/>
      <c r="H15" s="1339" t="s">
        <v>1036</v>
      </c>
      <c r="I15" s="1340" t="s">
        <v>1411</v>
      </c>
      <c r="J15" s="1349">
        <f ca="1">INDIRECT("'数据-取费表'!ad"&amp;$G$1)</f>
        <v>0.91</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49"/>
      <c r="H16" s="1329" t="s">
        <v>1027</v>
      </c>
      <c r="I16" s="1330" t="s">
        <v>1419</v>
      </c>
      <c r="J16" s="355">
        <f ca="1">ROUND(J17+J22+J23+J24,0)</f>
        <v>86</v>
      </c>
      <c r="K16" s="1337" t="s">
        <v>1420</v>
      </c>
      <c r="L16" s="2957"/>
      <c r="M16" s="1294"/>
    </row>
    <row r="17" spans="1:37" s="1856" customFormat="1" ht="18" customHeight="1">
      <c r="A17" s="1201" t="s">
        <v>1385</v>
      </c>
      <c r="B17" s="347" t="s">
        <v>1421</v>
      </c>
      <c r="C17" s="24">
        <f ca="1">ROUND(F17*(F43+INDIRECT("'数据-取费表'!S"&amp;$G$1))/10000,0)</f>
        <v>103</v>
      </c>
      <c r="D17" s="347" t="s">
        <v>1422</v>
      </c>
      <c r="E17" s="347" t="s">
        <v>1423</v>
      </c>
      <c r="F17" s="26">
        <f>'数据-取费表'!B35</f>
        <v>200</v>
      </c>
      <c r="G17" s="1852"/>
      <c r="H17" s="1201" t="s">
        <v>1032</v>
      </c>
      <c r="I17" s="347" t="s">
        <v>1424</v>
      </c>
      <c r="J17" s="24">
        <f ca="1">ROUND(IF(项目基本情况!B11="自然人",J6*M17/(1+'数据-取费表'!C42),J18+J19+J20),1)</f>
        <v>51.1</v>
      </c>
      <c r="K17" s="2955" t="s">
        <v>1425</v>
      </c>
      <c r="L17" s="2953"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1386</v>
      </c>
      <c r="B18" s="347" t="s">
        <v>1427</v>
      </c>
      <c r="C18" s="24">
        <f ca="1">ROUND(C14*F18,0)</f>
        <v>19</v>
      </c>
      <c r="D18" s="347" t="s">
        <v>1416</v>
      </c>
      <c r="E18" s="347" t="s">
        <v>1417</v>
      </c>
      <c r="F18" s="367">
        <f>'数据-取费表'!B36</f>
        <v>1.4999999999999999E-2</v>
      </c>
      <c r="G18" s="1852"/>
      <c r="H18" s="1201" t="s">
        <v>1031</v>
      </c>
      <c r="I18" s="347" t="s">
        <v>1428</v>
      </c>
      <c r="J18" s="24">
        <f ca="1">ROUND(J6*M18/(1+'数据-取费表'!C42),2)</f>
        <v>16.27</v>
      </c>
      <c r="K18" s="2953"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1032</v>
      </c>
      <c r="B19" s="347" t="s">
        <v>1430</v>
      </c>
      <c r="C19" s="24">
        <f ca="1">SUM(C14:C18)</f>
        <v>1452</v>
      </c>
      <c r="D19" s="140" t="s">
        <v>1431</v>
      </c>
      <c r="E19" s="2964"/>
      <c r="F19" s="26"/>
      <c r="G19" s="1849"/>
      <c r="H19" s="1201" t="s">
        <v>1033</v>
      </c>
      <c r="I19" s="347" t="s">
        <v>1432</v>
      </c>
      <c r="J19" s="24">
        <f ca="1">IF(K19="按租金收入计税",ROUND(J6*M19/(1+'数据-取费表'!C42),2),ROUND(C29*M19*0.7,2))</f>
        <v>34.86</v>
      </c>
      <c r="K19" s="1826" t="s">
        <v>3119</v>
      </c>
      <c r="L19" s="347" t="s">
        <v>1417</v>
      </c>
      <c r="M19" s="367">
        <f>IF(K19="按租金收入计税",'数据-取费表'!B51,'数据-取费表'!B50)</f>
        <v>0.12</v>
      </c>
    </row>
    <row r="20" spans="1:37" s="1856" customFormat="1" ht="18" customHeight="1">
      <c r="A20" s="1201" t="s">
        <v>1036</v>
      </c>
      <c r="B20" s="347" t="s">
        <v>1434</v>
      </c>
      <c r="C20" s="24">
        <f ca="1">ROUND(C19*F20,0)</f>
        <v>29</v>
      </c>
      <c r="D20" s="369" t="s">
        <v>1435</v>
      </c>
      <c r="E20" s="347" t="s">
        <v>1417</v>
      </c>
      <c r="F20" s="367">
        <f>'数据-取费表'!B37</f>
        <v>0.02</v>
      </c>
      <c r="G20" s="1852"/>
      <c r="H20" s="1201" t="s">
        <v>1384</v>
      </c>
      <c r="I20" s="164" t="s">
        <v>1436</v>
      </c>
      <c r="J20" s="25">
        <f ca="1">ROUND(M20*M21/10000,2)</f>
        <v>0</v>
      </c>
      <c r="K20" s="370" t="s">
        <v>1437</v>
      </c>
      <c r="L20" s="347" t="s">
        <v>1438</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1072</v>
      </c>
      <c r="B21" s="347" t="s">
        <v>1439</v>
      </c>
      <c r="C21" s="24" t="s">
        <v>18</v>
      </c>
      <c r="D21" s="369" t="s">
        <v>1440</v>
      </c>
      <c r="E21" s="347" t="s">
        <v>1441</v>
      </c>
      <c r="F21" s="367">
        <f>'数据-取费表'!B38</f>
        <v>0.03</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64"/>
      <c r="F22" s="26"/>
      <c r="G22" s="1849"/>
      <c r="H22" s="1201" t="s">
        <v>1036</v>
      </c>
      <c r="I22" s="347" t="s">
        <v>1444</v>
      </c>
      <c r="J22" s="24">
        <f ca="1">ROUND(J14*M22,1)</f>
        <v>29.2</v>
      </c>
      <c r="K22" s="2953" t="s">
        <v>1445</v>
      </c>
      <c r="L22" s="347" t="s">
        <v>1417</v>
      </c>
      <c r="M22" s="374">
        <f ca="1">INDIRECT("'数据-取费表'!Ak"&amp;$G$1)</f>
        <v>1.4999999999999999E-2</v>
      </c>
    </row>
    <row r="23" spans="1:37" s="1856" customFormat="1" ht="18" customHeight="1">
      <c r="A23" s="1201" t="s">
        <v>1031</v>
      </c>
      <c r="B23" s="347" t="s">
        <v>1446</v>
      </c>
      <c r="C23" s="24">
        <f ca="1">IF('数据-取费表'!B22&lt;=1,ROUND(C19*F24*F23/2,0)+ROUND(C20*F24*F23/2,0),ROUND(C19*(POWER((1+F24),F23/2)-1),0)+ROUND(C20*(POWER((1+F24),F23/2)-1),0))</f>
        <v>70</v>
      </c>
      <c r="D23" s="375" t="str">
        <f>IF(F23&lt;=1,"(建造成本+管理费用)×利率×(建设周期÷2)","(建造成本+管理费用)×((1+利率)^(建设周期÷2)-1)")</f>
        <v>(建造成本+管理费用)×((1+利率)^(建设周期÷2)-1)</v>
      </c>
      <c r="E23" s="347" t="s">
        <v>1447</v>
      </c>
      <c r="F23" s="371">
        <f>'数据-取费表'!B20</f>
        <v>2</v>
      </c>
      <c r="G23" s="1852"/>
      <c r="H23" s="1201" t="s">
        <v>1072</v>
      </c>
      <c r="I23" s="347" t="s">
        <v>1448</v>
      </c>
      <c r="J23" s="24">
        <f ca="1">ROUND(J13*M23,1)</f>
        <v>2.7</v>
      </c>
      <c r="K23" s="2953"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9" t="s">
        <v>1388</v>
      </c>
      <c r="I24" s="1340" t="s">
        <v>1434</v>
      </c>
      <c r="J24" s="1341">
        <f ca="1">ROUND(J5*M24,1)</f>
        <v>3.1</v>
      </c>
      <c r="K24" s="1342" t="s">
        <v>1454</v>
      </c>
      <c r="L24" s="1340" t="s">
        <v>1450</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1455</v>
      </c>
      <c r="B25" s="347" t="s">
        <v>1456</v>
      </c>
      <c r="C25" s="24"/>
      <c r="D25" s="140" t="s">
        <v>1457</v>
      </c>
      <c r="E25" s="2964"/>
      <c r="F25" s="26"/>
      <c r="G25" s="1849"/>
      <c r="H25" s="1329" t="s">
        <v>1028</v>
      </c>
      <c r="I25" s="1344" t="s">
        <v>1458</v>
      </c>
      <c r="J25" s="355">
        <f ca="1">J5-J16</f>
        <v>219</v>
      </c>
      <c r="K25" s="1345" t="s">
        <v>1459</v>
      </c>
      <c r="L25" s="1346"/>
      <c r="M25" s="1347"/>
    </row>
    <row r="26" spans="1:37">
      <c r="A26" s="1201" t="s">
        <v>1031</v>
      </c>
      <c r="B26" s="347" t="s">
        <v>1460</v>
      </c>
      <c r="C26" s="24">
        <f ca="1">ROUND((C19+C20)*F26,0)</f>
        <v>222</v>
      </c>
      <c r="D26" s="369" t="s">
        <v>1461</v>
      </c>
      <c r="E26" s="358" t="s">
        <v>1462</v>
      </c>
      <c r="F26" s="357">
        <f ca="1">INDIRECT("'数据-取费表'!q"&amp;$G$1)</f>
        <v>0.15</v>
      </c>
      <c r="G26" s="1849"/>
      <c r="H26" s="344" t="s">
        <v>1029</v>
      </c>
      <c r="I26" s="345" t="s">
        <v>1463</v>
      </c>
      <c r="J26" s="346">
        <f ca="1">IF(J5&lt;&gt;0,ROUND(J25*(1-((1+M28)/(1+M26))^M27)/(M26-M28),0),0)</f>
        <v>4769</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49"/>
      <c r="H27" s="349"/>
      <c r="I27" s="350"/>
      <c r="J27" s="351"/>
      <c r="K27" s="378" t="s">
        <v>1468</v>
      </c>
      <c r="L27" s="347" t="s">
        <v>1469</v>
      </c>
      <c r="M27" s="379">
        <f ca="1">INDIRECT("'数据-取费表'!ag"&amp;$G$1)</f>
        <v>32.78</v>
      </c>
    </row>
    <row r="28" spans="1:37" s="1856" customFormat="1" ht="18" customHeight="1">
      <c r="A28" s="1201"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1035</v>
      </c>
      <c r="B29" s="1340" t="s">
        <v>1473</v>
      </c>
      <c r="C29" s="1341">
        <f ca="1">ROUND((C19+C20+C23+C26)/(1-F21-C24-C27-C28),0)</f>
        <v>1947</v>
      </c>
      <c r="D29" s="1342"/>
      <c r="E29" s="1340"/>
      <c r="F29" s="1343"/>
      <c r="G29" s="1852"/>
      <c r="H29" s="380" t="s">
        <v>1030</v>
      </c>
      <c r="I29" s="381" t="s">
        <v>1474</v>
      </c>
      <c r="J29" s="382">
        <f ca="1">ROUND(J26/(1+F40)^F41,0)</f>
        <v>3712</v>
      </c>
      <c r="K29" s="383" t="s">
        <v>1475</v>
      </c>
      <c r="L29" s="384"/>
      <c r="M29" s="385">
        <f ca="1">INDIRECT("'数据-取费表'!k"&amp;$G$1)</f>
        <v>5165.3600000000006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1027</v>
      </c>
      <c r="B30" s="1330" t="s">
        <v>1419</v>
      </c>
      <c r="C30" s="355">
        <f ca="1">ROUND(C31+C36+C37+C38,0)</f>
        <v>73</v>
      </c>
      <c r="D30" s="1337" t="s">
        <v>1420</v>
      </c>
      <c r="E30" s="2957"/>
      <c r="F30" s="1294"/>
      <c r="G30" s="1849"/>
      <c r="H30" s="745"/>
      <c r="I30" s="746"/>
      <c r="J30" s="747"/>
      <c r="K30" s="748"/>
      <c r="L30" s="749"/>
      <c r="M30" s="750"/>
    </row>
    <row r="31" spans="1:37" ht="18" customHeight="1">
      <c r="A31" s="1201" t="s">
        <v>1032</v>
      </c>
      <c r="B31" s="347" t="s">
        <v>1424</v>
      </c>
      <c r="C31" s="24">
        <f ca="1">ROUND(IF(项目基本情况!B11="自然人",C6*F31/(1+'数据-取费表'!C42),C32+C33+C34),1)</f>
        <v>38.9</v>
      </c>
      <c r="D31" s="2955" t="s">
        <v>1425</v>
      </c>
      <c r="E31" s="2953"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1031</v>
      </c>
      <c r="B32" s="347" t="s">
        <v>1428</v>
      </c>
      <c r="C32" s="24">
        <f ca="1">IF(项目基本情况!B11="自然人","——",ROUND(C6*F32/(1+'数据-取费表'!C42),2))</f>
        <v>12.37</v>
      </c>
      <c r="D32" s="2953" t="s">
        <v>1429</v>
      </c>
      <c r="E32" s="347" t="s">
        <v>1417</v>
      </c>
      <c r="F32" s="377">
        <f>'数据-取费表'!B41</f>
        <v>5.6000000000000001E-2</v>
      </c>
      <c r="G32" s="1849"/>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26.51</v>
      </c>
      <c r="D33" s="1826" t="s">
        <v>3119</v>
      </c>
      <c r="E33" s="347" t="s">
        <v>1417</v>
      </c>
      <c r="F33" s="367">
        <f>IF(D33="按票据","——",IF(D33="按租金收入计税",'数据-取费表'!B51,'数据-取费表'!B50))</f>
        <v>0.12</v>
      </c>
      <c r="G33" s="1849"/>
      <c r="H33" s="1857"/>
      <c r="I33" s="1858"/>
      <c r="J33" s="1859"/>
      <c r="K33" s="1860"/>
      <c r="L33" s="1857"/>
      <c r="M33" s="1857"/>
    </row>
    <row r="34" spans="1:18" ht="18" customHeight="1">
      <c r="A34" s="1291" t="s">
        <v>1384</v>
      </c>
      <c r="B34" s="164" t="s">
        <v>1436</v>
      </c>
      <c r="C34" s="25">
        <f ca="1">IF(项目基本情况!B11="自然人","——",ROUND(F34*F35/10000,2))</f>
        <v>0</v>
      </c>
      <c r="D34" s="370" t="s">
        <v>1437</v>
      </c>
      <c r="E34" s="347" t="s">
        <v>1438</v>
      </c>
      <c r="F34" s="371">
        <f>'数据-取费表'!B52</f>
        <v>10</v>
      </c>
      <c r="G34" s="1849"/>
      <c r="H34" s="745"/>
      <c r="I34" s="1858"/>
      <c r="J34" s="1859"/>
      <c r="K34" s="1861"/>
      <c r="L34" s="1862"/>
      <c r="M34" s="1862"/>
    </row>
    <row r="35" spans="1:18" ht="18" customHeight="1">
      <c r="A35" s="1353"/>
      <c r="B35" s="1351"/>
      <c r="C35" s="29"/>
      <c r="D35" s="373"/>
      <c r="E35" s="347" t="s">
        <v>1442</v>
      </c>
      <c r="F35" s="348">
        <f ca="1">INDIRECT("'数据-取费表'!r"&amp;$G$1)</f>
        <v>0</v>
      </c>
      <c r="G35" s="1849"/>
      <c r="H35" s="745"/>
      <c r="I35" s="1858"/>
      <c r="J35" s="1859"/>
      <c r="K35" s="1860"/>
      <c r="L35" s="1857"/>
      <c r="M35" s="1857"/>
    </row>
    <row r="36" spans="1:18" ht="18" customHeight="1">
      <c r="A36" s="1352" t="s">
        <v>1036</v>
      </c>
      <c r="B36" s="347" t="s">
        <v>1444</v>
      </c>
      <c r="C36" s="24">
        <f ca="1">ROUND(C29*F36,1)</f>
        <v>29.2</v>
      </c>
      <c r="D36" s="2953" t="s">
        <v>1477</v>
      </c>
      <c r="E36" s="347" t="s">
        <v>1417</v>
      </c>
      <c r="F36" s="374">
        <f ca="1">INDIRECT("'数据-取费表'!Ak"&amp;$G$1)</f>
        <v>1.4999999999999999E-2</v>
      </c>
      <c r="G36" s="1849"/>
      <c r="H36" s="1857"/>
      <c r="I36" s="1858"/>
      <c r="J36" s="1859"/>
      <c r="K36" s="751"/>
      <c r="L36" s="1857"/>
      <c r="M36" s="1857"/>
    </row>
    <row r="37" spans="1:18" ht="18" customHeight="1">
      <c r="A37" s="1201" t="s">
        <v>1072</v>
      </c>
      <c r="B37" s="347" t="s">
        <v>1448</v>
      </c>
      <c r="C37" s="24">
        <f ca="1">ROUND(C13*F37,1)</f>
        <v>2.9</v>
      </c>
      <c r="D37" s="2953" t="s">
        <v>1449</v>
      </c>
      <c r="E37" s="347" t="s">
        <v>1450</v>
      </c>
      <c r="F37" s="376">
        <f ca="1">INDIRECT("'数据-取费表'!Al"&amp;$G$1)</f>
        <v>1.5E-3</v>
      </c>
      <c r="G37" s="1849"/>
      <c r="H37" s="1857"/>
      <c r="I37" s="1858"/>
      <c r="J37" s="1859"/>
      <c r="K37" s="751"/>
      <c r="L37" s="1857"/>
      <c r="M37" s="1857"/>
    </row>
    <row r="38" spans="1:18" ht="18" customHeight="1" thickBot="1">
      <c r="A38" s="1339" t="s">
        <v>1388</v>
      </c>
      <c r="B38" s="1340" t="s">
        <v>1434</v>
      </c>
      <c r="C38" s="1341">
        <f ca="1">ROUND(C5*F38,1)</f>
        <v>2.2999999999999998</v>
      </c>
      <c r="D38" s="1342" t="s">
        <v>1454</v>
      </c>
      <c r="E38" s="1340" t="s">
        <v>1450</v>
      </c>
      <c r="F38" s="1336">
        <f ca="1">INDIRECT("'数据-取费表'!Am"&amp;$G$1)</f>
        <v>0.01</v>
      </c>
      <c r="G38" s="1849"/>
      <c r="H38" s="1857"/>
      <c r="I38" s="1858"/>
      <c r="J38" s="1859"/>
      <c r="K38" s="1863"/>
      <c r="L38" s="1857"/>
      <c r="M38" s="1857"/>
    </row>
    <row r="39" spans="1:18" ht="24.6" customHeight="1" thickTop="1">
      <c r="A39" s="1329" t="s">
        <v>1028</v>
      </c>
      <c r="B39" s="1344" t="s">
        <v>1478</v>
      </c>
      <c r="C39" s="355">
        <f ca="1">C5-C30</f>
        <v>159</v>
      </c>
      <c r="D39" s="1345" t="s">
        <v>1459</v>
      </c>
      <c r="E39" s="1346"/>
      <c r="F39" s="1347"/>
      <c r="G39" s="1849"/>
      <c r="H39" s="1857"/>
      <c r="I39" s="1858"/>
      <c r="J39" s="1859"/>
      <c r="K39" s="1863"/>
      <c r="L39" s="1857"/>
      <c r="M39" s="1857"/>
    </row>
    <row r="40" spans="1:18" ht="18" customHeight="1">
      <c r="A40" s="344" t="s">
        <v>1029</v>
      </c>
      <c r="B40" s="345" t="s">
        <v>1480</v>
      </c>
      <c r="C40" s="346">
        <f ca="1">ROUND(C39*(1-((1+F42)/(1+F40))^F41)/(F40-F42),0)</f>
        <v>641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4.68</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f ca="1">ROUND(C40*10000/F43,0)</f>
        <v>1241</v>
      </c>
      <c r="D43" s="383" t="s">
        <v>1483</v>
      </c>
      <c r="E43" s="384" t="s">
        <v>1484</v>
      </c>
      <c r="F43" s="385">
        <f ca="1">INDIRECT("'数据-取费表'!k"&amp;$G$1)</f>
        <v>5165.3600000000006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-1431</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5" t="s">
        <v>1391</v>
      </c>
      <c r="B47" s="1197" t="s">
        <v>1392</v>
      </c>
      <c r="C47" s="1367" t="s">
        <v>1393</v>
      </c>
      <c r="D47" s="1197" t="s">
        <v>1394</v>
      </c>
      <c r="E47" s="1279" t="s">
        <v>1395</v>
      </c>
      <c r="F47" s="1280"/>
      <c r="G47" s="792"/>
      <c r="I47" s="1878" t="s">
        <v>1521</v>
      </c>
      <c r="J47" s="1879" t="s">
        <v>3120</v>
      </c>
      <c r="K47" s="1880" t="s">
        <v>1522</v>
      </c>
      <c r="L47" s="1881">
        <f ca="1">INDIRECT("'数据-取费表'!d"&amp;$G$1)</f>
        <v>40</v>
      </c>
      <c r="M47" s="1836" t="str">
        <f>IF(ISNUMBER(FIND("住宅",C1)),"住宅","非住宅")</f>
        <v>非住宅</v>
      </c>
      <c r="O47" s="1882" t="s">
        <v>1037</v>
      </c>
      <c r="P47" s="1883" t="s">
        <v>1523</v>
      </c>
      <c r="Q47" s="1884">
        <f ca="1">C40+J29</f>
        <v>4353</v>
      </c>
      <c r="R47" s="1884" t="s">
        <v>1524</v>
      </c>
    </row>
    <row r="48" spans="1:18" s="1840" customFormat="1" ht="28.5" thickBot="1">
      <c r="A48" s="1360" t="s">
        <v>1132</v>
      </c>
      <c r="B48" s="345" t="s">
        <v>1396</v>
      </c>
      <c r="C48" s="2963">
        <f ca="1">C49+C53+C55</f>
        <v>0</v>
      </c>
      <c r="D48" s="1362"/>
      <c r="E48" s="1363"/>
      <c r="F48" s="1181"/>
      <c r="G48" s="792"/>
      <c r="H48" s="793"/>
      <c r="I48" s="1885" t="s">
        <v>1525</v>
      </c>
      <c r="J48" s="1886" t="s">
        <v>3121</v>
      </c>
      <c r="K48" s="1887" t="s">
        <v>1526</v>
      </c>
      <c r="L48" s="1888">
        <f ca="1">INDIRECT("'数据-取费表'!f"&amp;$G$1)</f>
        <v>37.46</v>
      </c>
      <c r="O48" s="1882" t="s">
        <v>1038</v>
      </c>
      <c r="P48" s="1883" t="s">
        <v>1527</v>
      </c>
      <c r="Q48" s="1884" t="str">
        <f ca="1">J60</f>
        <v>0</v>
      </c>
      <c r="R48" s="1884" t="s">
        <v>1528</v>
      </c>
    </row>
    <row r="49" spans="1:18" s="1840" customFormat="1" ht="13.5" thickBot="1">
      <c r="A49" s="1194" t="s">
        <v>1133</v>
      </c>
      <c r="B49" s="1827" t="s">
        <v>1485</v>
      </c>
      <c r="C49" s="1364">
        <f ca="1">ROUND(F49*F51*F50*(1-F52)/10000,0)</f>
        <v>0</v>
      </c>
      <c r="D49" s="1276" t="s">
        <v>3023</v>
      </c>
      <c r="E49" s="1828" t="s">
        <v>1486</v>
      </c>
      <c r="F49" s="1281"/>
      <c r="G49" s="1889"/>
      <c r="H49" s="793"/>
      <c r="I49" s="1885" t="s">
        <v>1529</v>
      </c>
      <c r="J49" s="1890">
        <v>2018</v>
      </c>
      <c r="K49" s="1887" t="s">
        <v>1530</v>
      </c>
      <c r="L49" s="1891"/>
      <c r="O49" s="1892" t="s">
        <v>1039</v>
      </c>
      <c r="P49" s="1883" t="s">
        <v>1531</v>
      </c>
      <c r="Q49" s="1884">
        <f ca="1">C29</f>
        <v>1947</v>
      </c>
      <c r="R49" s="1884" t="s">
        <v>1524</v>
      </c>
    </row>
    <row r="50" spans="1:18" s="1840" customFormat="1" ht="13.5" thickBot="1">
      <c r="A50" s="1195"/>
      <c r="B50" s="1198"/>
      <c r="C50" s="1368"/>
      <c r="D50" s="1172"/>
      <c r="E50" s="1277" t="s">
        <v>1401</v>
      </c>
      <c r="F50" s="1278">
        <f ca="1">F7</f>
        <v>5165.3600000000006</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6"/>
      <c r="B51" s="1198"/>
      <c r="C51" s="1199"/>
      <c r="D51" s="1172"/>
      <c r="E51" s="1200" t="s">
        <v>1402</v>
      </c>
      <c r="F51" s="348">
        <f ca="1">F8</f>
        <v>365</v>
      </c>
      <c r="I51" s="1896" t="s">
        <v>1535</v>
      </c>
      <c r="J51" s="1897">
        <f>IF(J49="",J50,J49+J50-YEAR('数据-取费表'!B2))</f>
        <v>59</v>
      </c>
      <c r="K51" s="1898" t="s">
        <v>1536</v>
      </c>
      <c r="L51" s="1899">
        <f ca="1">ROUND(-PV(INDIRECT("'数据-取费表'!h"&amp;$G$1),L48,(C39-C13*C76),0),0)</f>
        <v>-53</v>
      </c>
      <c r="M51" s="1900"/>
      <c r="O51" s="1892" t="s">
        <v>1041</v>
      </c>
      <c r="P51" s="1883" t="s">
        <v>1537</v>
      </c>
      <c r="Q51" s="1895">
        <f>J52</f>
        <v>0.09</v>
      </c>
      <c r="R51" s="1884"/>
    </row>
    <row r="52" spans="1:18" s="1840" customFormat="1" ht="13.5" thickBot="1">
      <c r="A52" s="1196"/>
      <c r="B52" s="1198"/>
      <c r="C52" s="1199"/>
      <c r="D52" s="1172"/>
      <c r="E52" s="1200" t="s">
        <v>1403</v>
      </c>
      <c r="F52" s="1275"/>
      <c r="I52" s="1901" t="s">
        <v>1538</v>
      </c>
      <c r="J52" s="1902">
        <v>0.09</v>
      </c>
      <c r="K52" s="1901" t="s">
        <v>1539</v>
      </c>
      <c r="L52" s="1902"/>
      <c r="O52" s="1892" t="s">
        <v>1042</v>
      </c>
      <c r="P52" s="1883" t="s">
        <v>1540</v>
      </c>
      <c r="Q52" s="1884">
        <f ca="1">J53</f>
        <v>37.46</v>
      </c>
      <c r="R52" s="1884" t="s">
        <v>1541</v>
      </c>
    </row>
    <row r="53" spans="1:18" s="1840" customFormat="1" ht="24.75" thickBot="1">
      <c r="A53" s="1404" t="s">
        <v>1134</v>
      </c>
      <c r="B53" s="1829" t="s">
        <v>1404</v>
      </c>
      <c r="C53" s="361">
        <f ca="1">ROUND(IF(F53="押一",C49/12*F11,IF(F53="押二",C49/12*2*F11,IF(F53="押三",C49/12*3*F11,C54*F11))),0)</f>
        <v>0</v>
      </c>
      <c r="D53" s="1822" t="s">
        <v>3032</v>
      </c>
      <c r="E53" s="358" t="s">
        <v>1405</v>
      </c>
      <c r="F53" s="1366"/>
      <c r="I53" s="1903" t="s">
        <v>1542</v>
      </c>
      <c r="J53" s="2968">
        <f ca="1">IF(M47="住宅",IF(D1="——",MAX(J51,L48),MAX(J51,L48-'数据-取费表'!B24)),IF(D1="——",MIN(J51,L48),MIN(J51,L48-'数据-取费表'!B24)))</f>
        <v>37.46</v>
      </c>
      <c r="K53" s="3250" t="s">
        <v>1543</v>
      </c>
      <c r="L53" s="3251"/>
      <c r="O53" s="1882" t="s">
        <v>1043</v>
      </c>
      <c r="P53" s="1883" t="s">
        <v>1544</v>
      </c>
      <c r="Q53" s="1884">
        <f ca="1">Q47+Q48</f>
        <v>4353</v>
      </c>
      <c r="R53" s="1884" t="s">
        <v>1044</v>
      </c>
    </row>
    <row r="54" spans="1:18" s="1840" customFormat="1" ht="13.5" thickBot="1">
      <c r="A54" s="1405"/>
      <c r="B54" s="1823" t="s">
        <v>1383</v>
      </c>
      <c r="C54" s="1178"/>
      <c r="D54" s="1822"/>
      <c r="E54" s="295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3" t="s">
        <v>1072</v>
      </c>
      <c r="B55" s="1825" t="s">
        <v>1408</v>
      </c>
      <c r="C55" s="1334"/>
      <c r="D55" s="1822"/>
      <c r="E55" s="2959"/>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6">
        <v>2</v>
      </c>
      <c r="B56" s="1177" t="s">
        <v>1409</v>
      </c>
      <c r="C56" s="276">
        <f ca="1">C13</f>
        <v>1908</v>
      </c>
      <c r="D56" s="1911"/>
      <c r="E56" s="1912"/>
      <c r="F56" s="1904"/>
      <c r="I56" s="1913" t="s">
        <v>1549</v>
      </c>
      <c r="J56" s="1914" t="s">
        <v>3092</v>
      </c>
      <c r="K56" s="1885" t="s">
        <v>1550</v>
      </c>
      <c r="L56" s="1888" t="str">
        <f ca="1">IF(L48&lt;J51,"——",L48-J53)</f>
        <v>——</v>
      </c>
      <c r="O56" s="1882" t="s">
        <v>1037</v>
      </c>
      <c r="P56" s="1883" t="s">
        <v>1523</v>
      </c>
      <c r="Q56" s="1884">
        <f ca="1">C40+J29</f>
        <v>4353</v>
      </c>
      <c r="R56" s="1884" t="s">
        <v>1524</v>
      </c>
    </row>
    <row r="57" spans="1:18" s="1840" customFormat="1" ht="24.75" thickBot="1">
      <c r="A57" s="1915"/>
      <c r="B57" s="1169" t="s">
        <v>1473</v>
      </c>
      <c r="C57" s="282">
        <f ca="1">C29</f>
        <v>1947</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7" t="s">
        <v>1419</v>
      </c>
      <c r="C58" s="361">
        <f ca="1">ROUND(C59+C64+C65+C66,0)</f>
        <v>196</v>
      </c>
      <c r="D58" s="1179" t="s">
        <v>1420</v>
      </c>
      <c r="E58" s="1180"/>
      <c r="F58" s="1181"/>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1" t="s">
        <v>1032</v>
      </c>
      <c r="B59" s="1169" t="s">
        <v>1424</v>
      </c>
      <c r="C59" s="24">
        <f ca="1">ROUND(IF(项目基本情况!B11="自然人",C48*F59,C60+C61+C62),1)</f>
        <v>163.6</v>
      </c>
      <c r="D59" s="1182" t="s">
        <v>1425</v>
      </c>
      <c r="E59" s="1183"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1" t="s">
        <v>1487</v>
      </c>
      <c r="B61" s="1169" t="s">
        <v>1488</v>
      </c>
      <c r="C61" s="24">
        <f ca="1">IF(项目基本情况!B11="自然人","——",IF(D61="按租金收入计税",ROUND(C48*F61,2),IF(D61="按房产原值计税",ROUND(C57*F61*0.7,2),INDIRECT("'数据-取费表'!Aj"&amp;$G$1))))</f>
        <v>163.55000000000001</v>
      </c>
      <c r="D61" s="1826" t="s">
        <v>1433</v>
      </c>
      <c r="E61" s="1169"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1" t="s">
        <v>1490</v>
      </c>
      <c r="B62" s="1168" t="s">
        <v>1436</v>
      </c>
      <c r="C62" s="25">
        <f ca="1">IF(项目基本情况!B11="自然人","——",ROUND(F62*F63/10000,2))</f>
        <v>0</v>
      </c>
      <c r="D62" s="1184" t="s">
        <v>1437</v>
      </c>
      <c r="E62" s="1169" t="s">
        <v>1438</v>
      </c>
      <c r="F62" s="371">
        <f t="shared" si="0"/>
        <v>10</v>
      </c>
      <c r="I62" s="1926" t="s">
        <v>1565</v>
      </c>
      <c r="J62" s="1927" t="s">
        <v>1566</v>
      </c>
      <c r="K62" s="1927" t="s">
        <v>1567</v>
      </c>
      <c r="L62" s="1927" t="s">
        <v>1568</v>
      </c>
      <c r="M62" s="1928" t="s">
        <v>1569</v>
      </c>
      <c r="O62" s="1882" t="s">
        <v>1043</v>
      </c>
      <c r="P62" s="1883" t="s">
        <v>1544</v>
      </c>
      <c r="Q62" s="1884">
        <f ca="1">Q56+Q57</f>
        <v>4353</v>
      </c>
      <c r="R62" s="1884" t="s">
        <v>1044</v>
      </c>
    </row>
    <row r="63" spans="1:18" s="1840" customFormat="1" ht="13.5" thickBot="1">
      <c r="A63" s="372"/>
      <c r="B63" s="1175"/>
      <c r="C63" s="29"/>
      <c r="D63" s="1185"/>
      <c r="E63" s="1169"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1" t="s">
        <v>1495</v>
      </c>
      <c r="B64" s="1169" t="s">
        <v>1496</v>
      </c>
      <c r="C64" s="24">
        <f ca="1">ROUND(C57*F64,1)</f>
        <v>29.2</v>
      </c>
      <c r="D64" s="1183" t="s">
        <v>1497</v>
      </c>
      <c r="E64" s="1169"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1" t="s">
        <v>1498</v>
      </c>
      <c r="B65" s="1169" t="s">
        <v>1448</v>
      </c>
      <c r="C65" s="24">
        <f ca="1">ROUND(C56*F65,1)</f>
        <v>2.9</v>
      </c>
      <c r="D65" s="1183" t="s">
        <v>1449</v>
      </c>
      <c r="E65" s="1169" t="s">
        <v>1450</v>
      </c>
      <c r="F65" s="376">
        <f t="shared" ca="1" si="0"/>
        <v>1.5E-3</v>
      </c>
      <c r="I65" s="1926" t="s">
        <v>1574</v>
      </c>
      <c r="J65" s="1927">
        <v>40</v>
      </c>
      <c r="K65" s="1927">
        <v>30</v>
      </c>
      <c r="L65" s="1927">
        <v>50</v>
      </c>
      <c r="M65" s="1929">
        <v>0.02</v>
      </c>
      <c r="O65" s="1882" t="s">
        <v>1037</v>
      </c>
      <c r="P65" s="1883" t="s">
        <v>1523</v>
      </c>
      <c r="Q65" s="1884">
        <f ca="1">C40+J29</f>
        <v>4353</v>
      </c>
      <c r="R65" s="1884" t="s">
        <v>1524</v>
      </c>
    </row>
    <row r="66" spans="1:18" s="1840" customFormat="1" ht="16.5" thickBot="1">
      <c r="A66" s="1201" t="s">
        <v>1499</v>
      </c>
      <c r="B66" s="1169" t="s">
        <v>1434</v>
      </c>
      <c r="C66" s="24">
        <f ca="1">ROUND(C48*F66,1)</f>
        <v>0</v>
      </c>
      <c r="D66" s="1183" t="s">
        <v>1454</v>
      </c>
      <c r="E66" s="1169" t="s">
        <v>1417</v>
      </c>
      <c r="F66" s="357">
        <f t="shared" ca="1" si="0"/>
        <v>0.01</v>
      </c>
      <c r="O66" s="1882" t="s">
        <v>1038</v>
      </c>
      <c r="P66" s="1883" t="s">
        <v>1553</v>
      </c>
      <c r="Q66" s="1884">
        <f ca="1">L60</f>
        <v>0</v>
      </c>
      <c r="R66" s="1884" t="s">
        <v>1576</v>
      </c>
    </row>
    <row r="67" spans="1:18" s="1840" customFormat="1" ht="16.5" thickBot="1">
      <c r="A67" s="1176" t="s">
        <v>1028</v>
      </c>
      <c r="B67" s="1186" t="s">
        <v>1458</v>
      </c>
      <c r="C67" s="361">
        <f ca="1">C48-C58</f>
        <v>-196</v>
      </c>
      <c r="D67" s="1182" t="s">
        <v>1459</v>
      </c>
      <c r="E67" s="1187"/>
      <c r="F67" s="1188"/>
      <c r="O67" s="1892" t="s">
        <v>1039</v>
      </c>
      <c r="P67" s="1883" t="s">
        <v>1557</v>
      </c>
      <c r="Q67" s="1930">
        <f ca="1">L51</f>
        <v>-53</v>
      </c>
      <c r="R67" s="1884" t="s">
        <v>1577</v>
      </c>
    </row>
    <row r="68" spans="1:18" s="1840" customFormat="1" ht="16.5" thickBot="1">
      <c r="A68" s="1166" t="s">
        <v>1029</v>
      </c>
      <c r="B68" s="1167" t="s">
        <v>1480</v>
      </c>
      <c r="C68" s="346">
        <f ca="1">ROUND(C67*(1-((1+F70)/(1+F68))^F69)/(F68-F70),0)</f>
        <v>-790</v>
      </c>
      <c r="D68" s="1184" t="s">
        <v>1464</v>
      </c>
      <c r="E68" s="1169" t="s">
        <v>1465</v>
      </c>
      <c r="F68" s="357">
        <f ca="1">F40</f>
        <v>5.5E-2</v>
      </c>
      <c r="O68" s="1892" t="s">
        <v>1040</v>
      </c>
      <c r="P68" s="1931" t="s">
        <v>1578</v>
      </c>
      <c r="Q68" s="1884">
        <f ca="1">ROUND(Q69-Q70*Q71,0)</f>
        <v>-3</v>
      </c>
      <c r="R68" s="1884" t="s">
        <v>1048</v>
      </c>
    </row>
    <row r="69" spans="1:18" s="1840" customFormat="1" ht="13.5" thickBot="1">
      <c r="A69" s="1170"/>
      <c r="B69" s="1171"/>
      <c r="C69" s="351"/>
      <c r="D69" s="1189" t="s">
        <v>1468</v>
      </c>
      <c r="E69" s="1169" t="s">
        <v>1469</v>
      </c>
      <c r="F69" s="379">
        <f ca="1">F41</f>
        <v>4.68</v>
      </c>
      <c r="O69" s="1892" t="s">
        <v>1045</v>
      </c>
      <c r="P69" s="1931" t="s">
        <v>1579</v>
      </c>
      <c r="Q69" s="1884">
        <f ca="1">C39</f>
        <v>159</v>
      </c>
      <c r="R69" s="1884" t="s">
        <v>1524</v>
      </c>
    </row>
    <row r="70" spans="1:18" s="1840" customFormat="1" ht="13.5" thickBot="1">
      <c r="A70" s="1173"/>
      <c r="B70" s="1174"/>
      <c r="C70" s="355"/>
      <c r="D70" s="1185"/>
      <c r="E70" s="1169" t="s">
        <v>1472</v>
      </c>
      <c r="F70" s="1275"/>
      <c r="O70" s="1892" t="s">
        <v>1046</v>
      </c>
      <c r="P70" s="1931" t="s">
        <v>1580</v>
      </c>
      <c r="Q70" s="1884">
        <f ca="1">C13</f>
        <v>1908</v>
      </c>
      <c r="R70" s="1884" t="s">
        <v>1524</v>
      </c>
    </row>
    <row r="71" spans="1:18" s="1840" customFormat="1" ht="13.5" thickBot="1">
      <c r="A71" s="1190" t="s">
        <v>1030</v>
      </c>
      <c r="B71" s="1191" t="s">
        <v>1482</v>
      </c>
      <c r="C71" s="382">
        <f ca="1">ROUND(C68*10000/F71,0)</f>
        <v>-1529</v>
      </c>
      <c r="D71" s="1192" t="s">
        <v>1483</v>
      </c>
      <c r="E71" s="1193" t="s">
        <v>1484</v>
      </c>
      <c r="F71" s="385">
        <f ca="1">F43</f>
        <v>5165.3600000000006</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162</v>
      </c>
      <c r="D75" s="1840"/>
      <c r="E75" s="1840"/>
      <c r="F75" s="1840"/>
      <c r="K75" s="1866"/>
      <c r="L75" s="1840"/>
      <c r="O75" s="1882" t="s">
        <v>1043</v>
      </c>
      <c r="P75" s="1883" t="s">
        <v>1544</v>
      </c>
      <c r="Q75" s="1884">
        <f ca="1">Q65+Q66</f>
        <v>4353</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-1.8999999999999906E-2</v>
      </c>
    </row>
    <row r="80" spans="1:18">
      <c r="B80" s="386" t="s">
        <v>1506</v>
      </c>
      <c r="C80" s="318">
        <f ca="1">ROUND(C75/C39,3)</f>
        <v>1.0189999999999999</v>
      </c>
    </row>
    <row r="81" spans="2:3">
      <c r="B81" s="314" t="s">
        <v>1507</v>
      </c>
      <c r="C81" s="282"/>
    </row>
    <row r="82" spans="2:3">
      <c r="B82" s="317" t="s">
        <v>1508</v>
      </c>
      <c r="C82" s="319">
        <f ca="1">1-C83</f>
        <v>-1.9769999999999999</v>
      </c>
    </row>
    <row r="83" spans="2:3">
      <c r="B83" s="317" t="s">
        <v>1509</v>
      </c>
      <c r="C83" s="318">
        <f ca="1">ROUND(C13/C40,3)</f>
        <v>2.9769999999999999</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2519</v>
      </c>
      <c r="B1" s="2560"/>
      <c r="C1" s="2560"/>
      <c r="D1" s="2560"/>
      <c r="E1" s="2561"/>
    </row>
    <row r="2" spans="1:6" ht="15.75">
      <c r="A2" s="2562" t="s">
        <v>2320</v>
      </c>
      <c r="B2" s="2563">
        <f ca="1">SUMIF(B6:B13,"&lt;&gt;#ref!",B6:B13)</f>
        <v>7032</v>
      </c>
      <c r="C2" s="2564" t="s">
        <v>2512</v>
      </c>
      <c r="D2" s="2565" t="s">
        <v>2513</v>
      </c>
      <c r="E2" s="2566">
        <f>SUM(E6:E13)</f>
        <v>10771.04</v>
      </c>
    </row>
    <row r="3" spans="1:6" ht="15.75">
      <c r="A3" s="2562" t="s">
        <v>1390</v>
      </c>
      <c r="B3" s="2563">
        <f ca="1">ROUND(B2*10000/E2,0)</f>
        <v>6529</v>
      </c>
      <c r="C3" s="2564" t="s">
        <v>2520</v>
      </c>
      <c r="D3" s="2567"/>
      <c r="E3" s="2568"/>
    </row>
    <row r="4" spans="1:6" ht="15.75">
      <c r="A4" s="2569"/>
      <c r="B4" s="2567"/>
      <c r="C4" s="2567"/>
      <c r="D4" s="2567"/>
      <c r="E4" s="2568"/>
    </row>
    <row r="5" spans="1:6" ht="15">
      <c r="A5" s="2570" t="s">
        <v>2514</v>
      </c>
      <c r="B5" s="3255" t="s">
        <v>2515</v>
      </c>
      <c r="C5" s="3255"/>
      <c r="D5" s="2571"/>
      <c r="E5" s="2572" t="s">
        <v>2516</v>
      </c>
      <c r="F5" s="2573" t="s">
        <v>2517</v>
      </c>
    </row>
    <row r="6" spans="1:6">
      <c r="A6" s="2574" t="str">
        <f>'数据-取费表'!AN6</f>
        <v>收益法（四羊方尊）</v>
      </c>
      <c r="B6" s="2573">
        <f ca="1">IF(F6="是",'数据-取费表'!AO6,0)</f>
        <v>2679</v>
      </c>
      <c r="C6" s="2564" t="s">
        <v>2512</v>
      </c>
      <c r="D6" s="2567"/>
      <c r="E6" s="2575">
        <f>IF(OR(A6=0,F6="否"),0,'数据-取费表'!K6+'数据-取费表'!S6)</f>
        <v>5605.68</v>
      </c>
      <c r="F6" s="2576" t="s">
        <v>2518</v>
      </c>
    </row>
    <row r="7" spans="1:6">
      <c r="A7" s="2574" t="str">
        <f>'数据-取费表'!AN7</f>
        <v>收益法（天街）</v>
      </c>
      <c r="B7" s="2573">
        <f ca="1">IF(F7="是",'数据-取费表'!AO7,0)</f>
        <v>4353</v>
      </c>
      <c r="C7" s="2564" t="s">
        <v>2512</v>
      </c>
      <c r="D7" s="2567"/>
      <c r="E7" s="2575">
        <f>IF(OR(A7=0,F7="否"),0,'数据-取费表'!K7+'数据-取费表'!S7)</f>
        <v>5165.3600000000006</v>
      </c>
      <c r="F7" s="2576" t="s">
        <v>2518</v>
      </c>
    </row>
    <row r="8" spans="1:6">
      <c r="A8" s="2574">
        <f>'数据-取费表'!AN8</f>
        <v>0</v>
      </c>
      <c r="B8" s="2573" t="e">
        <f ca="1">IF(F8="是",'数据-取费表'!AO8,0)</f>
        <v>#REF!</v>
      </c>
      <c r="C8" s="2564" t="s">
        <v>2512</v>
      </c>
      <c r="D8" s="2567"/>
      <c r="E8" s="2575">
        <f>IF(OR(A8=0,F8="否"),0,'数据-取费表'!K8+'数据-取费表'!S8)</f>
        <v>0</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61" t="s">
        <v>1074</v>
      </c>
      <c r="B2" s="3262" t="s">
        <v>1075</v>
      </c>
      <c r="C2" s="3262"/>
      <c r="D2" s="1301" t="s">
        <v>1076</v>
      </c>
      <c r="E2" s="1301" t="s">
        <v>1077</v>
      </c>
      <c r="F2" s="1301" t="s">
        <v>1078</v>
      </c>
      <c r="G2" s="1301" t="s">
        <v>1079</v>
      </c>
      <c r="H2" s="1301" t="s">
        <v>1080</v>
      </c>
      <c r="I2" s="1302" t="s">
        <v>1081</v>
      </c>
    </row>
    <row r="3" spans="1:9">
      <c r="A3" s="3261"/>
      <c r="B3" s="3262" t="s">
        <v>1082</v>
      </c>
      <c r="C3" s="3262"/>
      <c r="D3" s="1303"/>
      <c r="E3" s="1301"/>
      <c r="F3" s="1304"/>
      <c r="G3" s="1304"/>
      <c r="H3" s="1305"/>
      <c r="I3" s="1306">
        <f>ROUND(D3*E3*F3*G3*H3/10000,0)</f>
        <v>0</v>
      </c>
    </row>
    <row r="4" spans="1:9">
      <c r="A4" s="3261"/>
      <c r="B4" s="3262" t="s">
        <v>1083</v>
      </c>
      <c r="C4" s="3262"/>
      <c r="D4" s="1303"/>
      <c r="E4" s="1301"/>
      <c r="F4" s="1304"/>
      <c r="G4" s="1304"/>
      <c r="H4" s="1305"/>
      <c r="I4" s="1306">
        <f t="shared" ref="I4:I9" si="0">ROUND(D4*E4*F4*G4*H4/10000,0)</f>
        <v>0</v>
      </c>
    </row>
    <row r="5" spans="1:9">
      <c r="A5" s="3261"/>
      <c r="B5" s="3262" t="s">
        <v>1084</v>
      </c>
      <c r="C5" s="3262"/>
      <c r="D5" s="1303"/>
      <c r="E5" s="1301"/>
      <c r="F5" s="1304"/>
      <c r="G5" s="1304"/>
      <c r="H5" s="1305"/>
      <c r="I5" s="1306">
        <f t="shared" si="0"/>
        <v>0</v>
      </c>
    </row>
    <row r="6" spans="1:9">
      <c r="A6" s="3261"/>
      <c r="B6" s="3262" t="s">
        <v>1085</v>
      </c>
      <c r="C6" s="3262"/>
      <c r="D6" s="1303"/>
      <c r="E6" s="1301"/>
      <c r="F6" s="1304"/>
      <c r="G6" s="1304"/>
      <c r="H6" s="1305"/>
      <c r="I6" s="1306">
        <f t="shared" si="0"/>
        <v>0</v>
      </c>
    </row>
    <row r="7" spans="1:9">
      <c r="A7" s="3261"/>
      <c r="B7" s="3262" t="s">
        <v>1086</v>
      </c>
      <c r="C7" s="3262"/>
      <c r="D7" s="1303"/>
      <c r="E7" s="1301"/>
      <c r="F7" s="1304"/>
      <c r="G7" s="1304"/>
      <c r="H7" s="1305"/>
      <c r="I7" s="1306">
        <f t="shared" si="0"/>
        <v>0</v>
      </c>
    </row>
    <row r="8" spans="1:9">
      <c r="A8" s="3261"/>
      <c r="B8" s="3262" t="s">
        <v>1087</v>
      </c>
      <c r="C8" s="3262"/>
      <c r="D8" s="1303"/>
      <c r="E8" s="1301"/>
      <c r="F8" s="1304"/>
      <c r="G8" s="1304"/>
      <c r="H8" s="1305"/>
      <c r="I8" s="1306">
        <f t="shared" si="0"/>
        <v>0</v>
      </c>
    </row>
    <row r="9" spans="1:9">
      <c r="A9" s="3261"/>
      <c r="B9" s="3262" t="s">
        <v>1088</v>
      </c>
      <c r="C9" s="3262"/>
      <c r="D9" s="1303"/>
      <c r="E9" s="1301"/>
      <c r="F9" s="1304"/>
      <c r="G9" s="1304"/>
      <c r="H9" s="1305"/>
      <c r="I9" s="1306">
        <f t="shared" si="0"/>
        <v>0</v>
      </c>
    </row>
    <row r="10" spans="1:9">
      <c r="A10" s="3261"/>
      <c r="B10" s="3263" t="s">
        <v>1089</v>
      </c>
      <c r="C10" s="3263"/>
      <c r="D10" s="1307"/>
      <c r="E10" s="1307" t="e">
        <f>ROUND(D1*10000/D10/H9,0)</f>
        <v>#DIV/0!</v>
      </c>
      <c r="F10" s="1308"/>
      <c r="G10" s="1308"/>
      <c r="H10" s="1309"/>
      <c r="I10" s="1310">
        <f>SUM(I3:I9)</f>
        <v>0</v>
      </c>
    </row>
    <row r="11" spans="1:9" ht="14.25">
      <c r="A11" s="3261" t="s">
        <v>1090</v>
      </c>
      <c r="B11" s="3262" t="s">
        <v>1091</v>
      </c>
      <c r="C11" s="3262"/>
      <c r="D11" s="1303" t="s">
        <v>1092</v>
      </c>
      <c r="E11" s="1303" t="s">
        <v>1093</v>
      </c>
      <c r="F11" s="1304" t="s">
        <v>1094</v>
      </c>
      <c r="G11" s="1304" t="s">
        <v>1080</v>
      </c>
      <c r="H11" s="1311" t="s">
        <v>1095</v>
      </c>
      <c r="I11" s="1302" t="s">
        <v>1081</v>
      </c>
    </row>
    <row r="12" spans="1:9">
      <c r="A12" s="3261"/>
      <c r="B12" s="3262" t="s">
        <v>1096</v>
      </c>
      <c r="C12" s="3262"/>
      <c r="D12" s="1303"/>
      <c r="E12" s="1303"/>
      <c r="F12" s="1304"/>
      <c r="G12" s="1305"/>
      <c r="H12" s="1312"/>
      <c r="I12" s="1302">
        <f>ROUND(D12*E12*F12*G12/10000,0)</f>
        <v>0</v>
      </c>
    </row>
    <row r="13" spans="1:9">
      <c r="A13" s="3261"/>
      <c r="B13" s="3262" t="s">
        <v>1097</v>
      </c>
      <c r="C13" s="3262"/>
      <c r="D13" s="1303"/>
      <c r="E13" s="1303"/>
      <c r="F13" s="1304"/>
      <c r="G13" s="1305"/>
      <c r="H13" s="1312"/>
      <c r="I13" s="1302">
        <f>ROUND(D13*E13*F13*G13/10000,0)</f>
        <v>0</v>
      </c>
    </row>
    <row r="14" spans="1:9">
      <c r="A14" s="3261"/>
      <c r="B14" s="3262" t="s">
        <v>1098</v>
      </c>
      <c r="C14" s="3262"/>
      <c r="D14" s="1303"/>
      <c r="E14" s="1303"/>
      <c r="F14" s="1304"/>
      <c r="G14" s="1305"/>
      <c r="H14" s="1312"/>
      <c r="I14" s="1302">
        <f>ROUND(D14*E14*F14*G14/10000,0)</f>
        <v>0</v>
      </c>
    </row>
    <row r="15" spans="1:9">
      <c r="A15" s="3261"/>
      <c r="B15" s="3263" t="s">
        <v>1089</v>
      </c>
      <c r="C15" s="3263"/>
      <c r="D15" s="1307"/>
      <c r="E15" s="1307">
        <f>SUM(E12:E14)</f>
        <v>0</v>
      </c>
      <c r="F15" s="1308"/>
      <c r="G15" s="1305"/>
      <c r="H15" s="1312"/>
      <c r="I15" s="1313">
        <f>SUM(I12:I14)</f>
        <v>0</v>
      </c>
    </row>
    <row r="16" spans="1:9" ht="24">
      <c r="A16" s="3261" t="s">
        <v>1099</v>
      </c>
      <c r="B16" s="3262" t="s">
        <v>1100</v>
      </c>
      <c r="C16" s="3262"/>
      <c r="D16" s="1303" t="s">
        <v>1076</v>
      </c>
      <c r="E16" s="1314" t="s">
        <v>1101</v>
      </c>
      <c r="F16" s="1304" t="s">
        <v>1102</v>
      </c>
      <c r="G16" s="1305" t="s">
        <v>1080</v>
      </c>
      <c r="H16" s="1311" t="s">
        <v>1095</v>
      </c>
      <c r="I16" s="1302" t="s">
        <v>1081</v>
      </c>
    </row>
    <row r="17" spans="1:9" ht="14.25">
      <c r="A17" s="3261"/>
      <c r="B17" s="3262" t="s">
        <v>1103</v>
      </c>
      <c r="C17" s="3262"/>
      <c r="D17" s="1303"/>
      <c r="E17" s="1303"/>
      <c r="F17" s="1304"/>
      <c r="G17" s="1305"/>
      <c r="H17" s="1315"/>
      <c r="I17" s="1316">
        <f>ROUND(D17*E17*F17*G17/10000,0)</f>
        <v>0</v>
      </c>
    </row>
    <row r="18" spans="1:9" ht="14.25">
      <c r="A18" s="3261"/>
      <c r="B18" s="3262" t="s">
        <v>1104</v>
      </c>
      <c r="C18" s="3262"/>
      <c r="D18" s="1303"/>
      <c r="E18" s="1303"/>
      <c r="F18" s="1304"/>
      <c r="G18" s="1305"/>
      <c r="H18" s="1315"/>
      <c r="I18" s="1316">
        <f>ROUND(D18*E18*F18*G18/10000,0)</f>
        <v>0</v>
      </c>
    </row>
    <row r="19" spans="1:9" ht="14.25">
      <c r="A19" s="3261"/>
      <c r="B19" s="3262" t="s">
        <v>1105</v>
      </c>
      <c r="C19" s="3262"/>
      <c r="D19" s="1303"/>
      <c r="E19" s="1303"/>
      <c r="F19" s="1304"/>
      <c r="G19" s="1305"/>
      <c r="H19" s="1315"/>
      <c r="I19" s="1316">
        <f>ROUND(D19*E19*F19*G19/10000,0)</f>
        <v>0</v>
      </c>
    </row>
    <row r="20" spans="1:9">
      <c r="A20" s="3261"/>
      <c r="B20" s="3263" t="s">
        <v>1089</v>
      </c>
      <c r="C20" s="3263"/>
      <c r="D20" s="1307">
        <f>SUM(D17:D19)</f>
        <v>0</v>
      </c>
      <c r="E20" s="1307"/>
      <c r="F20" s="1308"/>
      <c r="G20" s="1305"/>
      <c r="H20" s="1312"/>
      <c r="I20" s="1313">
        <f>SUM(I17:I19)</f>
        <v>0</v>
      </c>
    </row>
    <row r="21" spans="1:9">
      <c r="A21" s="3261" t="s">
        <v>1106</v>
      </c>
      <c r="B21" s="3265"/>
      <c r="C21" s="3265"/>
      <c r="D21" s="3265"/>
      <c r="E21" s="3265"/>
      <c r="F21" s="3265"/>
      <c r="G21" s="3265"/>
      <c r="H21" s="1763">
        <v>0.1</v>
      </c>
      <c r="I21" s="1310">
        <f>ROUND(I10*H21,0)</f>
        <v>0</v>
      </c>
    </row>
    <row r="22" spans="1:9" ht="14.25">
      <c r="A22" s="3266" t="s">
        <v>1107</v>
      </c>
      <c r="B22" s="3267"/>
      <c r="C22" s="3268"/>
      <c r="D22" s="1317" t="s">
        <v>1108</v>
      </c>
      <c r="E22" s="1317" t="s">
        <v>1109</v>
      </c>
      <c r="F22" s="1318" t="s">
        <v>1110</v>
      </c>
      <c r="G22" s="1318" t="s">
        <v>1111</v>
      </c>
      <c r="H22" s="1311" t="s">
        <v>1112</v>
      </c>
      <c r="I22" s="1302" t="s">
        <v>1113</v>
      </c>
    </row>
    <row r="23" spans="1:9" ht="14.25" thickBot="1">
      <c r="A23" s="3269"/>
      <c r="B23" s="3270"/>
      <c r="C23" s="3271"/>
      <c r="D23" s="1319"/>
      <c r="E23" s="1319"/>
      <c r="F23" s="1319"/>
      <c r="G23" s="1320"/>
      <c r="H23" s="1321"/>
      <c r="I23" s="1322">
        <f>ROUND(E23*D23*F23*(1-G23)/10000,0)</f>
        <v>0</v>
      </c>
    </row>
    <row r="26" spans="1:9">
      <c r="A26" s="1323" t="s">
        <v>1114</v>
      </c>
      <c r="B26" s="1323"/>
      <c r="C26" s="1323"/>
      <c r="D26" s="1323"/>
      <c r="E26" s="3272">
        <f>C27-C30-C31-C32</f>
        <v>0</v>
      </c>
      <c r="F26" s="3272"/>
      <c r="G26" s="3272"/>
      <c r="H26" s="1735" t="s">
        <v>1336</v>
      </c>
    </row>
    <row r="27" spans="1:9">
      <c r="A27" s="1324">
        <v>1</v>
      </c>
      <c r="B27" s="1325" t="s">
        <v>1115</v>
      </c>
      <c r="C27" s="1325">
        <f>C28+C29</f>
        <v>0</v>
      </c>
      <c r="D27" s="1325"/>
      <c r="E27" s="3273"/>
      <c r="F27" s="3273"/>
      <c r="G27" s="3273"/>
    </row>
    <row r="28" spans="1:9">
      <c r="A28" s="1326" t="s">
        <v>1116</v>
      </c>
      <c r="B28" s="1325" t="s">
        <v>1117</v>
      </c>
      <c r="C28" s="1325"/>
      <c r="D28" s="1325"/>
      <c r="E28" s="3273"/>
      <c r="F28" s="3273"/>
      <c r="G28" s="327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64"/>
      <c r="F32" s="3264"/>
      <c r="G32" s="3264"/>
    </row>
    <row r="33" spans="1:7" hidden="1">
      <c r="A33" s="3274" t="s">
        <v>1126</v>
      </c>
      <c r="B33" s="3275"/>
      <c r="C33" s="3275"/>
      <c r="D33" s="3276"/>
      <c r="E33" s="3272"/>
      <c r="F33" s="3272"/>
      <c r="G33" s="3272"/>
    </row>
    <row r="34" spans="1:7" hidden="1">
      <c r="A34" s="1328">
        <v>1</v>
      </c>
      <c r="B34" s="1325" t="s">
        <v>1127</v>
      </c>
      <c r="C34" s="1325"/>
      <c r="D34" s="1325"/>
      <c r="E34" s="3273"/>
      <c r="F34" s="3273"/>
      <c r="G34" s="3273"/>
    </row>
    <row r="35" spans="1:7" hidden="1">
      <c r="A35" s="1328">
        <v>2</v>
      </c>
      <c r="B35" s="1325" t="s">
        <v>1128</v>
      </c>
      <c r="C35" s="1325"/>
      <c r="D35" s="1325"/>
      <c r="E35" s="3273"/>
      <c r="F35" s="3273"/>
      <c r="G35" s="3273"/>
    </row>
    <row r="36" spans="1:7" hidden="1">
      <c r="A36" s="1328">
        <v>3</v>
      </c>
      <c r="B36" s="1325" t="s">
        <v>1129</v>
      </c>
      <c r="C36" s="1325"/>
      <c r="D36" s="1325"/>
      <c r="E36" s="3273"/>
      <c r="F36" s="3273"/>
      <c r="G36" s="3273"/>
    </row>
    <row r="37" spans="1:7" hidden="1">
      <c r="A37" s="1328">
        <v>4</v>
      </c>
      <c r="B37" s="1325" t="s">
        <v>1130</v>
      </c>
      <c r="C37" s="1325"/>
      <c r="D37" s="1325"/>
      <c r="E37" s="3273"/>
      <c r="F37" s="3273"/>
      <c r="G37" s="3273"/>
    </row>
    <row r="38" spans="1:7" hidden="1">
      <c r="A38" s="3274" t="s">
        <v>1131</v>
      </c>
      <c r="B38" s="3275"/>
      <c r="C38" s="3275"/>
      <c r="D38" s="3276"/>
      <c r="E38" s="3272"/>
      <c r="F38" s="3272"/>
      <c r="G38" s="32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2521</v>
      </c>
      <c r="B1" s="2580" t="s">
        <v>2522</v>
      </c>
      <c r="C1" s="1632" t="s">
        <v>2523</v>
      </c>
      <c r="D1" s="1619"/>
      <c r="E1" s="2581"/>
      <c r="F1" s="2582" t="s">
        <v>2524</v>
      </c>
      <c r="G1" s="1629" t="s">
        <v>2525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1389</v>
      </c>
      <c r="B2" s="1417" t="e">
        <f ca="1">IF(C2="——",ROUND(C49*D3/10000,0),ROUND(C49*D3/10000,0)-D2)</f>
        <v>#DIV/0!</v>
      </c>
      <c r="C2" s="2584"/>
      <c r="D2" s="1365" t="e">
        <f ca="1">SUMIF(INDIRECT("'"&amp;F2&amp;"'"&amp;"!A:A"),"承租人权益价值",INDIRECT("'"&amp;F2&amp;"'"&amp;"!c:c"))</f>
        <v>#REF!</v>
      </c>
      <c r="E2" s="2585" t="s">
        <v>2526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2527</v>
      </c>
      <c r="D3" s="399">
        <f>IF(D1="",'数据-汇总表'!E3,SUMIF('数据-汇总表'!$C19:$C33,D1,'数据-汇总表'!$E19:$E33))</f>
        <v>10771.04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2528</v>
      </c>
      <c r="B4" s="402"/>
      <c r="C4" s="3295" t="s">
        <v>2529</v>
      </c>
      <c r="D4" s="3296"/>
      <c r="E4" s="3297" t="s">
        <v>2530</v>
      </c>
      <c r="F4" s="3298"/>
      <c r="G4" s="3295" t="s">
        <v>2531</v>
      </c>
      <c r="H4" s="3296"/>
      <c r="I4" s="3295" t="s">
        <v>2532</v>
      </c>
      <c r="J4" s="3296"/>
      <c r="K4" s="2594" t="s">
        <v>2533</v>
      </c>
      <c r="L4" s="1130"/>
      <c r="M4" s="1131"/>
      <c r="N4" s="1131"/>
      <c r="O4" s="1131"/>
      <c r="P4" s="3299" t="s">
        <v>2534</v>
      </c>
      <c r="Q4" s="3300"/>
      <c r="R4" s="3282" t="s">
        <v>2530</v>
      </c>
      <c r="S4" s="3283"/>
      <c r="T4" s="3282" t="s">
        <v>2531</v>
      </c>
      <c r="U4" s="3283"/>
      <c r="V4" s="3307" t="s">
        <v>2532</v>
      </c>
      <c r="W4" s="3307"/>
      <c r="X4" s="1811"/>
      <c r="Y4" s="3282" t="s">
        <v>2534</v>
      </c>
      <c r="Z4" s="3283"/>
      <c r="AA4" s="3277" t="s">
        <v>2530</v>
      </c>
      <c r="AB4" s="3277" t="s">
        <v>2531</v>
      </c>
      <c r="AC4" s="3277" t="s">
        <v>2532</v>
      </c>
    </row>
    <row r="5" spans="1:29" ht="15">
      <c r="A5" s="404"/>
      <c r="B5" s="405"/>
      <c r="C5" s="3288" t="s">
        <v>2535</v>
      </c>
      <c r="D5" s="3289"/>
      <c r="E5" s="3286" t="s">
        <v>2536</v>
      </c>
      <c r="F5" s="3287"/>
      <c r="G5" s="3288" t="s">
        <v>2537</v>
      </c>
      <c r="H5" s="3289"/>
      <c r="I5" s="3288" t="s">
        <v>2538</v>
      </c>
      <c r="J5" s="3289"/>
      <c r="K5" s="2595"/>
      <c r="L5" s="1130"/>
      <c r="M5" s="1131"/>
      <c r="N5" s="1131"/>
      <c r="O5" s="1131"/>
      <c r="P5" s="3301"/>
      <c r="Q5" s="3302"/>
      <c r="R5" s="3284"/>
      <c r="S5" s="3285"/>
      <c r="T5" s="3284"/>
      <c r="U5" s="3285"/>
      <c r="V5" s="3307"/>
      <c r="W5" s="3307"/>
      <c r="X5" s="1811"/>
      <c r="Y5" s="3284"/>
      <c r="Z5" s="3285"/>
      <c r="AA5" s="3278"/>
      <c r="AB5" s="3278"/>
      <c r="AC5" s="3278"/>
    </row>
    <row r="6" spans="1:29" ht="15.75" thickBot="1">
      <c r="A6" s="406"/>
      <c r="B6" s="407"/>
      <c r="C6" s="3290" t="s">
        <v>2539</v>
      </c>
      <c r="D6" s="3291"/>
      <c r="E6" s="3292" t="s">
        <v>2539</v>
      </c>
      <c r="F6" s="3293"/>
      <c r="G6" s="3290" t="s">
        <v>2539</v>
      </c>
      <c r="H6" s="3291"/>
      <c r="I6" s="3290" t="s">
        <v>2539</v>
      </c>
      <c r="J6" s="3291"/>
      <c r="K6" s="2595" t="s">
        <v>2540</v>
      </c>
      <c r="L6" s="1130"/>
      <c r="M6" s="1131"/>
      <c r="N6" s="1131"/>
      <c r="O6" s="1131"/>
      <c r="P6" s="3303"/>
      <c r="Q6" s="3304"/>
      <c r="R6" s="3284"/>
      <c r="S6" s="3285"/>
      <c r="T6" s="3305"/>
      <c r="U6" s="3306"/>
      <c r="V6" s="3307"/>
      <c r="W6" s="3307"/>
      <c r="X6" s="1811"/>
      <c r="Y6" s="3305"/>
      <c r="Z6" s="3306"/>
      <c r="AA6" s="3279"/>
      <c r="AB6" s="3279"/>
      <c r="AC6" s="3279"/>
    </row>
    <row r="7" spans="1:29" s="117" customFormat="1" ht="15.75" thickBot="1">
      <c r="A7" s="408" t="s">
        <v>2541</v>
      </c>
      <c r="B7" s="409"/>
      <c r="C7" s="410">
        <f>'数据-取费表'!B2</f>
        <v>43671</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80" t="s">
        <v>2542</v>
      </c>
      <c r="Q7" s="3308"/>
      <c r="R7" s="770" t="s">
        <v>23</v>
      </c>
      <c r="S7" s="771">
        <f t="shared" ref="S7:S15" si="0">F7</f>
        <v>0</v>
      </c>
      <c r="T7" s="770" t="s">
        <v>23</v>
      </c>
      <c r="U7" s="771">
        <f t="shared" ref="U7:U15" si="1">H7</f>
        <v>0</v>
      </c>
      <c r="V7" s="770" t="s">
        <v>23</v>
      </c>
      <c r="W7" s="771">
        <f t="shared" ref="W7:W15" si="2">J7</f>
        <v>0</v>
      </c>
      <c r="X7" s="772"/>
      <c r="Y7" s="3280" t="s">
        <v>2542</v>
      </c>
      <c r="Z7" s="3281"/>
      <c r="AA7" s="773" t="e">
        <f>D7/F7</f>
        <v>#DIV/0!</v>
      </c>
      <c r="AB7" s="773" t="e">
        <f>D7/H7</f>
        <v>#DIV/0!</v>
      </c>
      <c r="AC7" s="773" t="e">
        <f>D7/J7</f>
        <v>#DIV/0!</v>
      </c>
    </row>
    <row r="8" spans="1:29" s="117" customFormat="1" ht="15.75" thickBot="1">
      <c r="A8" s="408" t="s">
        <v>2543</v>
      </c>
      <c r="B8" s="409"/>
      <c r="C8" s="414" t="s">
        <v>2544</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80" t="s">
        <v>2545</v>
      </c>
      <c r="Q8" s="3281"/>
      <c r="R8" s="770" t="s">
        <v>23</v>
      </c>
      <c r="S8" s="771">
        <f t="shared" si="0"/>
        <v>0</v>
      </c>
      <c r="T8" s="770" t="s">
        <v>23</v>
      </c>
      <c r="U8" s="771">
        <f t="shared" si="1"/>
        <v>0</v>
      </c>
      <c r="V8" s="770" t="s">
        <v>23</v>
      </c>
      <c r="W8" s="771">
        <f t="shared" si="2"/>
        <v>0</v>
      </c>
      <c r="X8" s="772"/>
      <c r="Y8" s="3280" t="s">
        <v>2545</v>
      </c>
      <c r="Z8" s="328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94"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94"/>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94"/>
      <c r="Q11" s="1793" t="str">
        <f t="shared" si="6"/>
        <v>容积率</v>
      </c>
      <c r="R11" s="770" t="s">
        <v>21</v>
      </c>
      <c r="S11" s="771" t="e">
        <f t="shared" si="0"/>
        <v>#N/A</v>
      </c>
      <c r="T11" s="770" t="s">
        <v>21</v>
      </c>
      <c r="U11" s="771" t="e">
        <f t="shared" si="1"/>
        <v>#N/A</v>
      </c>
      <c r="V11" s="770" t="s">
        <v>21</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94"/>
      <c r="Q12" s="1793">
        <f t="shared" si="6"/>
        <v>111</v>
      </c>
      <c r="R12" s="770" t="s">
        <v>21</v>
      </c>
      <c r="S12" s="771">
        <f t="shared" si="0"/>
        <v>100</v>
      </c>
      <c r="T12" s="770" t="s">
        <v>21</v>
      </c>
      <c r="U12" s="771">
        <f t="shared" si="1"/>
        <v>100</v>
      </c>
      <c r="V12" s="770" t="s">
        <v>21</v>
      </c>
      <c r="W12" s="771">
        <f t="shared" si="2"/>
        <v>100</v>
      </c>
      <c r="X12" s="772"/>
      <c r="Y12" s="31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94"/>
      <c r="Q13" s="1793">
        <f t="shared" si="6"/>
        <v>111</v>
      </c>
      <c r="R13" s="770" t="s">
        <v>21</v>
      </c>
      <c r="S13" s="771">
        <f t="shared" si="0"/>
        <v>100</v>
      </c>
      <c r="T13" s="770" t="s">
        <v>21</v>
      </c>
      <c r="U13" s="771">
        <f t="shared" si="1"/>
        <v>100</v>
      </c>
      <c r="V13" s="770" t="s">
        <v>21</v>
      </c>
      <c r="W13" s="771">
        <f t="shared" si="2"/>
        <v>100</v>
      </c>
      <c r="X13" s="772"/>
      <c r="Y13" s="311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94"/>
      <c r="Q14" s="1793">
        <f t="shared" si="6"/>
        <v>111</v>
      </c>
      <c r="R14" s="770" t="s">
        <v>21</v>
      </c>
      <c r="S14" s="771">
        <f t="shared" si="0"/>
        <v>100</v>
      </c>
      <c r="T14" s="770" t="s">
        <v>21</v>
      </c>
      <c r="U14" s="771">
        <f t="shared" si="1"/>
        <v>100</v>
      </c>
      <c r="V14" s="770" t="s">
        <v>21</v>
      </c>
      <c r="W14" s="771">
        <f t="shared" si="2"/>
        <v>100</v>
      </c>
      <c r="X14" s="772"/>
      <c r="Y14" s="3115"/>
      <c r="Z14" s="55">
        <f t="shared" si="7"/>
        <v>111</v>
      </c>
      <c r="AA14" s="773">
        <f t="shared" si="3"/>
        <v>1</v>
      </c>
      <c r="AB14" s="773">
        <f t="shared" si="4"/>
        <v>1</v>
      </c>
      <c r="AC14" s="773">
        <f t="shared" si="5"/>
        <v>1</v>
      </c>
    </row>
    <row r="15" spans="1:29" ht="99.75">
      <c r="A15" s="440" t="s">
        <v>2552</v>
      </c>
      <c r="B15" s="69" t="s">
        <v>2080</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21" t="s">
        <v>2553</v>
      </c>
      <c r="Q15" s="1808" t="str">
        <f t="shared" si="6"/>
        <v>居住社区成熟度</v>
      </c>
      <c r="R15" s="774" t="s">
        <v>21</v>
      </c>
      <c r="S15" s="775">
        <f t="shared" si="0"/>
        <v>100</v>
      </c>
      <c r="T15" s="774" t="s">
        <v>21</v>
      </c>
      <c r="U15" s="775">
        <f t="shared" si="1"/>
        <v>100</v>
      </c>
      <c r="V15" s="774" t="s">
        <v>21</v>
      </c>
      <c r="W15" s="775">
        <f t="shared" si="2"/>
        <v>100</v>
      </c>
      <c r="X15" s="1811"/>
      <c r="Y15" s="3314" t="s">
        <v>2553</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40"/>
      <c r="M16" s="1131"/>
      <c r="N16" s="1131"/>
      <c r="O16" s="1131"/>
      <c r="P16" s="3322"/>
      <c r="Q16" s="1808"/>
      <c r="R16" s="774"/>
      <c r="S16" s="775"/>
      <c r="T16" s="774"/>
      <c r="U16" s="775"/>
      <c r="V16" s="774"/>
      <c r="W16" s="775"/>
      <c r="X16" s="1811"/>
      <c r="Y16" s="3315"/>
      <c r="Z16" s="1812"/>
      <c r="AA16" s="1809">
        <v>1</v>
      </c>
      <c r="AB16" s="1809">
        <v>1</v>
      </c>
      <c r="AC16" s="1809">
        <v>1</v>
      </c>
    </row>
    <row r="17" spans="1:29" ht="85.5">
      <c r="A17" s="428"/>
      <c r="B17" s="451" t="s">
        <v>2092</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22"/>
      <c r="Q17" s="1808" t="str">
        <f>B17</f>
        <v>交通便捷度</v>
      </c>
      <c r="R17" s="774" t="s">
        <v>21</v>
      </c>
      <c r="S17" s="775">
        <f>F17</f>
        <v>100</v>
      </c>
      <c r="T17" s="774" t="s">
        <v>21</v>
      </c>
      <c r="U17" s="775">
        <f>H17</f>
        <v>100</v>
      </c>
      <c r="V17" s="774" t="s">
        <v>21</v>
      </c>
      <c r="W17" s="775">
        <f>J17</f>
        <v>100</v>
      </c>
      <c r="X17" s="1811"/>
      <c r="Y17" s="3315"/>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40"/>
      <c r="M18" s="1131"/>
      <c r="N18" s="1131"/>
      <c r="O18" s="1131"/>
      <c r="P18" s="3322"/>
      <c r="Q18" s="1808"/>
      <c r="R18" s="774"/>
      <c r="S18" s="775"/>
      <c r="T18" s="774"/>
      <c r="U18" s="775"/>
      <c r="V18" s="774"/>
      <c r="W18" s="775"/>
      <c r="X18" s="1811"/>
      <c r="Y18" s="3315"/>
      <c r="Z18" s="1812"/>
      <c r="AA18" s="1809">
        <v>1</v>
      </c>
      <c r="AB18" s="1809">
        <v>1</v>
      </c>
      <c r="AC18" s="1809">
        <v>1</v>
      </c>
    </row>
    <row r="19" spans="1:29" ht="42.75">
      <c r="A19" s="428"/>
      <c r="B19" s="451" t="s">
        <v>2090</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22"/>
      <c r="Q19" s="1808" t="str">
        <f>B19</f>
        <v>公共配套设施</v>
      </c>
      <c r="R19" s="774" t="s">
        <v>21</v>
      </c>
      <c r="S19" s="775">
        <f>F19</f>
        <v>100</v>
      </c>
      <c r="T19" s="774" t="s">
        <v>21</v>
      </c>
      <c r="U19" s="775">
        <f>H19</f>
        <v>100</v>
      </c>
      <c r="V19" s="774" t="s">
        <v>21</v>
      </c>
      <c r="W19" s="775">
        <f>J19</f>
        <v>100</v>
      </c>
      <c r="X19" s="1811"/>
      <c r="Y19" s="3315"/>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40"/>
      <c r="M20" s="1131"/>
      <c r="N20" s="1131"/>
      <c r="O20" s="1131"/>
      <c r="P20" s="3322"/>
      <c r="Q20" s="1808"/>
      <c r="R20" s="774"/>
      <c r="S20" s="775"/>
      <c r="T20" s="774"/>
      <c r="U20" s="775"/>
      <c r="V20" s="774"/>
      <c r="W20" s="775"/>
      <c r="X20" s="1811"/>
      <c r="Y20" s="3315"/>
      <c r="Z20" s="1812"/>
      <c r="AA20" s="1809">
        <v>1</v>
      </c>
      <c r="AB20" s="1809">
        <v>1</v>
      </c>
      <c r="AC20" s="1809">
        <v>1</v>
      </c>
    </row>
    <row r="21" spans="1:29" ht="28.5">
      <c r="A21" s="428"/>
      <c r="B21" s="1384" t="s">
        <v>2093</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22"/>
      <c r="Q21" s="1808" t="str">
        <f>B21</f>
        <v>基础设施水平</v>
      </c>
      <c r="R21" s="774" t="s">
        <v>17</v>
      </c>
      <c r="S21" s="775">
        <f>F21</f>
        <v>100</v>
      </c>
      <c r="T21" s="774" t="s">
        <v>17</v>
      </c>
      <c r="U21" s="775">
        <f>H21</f>
        <v>100</v>
      </c>
      <c r="V21" s="774" t="s">
        <v>17</v>
      </c>
      <c r="W21" s="775">
        <f>J21</f>
        <v>100</v>
      </c>
      <c r="X21" s="1811"/>
      <c r="Y21" s="3315"/>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8"/>
      <c r="G22" s="2609"/>
      <c r="H22" s="448"/>
      <c r="I22" s="447"/>
      <c r="J22" s="448"/>
      <c r="K22" s="2610"/>
      <c r="L22" s="1140"/>
      <c r="M22" s="1131"/>
      <c r="N22" s="1131"/>
      <c r="O22" s="1131"/>
      <c r="P22" s="3322"/>
      <c r="Q22" s="1808"/>
      <c r="R22" s="774"/>
      <c r="S22" s="775"/>
      <c r="T22" s="774"/>
      <c r="U22" s="775"/>
      <c r="V22" s="774"/>
      <c r="W22" s="775"/>
      <c r="X22" s="1811"/>
      <c r="Y22" s="3315"/>
      <c r="Z22" s="1812"/>
      <c r="AA22" s="1809">
        <v>1</v>
      </c>
      <c r="AB22" s="1809">
        <v>1</v>
      </c>
      <c r="AC22" s="1809">
        <v>1</v>
      </c>
    </row>
    <row r="23" spans="1:29" ht="57">
      <c r="A23" s="428"/>
      <c r="B23" s="451" t="s">
        <v>2097</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22"/>
      <c r="Q23" s="1808" t="str">
        <f>B23</f>
        <v>自然及人文环境</v>
      </c>
      <c r="R23" s="774" t="s">
        <v>21</v>
      </c>
      <c r="S23" s="775">
        <f>F23</f>
        <v>100</v>
      </c>
      <c r="T23" s="774" t="s">
        <v>21</v>
      </c>
      <c r="U23" s="775">
        <f>H23</f>
        <v>100</v>
      </c>
      <c r="V23" s="774" t="s">
        <v>21</v>
      </c>
      <c r="W23" s="775">
        <f>J23</f>
        <v>100</v>
      </c>
      <c r="X23" s="1811"/>
      <c r="Y23" s="3315"/>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40"/>
      <c r="M24" s="1131"/>
      <c r="N24" s="1131"/>
      <c r="O24" s="1131"/>
      <c r="P24" s="3322"/>
      <c r="Q24" s="1808"/>
      <c r="R24" s="774"/>
      <c r="S24" s="775"/>
      <c r="T24" s="774"/>
      <c r="U24" s="775"/>
      <c r="V24" s="774"/>
      <c r="W24" s="775"/>
      <c r="X24" s="1811"/>
      <c r="Y24" s="3315"/>
      <c r="Z24" s="1812"/>
      <c r="AA24" s="1809">
        <v>1</v>
      </c>
      <c r="AB24" s="1809">
        <v>1</v>
      </c>
      <c r="AC24" s="1809">
        <v>1</v>
      </c>
    </row>
    <row r="25" spans="1:29" ht="15">
      <c r="A25" s="428"/>
      <c r="B25" s="422" t="s">
        <v>2554</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322"/>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15"/>
      <c r="Z25" s="1812" t="str">
        <f>Q25</f>
        <v>楼层-1</v>
      </c>
      <c r="AA25" s="1809">
        <f t="shared" ref="AA25:AA46" si="15">D25/F25</f>
        <v>1</v>
      </c>
      <c r="AB25" s="1809">
        <f t="shared" ref="AB25:AB46" si="16">D25/H25</f>
        <v>1</v>
      </c>
      <c r="AC25" s="1809">
        <f t="shared" ref="AC25:AC46" si="17">D25/J25</f>
        <v>1</v>
      </c>
    </row>
    <row r="26" spans="1:29" ht="15">
      <c r="A26" s="428"/>
      <c r="B26" s="422" t="s">
        <v>2555</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322"/>
      <c r="Q26" s="1808" t="str">
        <f t="shared" si="11"/>
        <v>朝向</v>
      </c>
      <c r="R26" s="774" t="s">
        <v>21</v>
      </c>
      <c r="S26" s="775">
        <f t="shared" si="12"/>
        <v>100</v>
      </c>
      <c r="T26" s="774" t="s">
        <v>21</v>
      </c>
      <c r="U26" s="775">
        <f t="shared" si="13"/>
        <v>100</v>
      </c>
      <c r="V26" s="774" t="s">
        <v>21</v>
      </c>
      <c r="W26" s="775">
        <f t="shared" si="14"/>
        <v>100</v>
      </c>
      <c r="X26" s="1811"/>
      <c r="Y26" s="3315"/>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322"/>
      <c r="Q27" s="1793">
        <f t="shared" si="11"/>
        <v>111</v>
      </c>
      <c r="R27" s="770" t="s">
        <v>21</v>
      </c>
      <c r="S27" s="771">
        <f t="shared" si="12"/>
        <v>100</v>
      </c>
      <c r="T27" s="770" t="s">
        <v>21</v>
      </c>
      <c r="U27" s="771">
        <f t="shared" si="13"/>
        <v>100</v>
      </c>
      <c r="V27" s="770" t="s">
        <v>21</v>
      </c>
      <c r="W27" s="771">
        <f t="shared" si="14"/>
        <v>100</v>
      </c>
      <c r="X27" s="772"/>
      <c r="Y27" s="3315"/>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322"/>
      <c r="Q28" s="1808">
        <f t="shared" si="11"/>
        <v>111</v>
      </c>
      <c r="R28" s="774" t="s">
        <v>21</v>
      </c>
      <c r="S28" s="775">
        <f t="shared" si="12"/>
        <v>100</v>
      </c>
      <c r="T28" s="774" t="s">
        <v>21</v>
      </c>
      <c r="U28" s="775">
        <f t="shared" si="13"/>
        <v>100</v>
      </c>
      <c r="V28" s="774" t="s">
        <v>21</v>
      </c>
      <c r="W28" s="775">
        <f t="shared" si="14"/>
        <v>100</v>
      </c>
      <c r="X28" s="1811"/>
      <c r="Y28" s="3315"/>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322"/>
      <c r="Q29" s="1808">
        <f t="shared" si="11"/>
        <v>111</v>
      </c>
      <c r="R29" s="774" t="s">
        <v>21</v>
      </c>
      <c r="S29" s="775">
        <f t="shared" si="12"/>
        <v>100</v>
      </c>
      <c r="T29" s="774" t="s">
        <v>21</v>
      </c>
      <c r="U29" s="775">
        <f t="shared" si="13"/>
        <v>100</v>
      </c>
      <c r="V29" s="774" t="s">
        <v>21</v>
      </c>
      <c r="W29" s="775">
        <f t="shared" si="14"/>
        <v>100</v>
      </c>
      <c r="X29" s="1811"/>
      <c r="Y29" s="3315"/>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322"/>
      <c r="Q30" s="1808">
        <f t="shared" si="11"/>
        <v>111</v>
      </c>
      <c r="R30" s="774" t="s">
        <v>21</v>
      </c>
      <c r="S30" s="775">
        <f t="shared" si="12"/>
        <v>100</v>
      </c>
      <c r="T30" s="774" t="s">
        <v>21</v>
      </c>
      <c r="U30" s="775">
        <f t="shared" si="13"/>
        <v>100</v>
      </c>
      <c r="V30" s="774" t="s">
        <v>21</v>
      </c>
      <c r="W30" s="775">
        <f t="shared" si="14"/>
        <v>100</v>
      </c>
      <c r="X30" s="1811"/>
      <c r="Y30" s="3315"/>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322"/>
      <c r="Q31" s="1808">
        <f t="shared" si="11"/>
        <v>111</v>
      </c>
      <c r="R31" s="774" t="s">
        <v>21</v>
      </c>
      <c r="S31" s="775">
        <f t="shared" si="12"/>
        <v>100</v>
      </c>
      <c r="T31" s="774" t="s">
        <v>21</v>
      </c>
      <c r="U31" s="775">
        <f t="shared" si="13"/>
        <v>100</v>
      </c>
      <c r="V31" s="774" t="s">
        <v>21</v>
      </c>
      <c r="W31" s="775">
        <f t="shared" si="14"/>
        <v>100</v>
      </c>
      <c r="X31" s="1811"/>
      <c r="Y31" s="3315"/>
      <c r="Z31" s="1812">
        <f t="shared" si="18"/>
        <v>111</v>
      </c>
      <c r="AA31" s="1809">
        <f t="shared" si="15"/>
        <v>1</v>
      </c>
      <c r="AB31" s="1809">
        <f t="shared" si="16"/>
        <v>1</v>
      </c>
      <c r="AC31" s="1809">
        <f t="shared" si="17"/>
        <v>1</v>
      </c>
    </row>
    <row r="32" spans="1:29" ht="15">
      <c r="A32" s="440" t="s">
        <v>2556</v>
      </c>
      <c r="B32" s="71" t="s">
        <v>2557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316" t="s">
        <v>2558</v>
      </c>
      <c r="Q32" s="1808" t="str">
        <f t="shared" si="11"/>
        <v>建筑类型</v>
      </c>
      <c r="R32" s="774" t="s">
        <v>21</v>
      </c>
      <c r="S32" s="775">
        <f t="shared" si="12"/>
        <v>100</v>
      </c>
      <c r="T32" s="774" t="s">
        <v>21</v>
      </c>
      <c r="U32" s="775">
        <f t="shared" si="13"/>
        <v>100</v>
      </c>
      <c r="V32" s="774" t="s">
        <v>21</v>
      </c>
      <c r="W32" s="775">
        <f t="shared" si="14"/>
        <v>100</v>
      </c>
      <c r="X32" s="1811"/>
      <c r="Y32" s="3319" t="s">
        <v>2558</v>
      </c>
      <c r="Z32" s="1812" t="str">
        <f t="shared" si="18"/>
        <v>建筑类型</v>
      </c>
      <c r="AA32" s="1809">
        <f t="shared" si="15"/>
        <v>1</v>
      </c>
      <c r="AB32" s="1809">
        <f t="shared" si="16"/>
        <v>1</v>
      </c>
      <c r="AC32" s="1809">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317"/>
      <c r="Q33" s="776" t="str">
        <f t="shared" si="11"/>
        <v>项目建筑规模</v>
      </c>
      <c r="R33" s="777" t="s">
        <v>21</v>
      </c>
      <c r="S33" s="778" t="e">
        <f t="shared" si="12"/>
        <v>#N/A</v>
      </c>
      <c r="T33" s="777" t="s">
        <v>21</v>
      </c>
      <c r="U33" s="778" t="e">
        <f t="shared" si="13"/>
        <v>#N/A</v>
      </c>
      <c r="V33" s="777" t="s">
        <v>21</v>
      </c>
      <c r="W33" s="778" t="e">
        <f t="shared" si="14"/>
        <v>#N/A</v>
      </c>
      <c r="X33" s="779"/>
      <c r="Y33" s="3319"/>
      <c r="Z33" s="780" t="str">
        <f t="shared" si="18"/>
        <v>项目建筑规模</v>
      </c>
      <c r="AA33" s="1809" t="e">
        <f t="shared" si="15"/>
        <v>#N/A</v>
      </c>
      <c r="AB33" s="1809" t="e">
        <f t="shared" si="16"/>
        <v>#N/A</v>
      </c>
      <c r="AC33" s="1809" t="e">
        <f t="shared" si="17"/>
        <v>#N/A</v>
      </c>
    </row>
    <row r="34" spans="1:29" ht="15">
      <c r="A34" s="472"/>
      <c r="B34" s="422" t="s">
        <v>2560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317"/>
      <c r="Q34" s="1808" t="str">
        <f t="shared" si="11"/>
        <v>建筑结构</v>
      </c>
      <c r="R34" s="774" t="s">
        <v>21</v>
      </c>
      <c r="S34" s="775">
        <f t="shared" si="12"/>
        <v>100</v>
      </c>
      <c r="T34" s="774" t="s">
        <v>21</v>
      </c>
      <c r="U34" s="775">
        <f t="shared" si="13"/>
        <v>100</v>
      </c>
      <c r="V34" s="774" t="s">
        <v>21</v>
      </c>
      <c r="W34" s="775">
        <f t="shared" si="14"/>
        <v>100</v>
      </c>
      <c r="X34" s="1811"/>
      <c r="Y34" s="3319"/>
      <c r="Z34" s="1812" t="str">
        <f t="shared" si="18"/>
        <v>建筑结构</v>
      </c>
      <c r="AA34" s="1809">
        <f t="shared" si="15"/>
        <v>1</v>
      </c>
      <c r="AB34" s="1809">
        <f t="shared" si="16"/>
        <v>1</v>
      </c>
      <c r="AC34" s="1809">
        <f t="shared" si="17"/>
        <v>1</v>
      </c>
    </row>
    <row r="35" spans="1:29" ht="15">
      <c r="A35" s="472"/>
      <c r="B35" s="422" t="s">
        <v>2561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317"/>
      <c r="Q35" s="1808" t="str">
        <f t="shared" si="11"/>
        <v>建筑品质</v>
      </c>
      <c r="R35" s="774" t="s">
        <v>21</v>
      </c>
      <c r="S35" s="775">
        <f t="shared" si="12"/>
        <v>100</v>
      </c>
      <c r="T35" s="774" t="s">
        <v>21</v>
      </c>
      <c r="U35" s="775">
        <f t="shared" si="13"/>
        <v>100</v>
      </c>
      <c r="V35" s="774" t="s">
        <v>21</v>
      </c>
      <c r="W35" s="775">
        <f t="shared" si="14"/>
        <v>100</v>
      </c>
      <c r="X35" s="1811"/>
      <c r="Y35" s="3319"/>
      <c r="Z35" s="1812" t="str">
        <f t="shared" si="18"/>
        <v>建筑品质</v>
      </c>
      <c r="AA35" s="1809">
        <f t="shared" si="15"/>
        <v>1</v>
      </c>
      <c r="AB35" s="1809">
        <f t="shared" si="16"/>
        <v>1</v>
      </c>
      <c r="AC35" s="1809">
        <f t="shared" si="17"/>
        <v>1</v>
      </c>
    </row>
    <row r="36" spans="1:29" ht="15">
      <c r="A36" s="472"/>
      <c r="B36" s="422" t="s">
        <v>2562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317"/>
      <c r="Q36" s="1808" t="str">
        <f t="shared" si="11"/>
        <v>公共部分装修</v>
      </c>
      <c r="R36" s="774" t="s">
        <v>21</v>
      </c>
      <c r="S36" s="775">
        <f t="shared" si="12"/>
        <v>100</v>
      </c>
      <c r="T36" s="774" t="s">
        <v>21</v>
      </c>
      <c r="U36" s="775">
        <f t="shared" si="13"/>
        <v>100</v>
      </c>
      <c r="V36" s="774" t="s">
        <v>21</v>
      </c>
      <c r="W36" s="775">
        <f t="shared" si="14"/>
        <v>100</v>
      </c>
      <c r="X36" s="1811"/>
      <c r="Y36" s="3319"/>
      <c r="Z36" s="1812" t="str">
        <f t="shared" si="18"/>
        <v>公共部分装修</v>
      </c>
      <c r="AA36" s="1809">
        <f t="shared" si="15"/>
        <v>1</v>
      </c>
      <c r="AB36" s="1809">
        <f t="shared" si="16"/>
        <v>1</v>
      </c>
      <c r="AC36" s="1809">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7"/>
      <c r="Q37" s="1793" t="str">
        <f t="shared" si="11"/>
        <v>成新度</v>
      </c>
      <c r="R37" s="770" t="s">
        <v>21</v>
      </c>
      <c r="S37" s="771" t="e">
        <f t="shared" si="12"/>
        <v>#N/A</v>
      </c>
      <c r="T37" s="770" t="s">
        <v>21</v>
      </c>
      <c r="U37" s="771" t="e">
        <f t="shared" si="13"/>
        <v>#N/A</v>
      </c>
      <c r="V37" s="770" t="s">
        <v>21</v>
      </c>
      <c r="W37" s="771" t="e">
        <f t="shared" si="14"/>
        <v>#N/A</v>
      </c>
      <c r="X37" s="772"/>
      <c r="Y37" s="3319"/>
      <c r="Z37" s="55" t="str">
        <f t="shared" si="18"/>
        <v>成新度</v>
      </c>
      <c r="AA37" s="773" t="e">
        <f t="shared" si="15"/>
        <v>#N/A</v>
      </c>
      <c r="AB37" s="773" t="e">
        <f t="shared" si="16"/>
        <v>#N/A</v>
      </c>
      <c r="AC37" s="773" t="e">
        <f t="shared" si="17"/>
        <v>#N/A</v>
      </c>
    </row>
    <row r="38" spans="1:29" ht="15">
      <c r="A38" s="472"/>
      <c r="B38" s="422" t="s">
        <v>2564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317" t="s">
        <v>2558</v>
      </c>
      <c r="Q38" s="1808" t="str">
        <f t="shared" si="11"/>
        <v>物业管理</v>
      </c>
      <c r="R38" s="774" t="s">
        <v>21</v>
      </c>
      <c r="S38" s="775">
        <f t="shared" si="12"/>
        <v>100</v>
      </c>
      <c r="T38" s="774" t="s">
        <v>21</v>
      </c>
      <c r="U38" s="775">
        <f t="shared" si="13"/>
        <v>100</v>
      </c>
      <c r="V38" s="774" t="s">
        <v>21</v>
      </c>
      <c r="W38" s="775">
        <f t="shared" si="14"/>
        <v>100</v>
      </c>
      <c r="X38" s="1811"/>
      <c r="Y38" s="3319" t="s">
        <v>2558</v>
      </c>
      <c r="Z38" s="1812" t="str">
        <f t="shared" si="18"/>
        <v>物业管理</v>
      </c>
      <c r="AA38" s="1809">
        <f t="shared" si="15"/>
        <v>1</v>
      </c>
      <c r="AB38" s="1809">
        <f t="shared" si="16"/>
        <v>1</v>
      </c>
      <c r="AC38" s="1809">
        <f t="shared" si="17"/>
        <v>1</v>
      </c>
    </row>
    <row r="39" spans="1:29" ht="15">
      <c r="A39" s="472"/>
      <c r="B39" s="422" t="s">
        <v>2565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317"/>
      <c r="Q39" s="1808" t="str">
        <f t="shared" si="11"/>
        <v>市政基础设施</v>
      </c>
      <c r="R39" s="774" t="s">
        <v>21</v>
      </c>
      <c r="S39" s="775">
        <f t="shared" si="12"/>
        <v>100</v>
      </c>
      <c r="T39" s="774" t="s">
        <v>21</v>
      </c>
      <c r="U39" s="775">
        <f t="shared" si="13"/>
        <v>100</v>
      </c>
      <c r="V39" s="774" t="s">
        <v>21</v>
      </c>
      <c r="W39" s="775">
        <f t="shared" si="14"/>
        <v>100</v>
      </c>
      <c r="X39" s="1811"/>
      <c r="Y39" s="3319"/>
      <c r="Z39" s="1812" t="str">
        <f t="shared" si="18"/>
        <v>市政基础设施</v>
      </c>
      <c r="AA39" s="1809">
        <f t="shared" si="15"/>
        <v>1</v>
      </c>
      <c r="AB39" s="1809">
        <f t="shared" si="16"/>
        <v>1</v>
      </c>
      <c r="AC39" s="1809">
        <f t="shared" si="17"/>
        <v>1</v>
      </c>
    </row>
    <row r="40" spans="1:29" ht="15">
      <c r="A40" s="472"/>
      <c r="B40" s="422" t="s">
        <v>2566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317"/>
      <c r="Q40" s="1808" t="str">
        <f t="shared" si="11"/>
        <v>房型</v>
      </c>
      <c r="R40" s="774" t="s">
        <v>21</v>
      </c>
      <c r="S40" s="775">
        <f t="shared" si="12"/>
        <v>100</v>
      </c>
      <c r="T40" s="774" t="s">
        <v>21</v>
      </c>
      <c r="U40" s="775">
        <f t="shared" si="13"/>
        <v>100</v>
      </c>
      <c r="V40" s="774" t="s">
        <v>21</v>
      </c>
      <c r="W40" s="775">
        <f t="shared" si="14"/>
        <v>100</v>
      </c>
      <c r="X40" s="1811"/>
      <c r="Y40" s="3319"/>
      <c r="Z40" s="1812" t="str">
        <f t="shared" si="18"/>
        <v>房型</v>
      </c>
      <c r="AA40" s="1809">
        <f t="shared" si="15"/>
        <v>1</v>
      </c>
      <c r="AB40" s="1809">
        <f t="shared" si="16"/>
        <v>1</v>
      </c>
      <c r="AC40" s="1809">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317"/>
      <c r="Q41" s="776" t="str">
        <f t="shared" si="11"/>
        <v>单套/主力户型建筑面积</v>
      </c>
      <c r="R41" s="777" t="s">
        <v>21</v>
      </c>
      <c r="S41" s="778">
        <f t="shared" si="12"/>
        <v>100</v>
      </c>
      <c r="T41" s="777" t="s">
        <v>21</v>
      </c>
      <c r="U41" s="778">
        <f t="shared" si="13"/>
        <v>100</v>
      </c>
      <c r="V41" s="777" t="s">
        <v>21</v>
      </c>
      <c r="W41" s="778">
        <f t="shared" si="14"/>
        <v>100</v>
      </c>
      <c r="X41" s="779"/>
      <c r="Y41" s="3319"/>
      <c r="Z41" s="780" t="str">
        <f t="shared" si="18"/>
        <v>单套/主力户型建筑面积</v>
      </c>
      <c r="AA41" s="1809">
        <f t="shared" si="15"/>
        <v>1</v>
      </c>
      <c r="AB41" s="1809">
        <f t="shared" si="16"/>
        <v>1</v>
      </c>
      <c r="AC41" s="1809">
        <f t="shared" si="17"/>
        <v>1</v>
      </c>
    </row>
    <row r="42" spans="1:29" ht="15">
      <c r="A42" s="472"/>
      <c r="B42" s="422" t="s">
        <v>2568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317"/>
      <c r="Q42" s="1808" t="str">
        <f t="shared" si="11"/>
        <v>内部装修</v>
      </c>
      <c r="R42" s="774" t="s">
        <v>21</v>
      </c>
      <c r="S42" s="775">
        <f t="shared" si="12"/>
        <v>100</v>
      </c>
      <c r="T42" s="774" t="s">
        <v>21</v>
      </c>
      <c r="U42" s="775">
        <f t="shared" si="13"/>
        <v>100</v>
      </c>
      <c r="V42" s="774" t="s">
        <v>21</v>
      </c>
      <c r="W42" s="775">
        <f t="shared" si="14"/>
        <v>100</v>
      </c>
      <c r="X42" s="1811"/>
      <c r="Y42" s="3319"/>
      <c r="Z42" s="1812" t="str">
        <f t="shared" si="18"/>
        <v>内部装修</v>
      </c>
      <c r="AA42" s="1809">
        <f t="shared" si="15"/>
        <v>1</v>
      </c>
      <c r="AB42" s="1809">
        <f t="shared" si="16"/>
        <v>1</v>
      </c>
      <c r="AC42" s="1809">
        <f t="shared" si="17"/>
        <v>1</v>
      </c>
    </row>
    <row r="43" spans="1:29" ht="15">
      <c r="A43" s="472"/>
      <c r="B43" s="422" t="s">
        <v>2569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317"/>
      <c r="Q43" s="1808" t="str">
        <f t="shared" si="11"/>
        <v>内部装修维护情况</v>
      </c>
      <c r="R43" s="774" t="s">
        <v>21</v>
      </c>
      <c r="S43" s="775">
        <f t="shared" si="12"/>
        <v>100</v>
      </c>
      <c r="T43" s="774" t="s">
        <v>21</v>
      </c>
      <c r="U43" s="775">
        <f t="shared" si="13"/>
        <v>100</v>
      </c>
      <c r="V43" s="774" t="s">
        <v>21</v>
      </c>
      <c r="W43" s="775">
        <f t="shared" si="14"/>
        <v>100</v>
      </c>
      <c r="X43" s="1811"/>
      <c r="Y43" s="3319"/>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317"/>
      <c r="Q44" s="1793">
        <f t="shared" si="11"/>
        <v>111</v>
      </c>
      <c r="R44" s="770" t="s">
        <v>21</v>
      </c>
      <c r="S44" s="771">
        <f t="shared" si="12"/>
        <v>100</v>
      </c>
      <c r="T44" s="770" t="s">
        <v>21</v>
      </c>
      <c r="U44" s="771">
        <f t="shared" si="13"/>
        <v>100</v>
      </c>
      <c r="V44" s="770" t="s">
        <v>21</v>
      </c>
      <c r="W44" s="771">
        <f t="shared" si="14"/>
        <v>100</v>
      </c>
      <c r="X44" s="772"/>
      <c r="Y44" s="33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317"/>
      <c r="Q45" s="1808">
        <f t="shared" si="11"/>
        <v>111</v>
      </c>
      <c r="R45" s="774" t="s">
        <v>21</v>
      </c>
      <c r="S45" s="775">
        <f t="shared" si="12"/>
        <v>100</v>
      </c>
      <c r="T45" s="774" t="s">
        <v>21</v>
      </c>
      <c r="U45" s="775">
        <f t="shared" si="13"/>
        <v>100</v>
      </c>
      <c r="V45" s="774" t="s">
        <v>21</v>
      </c>
      <c r="W45" s="775">
        <f t="shared" si="14"/>
        <v>100</v>
      </c>
      <c r="X45" s="1811"/>
      <c r="Y45" s="3319"/>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318"/>
      <c r="Q46" s="1808">
        <f t="shared" si="11"/>
        <v>111</v>
      </c>
      <c r="R46" s="774" t="s">
        <v>20</v>
      </c>
      <c r="S46" s="775">
        <f t="shared" si="12"/>
        <v>100</v>
      </c>
      <c r="T46" s="774" t="s">
        <v>20</v>
      </c>
      <c r="U46" s="775">
        <f t="shared" si="13"/>
        <v>100</v>
      </c>
      <c r="V46" s="774" t="s">
        <v>20</v>
      </c>
      <c r="W46" s="775">
        <f t="shared" si="14"/>
        <v>100</v>
      </c>
      <c r="X46" s="1811"/>
      <c r="Y46" s="3320"/>
      <c r="Z46" s="1812">
        <f t="shared" si="18"/>
        <v>111</v>
      </c>
      <c r="AA46" s="1809">
        <f t="shared" si="15"/>
        <v>1</v>
      </c>
      <c r="AB46" s="1809">
        <f t="shared" si="16"/>
        <v>1</v>
      </c>
      <c r="AC46" s="1809">
        <f t="shared" si="17"/>
        <v>1</v>
      </c>
    </row>
    <row r="47" spans="1:29" ht="15">
      <c r="A47" s="479" t="s">
        <v>2570</v>
      </c>
      <c r="B47" s="480"/>
      <c r="C47" s="1406" t="s">
        <v>19</v>
      </c>
      <c r="D47" s="1407"/>
      <c r="E47" s="1408"/>
      <c r="F47" s="1409"/>
      <c r="G47" s="1410"/>
      <c r="H47" s="1411"/>
      <c r="I47" s="1408"/>
      <c r="J47" s="1411"/>
      <c r="K47" s="2619"/>
      <c r="L47" s="1143"/>
      <c r="M47" s="1144"/>
      <c r="N47" s="1131"/>
      <c r="O47" s="1144"/>
      <c r="P47" s="3312" t="str">
        <f>A47</f>
        <v>成交单价（元/平方米）</v>
      </c>
      <c r="Q47" s="3312"/>
      <c r="R47" s="3313">
        <f>E47</f>
        <v>0</v>
      </c>
      <c r="S47" s="3313"/>
      <c r="T47" s="3313">
        <f>G47</f>
        <v>0</v>
      </c>
      <c r="U47" s="3313"/>
      <c r="V47" s="3313">
        <f>I47</f>
        <v>0</v>
      </c>
      <c r="W47" s="3313"/>
      <c r="X47" s="759"/>
      <c r="Y47" s="781"/>
      <c r="Z47" s="759"/>
      <c r="AA47" s="759"/>
      <c r="AB47" s="759"/>
      <c r="AC47" s="759"/>
    </row>
    <row r="48" spans="1:29" ht="15.75" thickBot="1">
      <c r="A48" s="486" t="s">
        <v>2571</v>
      </c>
      <c r="B48" s="487"/>
      <c r="C48" s="1412" t="e">
        <f>R49</f>
        <v>#DIV/0!</v>
      </c>
      <c r="D48" s="1413"/>
      <c r="E48" s="1414" t="e">
        <f>R48</f>
        <v>#DIV/0!</v>
      </c>
      <c r="F48" s="1414"/>
      <c r="G48" s="1412" t="e">
        <f>T48</f>
        <v>#DIV/0!</v>
      </c>
      <c r="H48" s="1413"/>
      <c r="I48" s="1414" t="e">
        <f>V48</f>
        <v>#DIV/0!</v>
      </c>
      <c r="J48" s="1413"/>
      <c r="K48" s="2620"/>
      <c r="L48" s="1143"/>
      <c r="M48" s="1144"/>
      <c r="N48" s="1144"/>
      <c r="O48" s="1144"/>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9"/>
      <c r="Y48" s="759"/>
      <c r="Z48" s="759"/>
      <c r="AA48" s="759"/>
      <c r="AB48" s="759"/>
      <c r="AC48" s="759"/>
    </row>
    <row r="49" spans="1:29" ht="15.75" thickBot="1">
      <c r="A49" s="492" t="s">
        <v>2572</v>
      </c>
      <c r="B49" s="493"/>
      <c r="C49" s="1415" t="e">
        <f>R49</f>
        <v>#DIV/0!</v>
      </c>
      <c r="D49" s="1416"/>
      <c r="E49" s="1416"/>
      <c r="F49" s="1416"/>
      <c r="G49" s="1416"/>
      <c r="H49" s="1416"/>
      <c r="I49" s="1416"/>
      <c r="J49" s="1416"/>
      <c r="K49" s="2621"/>
      <c r="L49" s="1143"/>
      <c r="M49" s="1144"/>
      <c r="N49" s="1144"/>
      <c r="O49" s="1144"/>
      <c r="P49" s="3309" t="str">
        <f>A49</f>
        <v>估价对象XX用房的比较价值（楼面单价，元/平方米）</v>
      </c>
      <c r="Q49" s="3310"/>
      <c r="R49" s="3311" t="e">
        <f>IF(F1="售价",ROUND(AVERAGE(R48:V48),0),ROUND(AVERAGE(R48:V48),1))</f>
        <v>#DIV/0!</v>
      </c>
      <c r="S49" s="3311"/>
      <c r="T49" s="3311"/>
      <c r="U49" s="3311"/>
      <c r="V49" s="3311"/>
      <c r="W49" s="33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4"/>
      <c r="Q57" s="504"/>
    </row>
    <row r="58" spans="1:29" s="508" customFormat="1" ht="15">
      <c r="A58" s="505" t="s">
        <v>2577</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2604</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2556</v>
      </c>
      <c r="B100" s="528" t="s">
        <v>2605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2608</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2609</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2612</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4">
        <v>6</v>
      </c>
      <c r="C139" s="1085">
        <v>96</v>
      </c>
      <c r="D139" s="2646" t="s">
        <v>2624</v>
      </c>
      <c r="E139" s="1086">
        <v>100</v>
      </c>
      <c r="F139" s="1087">
        <v>102.5</v>
      </c>
      <c r="G139" s="2646" t="s">
        <v>2624</v>
      </c>
      <c r="H139" s="1088">
        <v>105</v>
      </c>
      <c r="I139" s="2647" t="s">
        <v>2625</v>
      </c>
      <c r="J139" s="1085">
        <v>20</v>
      </c>
      <c r="K139" s="1089">
        <f>C145/(J139-2)</f>
        <v>4.0555555555555553E-3</v>
      </c>
    </row>
    <row r="140" spans="1:17" ht="15">
      <c r="B140" s="1090">
        <v>5</v>
      </c>
      <c r="C140" s="1091">
        <v>100</v>
      </c>
      <c r="D140" s="1091"/>
      <c r="E140" s="1092"/>
      <c r="F140" s="1093">
        <v>102</v>
      </c>
      <c r="G140" s="1091"/>
      <c r="H140" s="1094"/>
      <c r="I140" s="2648" t="s">
        <v>2626</v>
      </c>
      <c r="J140" s="315">
        <f>ROUNDUP((J139-1)/2,0)</f>
        <v>10</v>
      </c>
      <c r="K140" s="1095">
        <v>100</v>
      </c>
    </row>
    <row r="141" spans="1:17" ht="15">
      <c r="B141" s="1090">
        <v>4</v>
      </c>
      <c r="C141" s="1091">
        <v>102</v>
      </c>
      <c r="D141" s="1091"/>
      <c r="E141" s="1092"/>
      <c r="F141" s="1093">
        <v>101.5</v>
      </c>
      <c r="G141" s="1091"/>
      <c r="H141" s="1094"/>
      <c r="I141" s="2648" t="s">
        <v>2627</v>
      </c>
      <c r="J141" s="315">
        <v>1</v>
      </c>
      <c r="K141" s="1096">
        <f>ROUND(100+(J141-J140)*K139*100,1)</f>
        <v>96.4</v>
      </c>
    </row>
    <row r="142" spans="1:17" ht="15">
      <c r="B142" s="1090">
        <v>3</v>
      </c>
      <c r="C142" s="1091">
        <v>103</v>
      </c>
      <c r="D142" s="1091"/>
      <c r="E142" s="1092"/>
      <c r="F142" s="1093">
        <v>101</v>
      </c>
      <c r="G142" s="1091"/>
      <c r="H142" s="1094"/>
      <c r="I142" s="2648" t="s">
        <v>2628</v>
      </c>
      <c r="J142" s="315">
        <f>J139</f>
        <v>20</v>
      </c>
      <c r="K142" s="1097">
        <v>95</v>
      </c>
    </row>
    <row r="143" spans="1:17" ht="15">
      <c r="B143" s="1090">
        <v>2</v>
      </c>
      <c r="C143" s="1091">
        <v>100</v>
      </c>
      <c r="D143" s="1091"/>
      <c r="E143" s="1092"/>
      <c r="F143" s="1093">
        <v>100.5</v>
      </c>
      <c r="G143" s="1091"/>
      <c r="H143" s="1094"/>
      <c r="I143" s="2648" t="s">
        <v>2629</v>
      </c>
      <c r="J143" s="1091">
        <v>15</v>
      </c>
      <c r="K143" s="1096">
        <f>ROUND(100+(J143-J140)*K139*100,1)</f>
        <v>102</v>
      </c>
    </row>
    <row r="144" spans="1:17" ht="15">
      <c r="B144" s="1090">
        <v>1</v>
      </c>
      <c r="C144" s="1091">
        <v>98</v>
      </c>
      <c r="D144" s="2649" t="s">
        <v>2630</v>
      </c>
      <c r="E144" s="1092">
        <v>102</v>
      </c>
      <c r="F144" s="1098">
        <v>100</v>
      </c>
      <c r="G144" s="2649" t="s">
        <v>2630</v>
      </c>
      <c r="H144" s="1094">
        <v>105</v>
      </c>
      <c r="I144" s="2648" t="s">
        <v>2629</v>
      </c>
      <c r="J144" s="1091">
        <v>18</v>
      </c>
      <c r="K144" s="1096">
        <f>ROUND(100+(J144-J140)*K139*100,1)</f>
        <v>103.2</v>
      </c>
    </row>
    <row r="145" spans="2:11" ht="15.75" thickBot="1">
      <c r="B145" s="2650" t="s">
        <v>2631</v>
      </c>
      <c r="C145" s="1099">
        <f>ROUND(MAX(C139:C144)/MIN(C139:C144)-1,3)</f>
        <v>7.2999999999999995E-2</v>
      </c>
      <c r="D145" s="1100"/>
      <c r="E145" s="1100"/>
      <c r="F145" s="2651" t="s">
        <v>2632</v>
      </c>
      <c r="G145" s="2652"/>
      <c r="H145" s="2653"/>
      <c r="I145" s="2654" t="s">
        <v>2629</v>
      </c>
      <c r="J145" s="1101">
        <v>8</v>
      </c>
      <c r="K145" s="1102">
        <f>ROUND(100+(J145-J140)*K139*100,1)</f>
        <v>99.2</v>
      </c>
    </row>
    <row r="147" spans="2:11">
      <c r="B147" s="2635" t="s">
        <v>2633</v>
      </c>
    </row>
    <row r="148" spans="2:11">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2521</v>
      </c>
      <c r="B1" s="2580" t="s">
        <v>2635</v>
      </c>
      <c r="C1" s="1632" t="s">
        <v>2523</v>
      </c>
      <c r="D1" s="1619"/>
      <c r="E1" s="2655"/>
      <c r="F1" s="2582"/>
      <c r="G1" s="1629" t="s">
        <v>2636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2320</v>
      </c>
      <c r="B2" s="1417" t="e">
        <f ca="1">IF(C2="——",ROUND(C49*D3/10000,0),ROUND(C49*D3/10000,0)-D2)</f>
        <v>#DIV/0!</v>
      </c>
      <c r="C2" s="2584"/>
      <c r="D2" s="1365" t="e">
        <f ca="1">SUMIF(INDIRECT("'"&amp;F2&amp;"'"&amp;"!A:A"),"承租人权益价值",INDIRECT("'"&amp;F2&amp;"'"&amp;"!c:c"))</f>
        <v>#REF!</v>
      </c>
      <c r="E2" s="2585" t="s">
        <v>2321</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2322</v>
      </c>
      <c r="B3" s="609" t="e">
        <f ca="1">IF(C2="——",C49,ROUND(B2*10000/D3,0))</f>
        <v>#DIV/0!</v>
      </c>
      <c r="C3" s="400" t="s">
        <v>2637</v>
      </c>
      <c r="D3" s="399">
        <f>IF(D1="",'数据-汇总表'!E3,SUMIF('数据-汇总表'!$C19:$C33,D1,'数据-汇总表'!$E19:$E33))</f>
        <v>10771.04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307" t="s">
        <v>2641</v>
      </c>
      <c r="AC4" s="3277" t="s">
        <v>2642</v>
      </c>
    </row>
    <row r="5" spans="1:29" ht="15">
      <c r="A5" s="404"/>
      <c r="B5" s="405"/>
      <c r="C5" s="3288" t="s">
        <v>2535</v>
      </c>
      <c r="D5" s="3289"/>
      <c r="E5" s="3286" t="s">
        <v>2536</v>
      </c>
      <c r="F5" s="3287"/>
      <c r="G5" s="3288" t="s">
        <v>2537</v>
      </c>
      <c r="H5" s="3289"/>
      <c r="I5" s="3288" t="s">
        <v>2538</v>
      </c>
      <c r="J5" s="3289"/>
      <c r="K5" s="610"/>
      <c r="L5" s="1130"/>
      <c r="M5" s="1131"/>
      <c r="N5" s="1131"/>
      <c r="O5" s="1131"/>
      <c r="P5" s="3301"/>
      <c r="Q5" s="3302"/>
      <c r="R5" s="3284"/>
      <c r="S5" s="3285"/>
      <c r="T5" s="3284"/>
      <c r="U5" s="3285"/>
      <c r="V5" s="3307"/>
      <c r="W5" s="3307"/>
      <c r="X5" s="1811"/>
      <c r="Y5" s="3284"/>
      <c r="Z5" s="3285"/>
      <c r="AA5" s="3278"/>
      <c r="AB5" s="3307"/>
      <c r="AC5" s="3278"/>
    </row>
    <row r="6" spans="1:29" ht="15.75" thickBot="1">
      <c r="A6" s="406"/>
      <c r="B6" s="407"/>
      <c r="C6" s="3290" t="s">
        <v>2539</v>
      </c>
      <c r="D6" s="3291"/>
      <c r="E6" s="3292" t="s">
        <v>2539</v>
      </c>
      <c r="F6" s="3293"/>
      <c r="G6" s="3290" t="s">
        <v>2539</v>
      </c>
      <c r="H6" s="3291"/>
      <c r="I6" s="3290" t="s">
        <v>2539</v>
      </c>
      <c r="J6" s="3291"/>
      <c r="K6" s="610" t="s">
        <v>2540</v>
      </c>
      <c r="L6" s="1130"/>
      <c r="M6" s="1131"/>
      <c r="N6" s="1131"/>
      <c r="O6" s="1131"/>
      <c r="P6" s="3303"/>
      <c r="Q6" s="3304"/>
      <c r="R6" s="3284"/>
      <c r="S6" s="3285"/>
      <c r="T6" s="3305"/>
      <c r="U6" s="3306"/>
      <c r="V6" s="3307"/>
      <c r="W6" s="3307"/>
      <c r="X6" s="1811"/>
      <c r="Y6" s="3305"/>
      <c r="Z6" s="3306"/>
      <c r="AA6" s="3279"/>
      <c r="AB6" s="3307"/>
      <c r="AC6" s="3279"/>
    </row>
    <row r="7" spans="1:29" s="117" customFormat="1" ht="15.75" thickBot="1">
      <c r="A7" s="408" t="s">
        <v>2541</v>
      </c>
      <c r="B7" s="409"/>
      <c r="C7" s="410">
        <f>'数据-取费表'!B2</f>
        <v>43671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0" t="s">
        <v>2542</v>
      </c>
      <c r="Q7" s="3308"/>
      <c r="R7" s="770" t="s">
        <v>17</v>
      </c>
      <c r="S7" s="771">
        <f t="shared" ref="S7:S15" si="0">F7</f>
        <v>0</v>
      </c>
      <c r="T7" s="770" t="s">
        <v>17</v>
      </c>
      <c r="U7" s="771">
        <f t="shared" ref="U7:U15" si="1">H7</f>
        <v>0</v>
      </c>
      <c r="V7" s="770" t="s">
        <v>17</v>
      </c>
      <c r="W7" s="771">
        <f t="shared" ref="W7:W15" si="2">J7</f>
        <v>0</v>
      </c>
      <c r="X7" s="772"/>
      <c r="Y7" s="3280" t="s">
        <v>2542</v>
      </c>
      <c r="Z7" s="328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0" t="s">
        <v>2545</v>
      </c>
      <c r="Q8" s="3281"/>
      <c r="R8" s="770" t="s">
        <v>17</v>
      </c>
      <c r="S8" s="771">
        <f t="shared" si="0"/>
        <v>0</v>
      </c>
      <c r="T8" s="770" t="s">
        <v>17</v>
      </c>
      <c r="U8" s="771">
        <f t="shared" si="1"/>
        <v>0</v>
      </c>
      <c r="V8" s="770" t="s">
        <v>17</v>
      </c>
      <c r="W8" s="771">
        <f t="shared" si="2"/>
        <v>0</v>
      </c>
      <c r="X8" s="772"/>
      <c r="Y8" s="3280" t="s">
        <v>2545</v>
      </c>
      <c r="Z8" s="328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4"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94"/>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94"/>
      <c r="Q11" s="1793"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4"/>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4"/>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4"/>
      <c r="Q14" s="1793">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71.25">
      <c r="A15" s="440" t="s">
        <v>2552</v>
      </c>
      <c r="B15" s="69" t="s">
        <v>2646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21" t="s">
        <v>2553</v>
      </c>
      <c r="Q15" s="1808" t="str">
        <f t="shared" si="6"/>
        <v>商业繁华度</v>
      </c>
      <c r="R15" s="774" t="s">
        <v>17</v>
      </c>
      <c r="S15" s="775">
        <f t="shared" si="0"/>
        <v>100</v>
      </c>
      <c r="T15" s="774" t="s">
        <v>17</v>
      </c>
      <c r="U15" s="775">
        <f t="shared" si="1"/>
        <v>100</v>
      </c>
      <c r="V15" s="774" t="s">
        <v>17</v>
      </c>
      <c r="W15" s="775">
        <f t="shared" si="2"/>
        <v>100</v>
      </c>
      <c r="X15" s="1811"/>
      <c r="Y15" s="3314" t="s">
        <v>2553</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322"/>
      <c r="Q16" s="1808"/>
      <c r="R16" s="774"/>
      <c r="S16" s="775"/>
      <c r="T16" s="774"/>
      <c r="U16" s="775"/>
      <c r="V16" s="774"/>
      <c r="W16" s="775"/>
      <c r="X16" s="1811"/>
      <c r="Y16" s="3315"/>
      <c r="Z16" s="1812"/>
      <c r="AA16" s="1809">
        <v>1</v>
      </c>
      <c r="AB16" s="1809">
        <v>1</v>
      </c>
      <c r="AC16" s="1809">
        <v>1</v>
      </c>
    </row>
    <row r="17" spans="1:29" ht="85.5">
      <c r="A17" s="428"/>
      <c r="B17" s="451" t="s">
        <v>2092</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22"/>
      <c r="Q17" s="1808" t="str">
        <f>B17</f>
        <v>交通便捷度</v>
      </c>
      <c r="R17" s="774" t="s">
        <v>17</v>
      </c>
      <c r="S17" s="775">
        <f>F17</f>
        <v>100</v>
      </c>
      <c r="T17" s="774" t="s">
        <v>17</v>
      </c>
      <c r="U17" s="775">
        <f>H17</f>
        <v>100</v>
      </c>
      <c r="V17" s="774" t="s">
        <v>17</v>
      </c>
      <c r="W17" s="775">
        <f>J17</f>
        <v>100</v>
      </c>
      <c r="X17" s="1811"/>
      <c r="Y17" s="3315"/>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1"/>
      <c r="P18" s="3322"/>
      <c r="Q18" s="1808"/>
      <c r="R18" s="774"/>
      <c r="S18" s="775"/>
      <c r="T18" s="774"/>
      <c r="U18" s="775"/>
      <c r="V18" s="774"/>
      <c r="W18" s="775"/>
      <c r="X18" s="1811"/>
      <c r="Y18" s="3315"/>
      <c r="Z18" s="1812"/>
      <c r="AA18" s="1809">
        <v>1</v>
      </c>
      <c r="AB18" s="1809">
        <v>1</v>
      </c>
      <c r="AC18" s="1809">
        <v>1</v>
      </c>
    </row>
    <row r="19" spans="1:29" ht="42.75">
      <c r="A19" s="428"/>
      <c r="B19" s="451" t="s">
        <v>2647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22"/>
      <c r="Q19" s="1808" t="str">
        <f>B19</f>
        <v>公共配套设施</v>
      </c>
      <c r="R19" s="774" t="s">
        <v>17</v>
      </c>
      <c r="S19" s="775">
        <f>F19</f>
        <v>100</v>
      </c>
      <c r="T19" s="774" t="s">
        <v>17</v>
      </c>
      <c r="U19" s="775">
        <f>H19</f>
        <v>100</v>
      </c>
      <c r="V19" s="774" t="s">
        <v>17</v>
      </c>
      <c r="W19" s="775">
        <f>J19</f>
        <v>100</v>
      </c>
      <c r="X19" s="1811"/>
      <c r="Y19" s="3315"/>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1"/>
      <c r="P20" s="3322"/>
      <c r="Q20" s="1808"/>
      <c r="R20" s="774"/>
      <c r="S20" s="775"/>
      <c r="T20" s="774"/>
      <c r="U20" s="775"/>
      <c r="V20" s="774"/>
      <c r="W20" s="775"/>
      <c r="X20" s="1811"/>
      <c r="Y20" s="3315"/>
      <c r="Z20" s="1812"/>
      <c r="AA20" s="1809">
        <v>1</v>
      </c>
      <c r="AB20" s="1809">
        <v>1</v>
      </c>
      <c r="AC20" s="1809">
        <v>1</v>
      </c>
    </row>
    <row r="21" spans="1:29" ht="28.5">
      <c r="A21" s="428"/>
      <c r="B21" s="1384" t="s">
        <v>2648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22"/>
      <c r="Q21" s="1808" t="str">
        <f>B21</f>
        <v>基础设施水平</v>
      </c>
      <c r="R21" s="774" t="s">
        <v>17</v>
      </c>
      <c r="S21" s="775">
        <f>F21</f>
        <v>100</v>
      </c>
      <c r="T21" s="774" t="s">
        <v>17</v>
      </c>
      <c r="U21" s="775">
        <f>H21</f>
        <v>100</v>
      </c>
      <c r="V21" s="774" t="s">
        <v>17</v>
      </c>
      <c r="W21" s="775">
        <f>J21</f>
        <v>100</v>
      </c>
      <c r="X21" s="1811"/>
      <c r="Y21" s="3315"/>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1"/>
      <c r="P22" s="3322"/>
      <c r="Q22" s="1808"/>
      <c r="R22" s="774"/>
      <c r="S22" s="775"/>
      <c r="T22" s="774"/>
      <c r="U22" s="775"/>
      <c r="V22" s="774"/>
      <c r="W22" s="775"/>
      <c r="X22" s="1811"/>
      <c r="Y22" s="3315"/>
      <c r="Z22" s="1812"/>
      <c r="AA22" s="1809">
        <v>1</v>
      </c>
      <c r="AB22" s="1809">
        <v>1</v>
      </c>
      <c r="AC22" s="1809">
        <v>1</v>
      </c>
    </row>
    <row r="23" spans="1:29" ht="57">
      <c r="A23" s="428"/>
      <c r="B23" s="451" t="s">
        <v>2097</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22"/>
      <c r="Q23" s="1808" t="str">
        <f>B23</f>
        <v>自然及人文环境</v>
      </c>
      <c r="R23" s="774" t="s">
        <v>17</v>
      </c>
      <c r="S23" s="775">
        <f>F23</f>
        <v>100</v>
      </c>
      <c r="T23" s="774" t="s">
        <v>17</v>
      </c>
      <c r="U23" s="775">
        <f>H23</f>
        <v>100</v>
      </c>
      <c r="V23" s="774" t="s">
        <v>17</v>
      </c>
      <c r="W23" s="775">
        <f>J23</f>
        <v>100</v>
      </c>
      <c r="X23" s="1811"/>
      <c r="Y23" s="3315"/>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40"/>
      <c r="M24" s="1131"/>
      <c r="N24" s="1131"/>
      <c r="O24" s="1131"/>
      <c r="P24" s="3322"/>
      <c r="Q24" s="1808"/>
      <c r="R24" s="774"/>
      <c r="S24" s="775"/>
      <c r="T24" s="774"/>
      <c r="U24" s="775"/>
      <c r="V24" s="774"/>
      <c r="W24" s="775"/>
      <c r="X24" s="1811"/>
      <c r="Y24" s="3315"/>
      <c r="Z24" s="1812"/>
      <c r="AA24" s="1809">
        <v>1</v>
      </c>
      <c r="AB24" s="1809">
        <v>1</v>
      </c>
      <c r="AC24" s="1809">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22"/>
      <c r="Q25" s="1808" t="str">
        <f t="shared" ref="Q25:Q46" si="11">B25</f>
        <v>临街状况</v>
      </c>
      <c r="R25" s="774" t="s">
        <v>17</v>
      </c>
      <c r="S25" s="775">
        <f>F25</f>
        <v>100</v>
      </c>
      <c r="T25" s="774" t="s">
        <v>17</v>
      </c>
      <c r="U25" s="775">
        <f>H25</f>
        <v>100</v>
      </c>
      <c r="V25" s="774" t="s">
        <v>17</v>
      </c>
      <c r="W25" s="775">
        <f>J25</f>
        <v>100</v>
      </c>
      <c r="X25" s="1811"/>
      <c r="Y25" s="3315"/>
      <c r="Z25" s="1812" t="str">
        <f>Q25</f>
        <v>临街状况</v>
      </c>
      <c r="AA25" s="1809">
        <f t="shared" si="3"/>
        <v>1</v>
      </c>
      <c r="AB25" s="1809">
        <f t="shared" si="4"/>
        <v>1</v>
      </c>
      <c r="AC25" s="1809">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22"/>
      <c r="Q26" s="1808" t="str">
        <f t="shared" si="11"/>
        <v>平面位置/可视性</v>
      </c>
      <c r="R26" s="774" t="s">
        <v>17</v>
      </c>
      <c r="S26" s="775">
        <f>F26</f>
        <v>100</v>
      </c>
      <c r="T26" s="774" t="s">
        <v>17</v>
      </c>
      <c r="U26" s="775">
        <f>H26</f>
        <v>100</v>
      </c>
      <c r="V26" s="774" t="s">
        <v>17</v>
      </c>
      <c r="W26" s="775">
        <f>J26</f>
        <v>100</v>
      </c>
      <c r="X26" s="1811"/>
      <c r="Y26" s="3315"/>
      <c r="Z26" s="1812" t="str">
        <f>Q26</f>
        <v>平面位置/可视性</v>
      </c>
      <c r="AA26" s="1809">
        <f t="shared" si="3"/>
        <v>1</v>
      </c>
      <c r="AB26" s="1809">
        <f t="shared" si="4"/>
        <v>1</v>
      </c>
      <c r="AC26" s="1809">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322"/>
      <c r="Q27" s="1793" t="str">
        <f t="shared" si="11"/>
        <v>人流量</v>
      </c>
      <c r="R27" s="770" t="s">
        <v>17</v>
      </c>
      <c r="S27" s="771">
        <f>F27</f>
        <v>100</v>
      </c>
      <c r="T27" s="770" t="s">
        <v>17</v>
      </c>
      <c r="U27" s="771">
        <f>H27</f>
        <v>100</v>
      </c>
      <c r="V27" s="770" t="s">
        <v>17</v>
      </c>
      <c r="W27" s="771">
        <f>J27</f>
        <v>100</v>
      </c>
      <c r="X27" s="772"/>
      <c r="Y27" s="3315"/>
      <c r="Z27" s="55" t="str">
        <f>Q27</f>
        <v>人流量</v>
      </c>
      <c r="AA27" s="1809">
        <f>D27/F27</f>
        <v>1</v>
      </c>
      <c r="AB27" s="1809">
        <f>D27/H27</f>
        <v>1</v>
      </c>
      <c r="AC27" s="1809">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22"/>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15"/>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22"/>
      <c r="Q29" s="1808">
        <f t="shared" si="11"/>
        <v>111</v>
      </c>
      <c r="R29" s="774" t="s">
        <v>17</v>
      </c>
      <c r="S29" s="775">
        <f t="shared" si="12"/>
        <v>100</v>
      </c>
      <c r="T29" s="774" t="s">
        <v>17</v>
      </c>
      <c r="U29" s="775">
        <f t="shared" si="13"/>
        <v>100</v>
      </c>
      <c r="V29" s="774" t="s">
        <v>17</v>
      </c>
      <c r="W29" s="775">
        <f t="shared" si="14"/>
        <v>100</v>
      </c>
      <c r="X29" s="1811"/>
      <c r="Y29" s="3315"/>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22"/>
      <c r="Q30" s="1808">
        <f t="shared" si="11"/>
        <v>111</v>
      </c>
      <c r="R30" s="774" t="s">
        <v>17</v>
      </c>
      <c r="S30" s="775">
        <f t="shared" si="12"/>
        <v>100</v>
      </c>
      <c r="T30" s="774" t="s">
        <v>17</v>
      </c>
      <c r="U30" s="775">
        <f t="shared" si="13"/>
        <v>100</v>
      </c>
      <c r="V30" s="774" t="s">
        <v>17</v>
      </c>
      <c r="W30" s="775">
        <f t="shared" si="14"/>
        <v>100</v>
      </c>
      <c r="X30" s="1811"/>
      <c r="Y30" s="3315"/>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22"/>
      <c r="Q31" s="1808">
        <f t="shared" si="11"/>
        <v>111</v>
      </c>
      <c r="R31" s="774" t="s">
        <v>17</v>
      </c>
      <c r="S31" s="775">
        <f t="shared" si="12"/>
        <v>100</v>
      </c>
      <c r="T31" s="774" t="s">
        <v>17</v>
      </c>
      <c r="U31" s="775">
        <f t="shared" si="13"/>
        <v>100</v>
      </c>
      <c r="V31" s="774" t="s">
        <v>17</v>
      </c>
      <c r="W31" s="775">
        <f t="shared" si="14"/>
        <v>100</v>
      </c>
      <c r="X31" s="1811"/>
      <c r="Y31" s="3315"/>
      <c r="Z31" s="1812">
        <f t="shared" si="15"/>
        <v>111</v>
      </c>
      <c r="AA31" s="1809">
        <f t="shared" si="3"/>
        <v>1</v>
      </c>
      <c r="AB31" s="1809">
        <f t="shared" si="4"/>
        <v>1</v>
      </c>
      <c r="AC31" s="1809">
        <f t="shared" si="5"/>
        <v>1</v>
      </c>
    </row>
    <row r="32" spans="1:29" ht="15">
      <c r="A32" s="440" t="s">
        <v>2556</v>
      </c>
      <c r="B32" s="71" t="s">
        <v>2653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316" t="s">
        <v>2558</v>
      </c>
      <c r="Q32" s="1808" t="str">
        <f t="shared" si="11"/>
        <v>商业类型</v>
      </c>
      <c r="R32" s="774" t="s">
        <v>17</v>
      </c>
      <c r="S32" s="775">
        <f t="shared" si="12"/>
        <v>100</v>
      </c>
      <c r="T32" s="774" t="s">
        <v>17</v>
      </c>
      <c r="U32" s="775">
        <f t="shared" si="13"/>
        <v>100</v>
      </c>
      <c r="V32" s="774" t="s">
        <v>17</v>
      </c>
      <c r="W32" s="775">
        <f t="shared" si="14"/>
        <v>100</v>
      </c>
      <c r="X32" s="1811"/>
      <c r="Y32" s="3319" t="s">
        <v>2558</v>
      </c>
      <c r="Z32" s="1812" t="str">
        <f t="shared" si="15"/>
        <v>商业类型</v>
      </c>
      <c r="AA32" s="1809">
        <f t="shared" si="3"/>
        <v>1</v>
      </c>
      <c r="AB32" s="1809">
        <f t="shared" si="4"/>
        <v>1</v>
      </c>
      <c r="AC32" s="1809">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7"/>
      <c r="Q33" s="776" t="str">
        <f t="shared" si="11"/>
        <v>项目建筑规模</v>
      </c>
      <c r="R33" s="777" t="s">
        <v>17</v>
      </c>
      <c r="S33" s="778" t="e">
        <f t="shared" si="12"/>
        <v>#N/A</v>
      </c>
      <c r="T33" s="777" t="s">
        <v>17</v>
      </c>
      <c r="U33" s="778" t="e">
        <f t="shared" si="13"/>
        <v>#N/A</v>
      </c>
      <c r="V33" s="777" t="s">
        <v>17</v>
      </c>
      <c r="W33" s="778" t="e">
        <f t="shared" si="14"/>
        <v>#N/A</v>
      </c>
      <c r="X33" s="779"/>
      <c r="Y33" s="3319"/>
      <c r="Z33" s="780" t="str">
        <f t="shared" si="15"/>
        <v>项目建筑规模</v>
      </c>
      <c r="AA33" s="1809" t="e">
        <f t="shared" si="3"/>
        <v>#N/A</v>
      </c>
      <c r="AB33" s="1809" t="e">
        <f t="shared" si="4"/>
        <v>#N/A</v>
      </c>
      <c r="AC33" s="1809" t="e">
        <f t="shared" si="5"/>
        <v>#N/A</v>
      </c>
    </row>
    <row r="34" spans="1:29" ht="15">
      <c r="A34" s="472"/>
      <c r="B34" s="422" t="s">
        <v>2560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317"/>
      <c r="Q34" s="1808" t="str">
        <f t="shared" si="11"/>
        <v>建筑结构</v>
      </c>
      <c r="R34" s="774" t="s">
        <v>17</v>
      </c>
      <c r="S34" s="775">
        <f t="shared" si="12"/>
        <v>100</v>
      </c>
      <c r="T34" s="774" t="s">
        <v>17</v>
      </c>
      <c r="U34" s="775">
        <f t="shared" si="13"/>
        <v>100</v>
      </c>
      <c r="V34" s="774" t="s">
        <v>17</v>
      </c>
      <c r="W34" s="775">
        <f t="shared" si="14"/>
        <v>100</v>
      </c>
      <c r="X34" s="1811"/>
      <c r="Y34" s="3319"/>
      <c r="Z34" s="1812" t="str">
        <f t="shared" si="15"/>
        <v>建筑结构</v>
      </c>
      <c r="AA34" s="1809">
        <f t="shared" si="3"/>
        <v>1</v>
      </c>
      <c r="AB34" s="1809">
        <f t="shared" si="4"/>
        <v>1</v>
      </c>
      <c r="AC34" s="1809">
        <f t="shared" si="5"/>
        <v>1</v>
      </c>
    </row>
    <row r="35" spans="1:29" ht="15">
      <c r="A35" s="472"/>
      <c r="B35" s="422" t="s">
        <v>2654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317"/>
      <c r="Q35" s="1808" t="str">
        <f t="shared" si="11"/>
        <v>公共部分装修</v>
      </c>
      <c r="R35" s="774" t="s">
        <v>17</v>
      </c>
      <c r="S35" s="775">
        <f t="shared" si="12"/>
        <v>100</v>
      </c>
      <c r="T35" s="774" t="s">
        <v>17</v>
      </c>
      <c r="U35" s="775">
        <f t="shared" si="13"/>
        <v>100</v>
      </c>
      <c r="V35" s="774" t="s">
        <v>17</v>
      </c>
      <c r="W35" s="775">
        <f t="shared" si="14"/>
        <v>100</v>
      </c>
      <c r="X35" s="1811"/>
      <c r="Y35" s="3319"/>
      <c r="Z35" s="1812" t="str">
        <f t="shared" si="15"/>
        <v>公共部分装修</v>
      </c>
      <c r="AA35" s="1809">
        <f t="shared" si="3"/>
        <v>1</v>
      </c>
      <c r="AB35" s="1809">
        <f t="shared" si="4"/>
        <v>1</v>
      </c>
      <c r="AC35" s="1809">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7"/>
      <c r="Q36" s="1808" t="str">
        <f t="shared" si="11"/>
        <v>成新度</v>
      </c>
      <c r="R36" s="774" t="s">
        <v>17</v>
      </c>
      <c r="S36" s="775" t="e">
        <f t="shared" si="12"/>
        <v>#N/A</v>
      </c>
      <c r="T36" s="774" t="s">
        <v>17</v>
      </c>
      <c r="U36" s="775" t="e">
        <f t="shared" si="13"/>
        <v>#N/A</v>
      </c>
      <c r="V36" s="774" t="s">
        <v>17</v>
      </c>
      <c r="W36" s="775" t="e">
        <f t="shared" si="14"/>
        <v>#N/A</v>
      </c>
      <c r="X36" s="1811"/>
      <c r="Y36" s="3319"/>
      <c r="Z36" s="1812" t="str">
        <f t="shared" si="15"/>
        <v>成新度</v>
      </c>
      <c r="AA36" s="1809" t="e">
        <f t="shared" si="3"/>
        <v>#N/A</v>
      </c>
      <c r="AB36" s="1809" t="e">
        <f t="shared" si="4"/>
        <v>#N/A</v>
      </c>
      <c r="AC36" s="1809" t="e">
        <f t="shared" si="5"/>
        <v>#N/A</v>
      </c>
    </row>
    <row r="37" spans="1:29" s="117" customFormat="1" ht="15">
      <c r="A37" s="473"/>
      <c r="B37" s="422" t="s">
        <v>2656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317"/>
      <c r="Q37" s="1793" t="str">
        <f t="shared" si="11"/>
        <v>市政基础设施</v>
      </c>
      <c r="R37" s="770" t="s">
        <v>17</v>
      </c>
      <c r="S37" s="771">
        <f t="shared" si="12"/>
        <v>100</v>
      </c>
      <c r="T37" s="770" t="s">
        <v>17</v>
      </c>
      <c r="U37" s="771">
        <f t="shared" si="13"/>
        <v>100</v>
      </c>
      <c r="V37" s="770" t="s">
        <v>17</v>
      </c>
      <c r="W37" s="771">
        <f t="shared" si="14"/>
        <v>100</v>
      </c>
      <c r="X37" s="772"/>
      <c r="Y37" s="3319"/>
      <c r="Z37" s="55" t="str">
        <f t="shared" si="15"/>
        <v>市政基础设施</v>
      </c>
      <c r="AA37" s="773">
        <f t="shared" si="3"/>
        <v>1</v>
      </c>
      <c r="AB37" s="773">
        <f t="shared" si="4"/>
        <v>1</v>
      </c>
      <c r="AC37" s="773">
        <f t="shared" si="5"/>
        <v>1</v>
      </c>
    </row>
    <row r="38" spans="1:29" ht="15">
      <c r="A38" s="472"/>
      <c r="B38" s="422" t="s">
        <v>2657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317" t="s">
        <v>2558</v>
      </c>
      <c r="Q38" s="1808" t="str">
        <f t="shared" si="11"/>
        <v>业态</v>
      </c>
      <c r="R38" s="774" t="s">
        <v>17</v>
      </c>
      <c r="S38" s="775">
        <f t="shared" si="12"/>
        <v>100</v>
      </c>
      <c r="T38" s="774" t="s">
        <v>17</v>
      </c>
      <c r="U38" s="775">
        <f t="shared" si="13"/>
        <v>100</v>
      </c>
      <c r="V38" s="774" t="s">
        <v>17</v>
      </c>
      <c r="W38" s="775">
        <f t="shared" si="14"/>
        <v>100</v>
      </c>
      <c r="X38" s="1811"/>
      <c r="Y38" s="3319" t="s">
        <v>2558</v>
      </c>
      <c r="Z38" s="1812" t="str">
        <f t="shared" si="15"/>
        <v>业态</v>
      </c>
      <c r="AA38" s="1809">
        <f t="shared" si="3"/>
        <v>1</v>
      </c>
      <c r="AB38" s="1809">
        <f t="shared" si="4"/>
        <v>1</v>
      </c>
      <c r="AC38" s="1809">
        <f t="shared" si="5"/>
        <v>1</v>
      </c>
    </row>
    <row r="39" spans="1:29" ht="15">
      <c r="A39" s="472"/>
      <c r="B39" s="422" t="s">
        <v>2658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317"/>
      <c r="Q39" s="1808" t="str">
        <f t="shared" si="11"/>
        <v>层高</v>
      </c>
      <c r="R39" s="774" t="s">
        <v>17</v>
      </c>
      <c r="S39" s="775">
        <f t="shared" si="12"/>
        <v>100</v>
      </c>
      <c r="T39" s="774" t="s">
        <v>17</v>
      </c>
      <c r="U39" s="775">
        <f t="shared" si="13"/>
        <v>100</v>
      </c>
      <c r="V39" s="774" t="s">
        <v>17</v>
      </c>
      <c r="W39" s="775">
        <f t="shared" si="14"/>
        <v>100</v>
      </c>
      <c r="X39" s="1811"/>
      <c r="Y39" s="3319"/>
      <c r="Z39" s="1812" t="str">
        <f t="shared" si="15"/>
        <v>层高</v>
      </c>
      <c r="AA39" s="1809">
        <f t="shared" si="3"/>
        <v>1</v>
      </c>
      <c r="AB39" s="1809">
        <f t="shared" si="4"/>
        <v>1</v>
      </c>
      <c r="AC39" s="1809">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7"/>
      <c r="Q40" s="1808" t="str">
        <f t="shared" si="11"/>
        <v>单套建筑面积</v>
      </c>
      <c r="R40" s="774" t="s">
        <v>17</v>
      </c>
      <c r="S40" s="775">
        <f t="shared" si="12"/>
        <v>100</v>
      </c>
      <c r="T40" s="774" t="s">
        <v>17</v>
      </c>
      <c r="U40" s="775">
        <f t="shared" si="13"/>
        <v>100</v>
      </c>
      <c r="V40" s="774" t="s">
        <v>17</v>
      </c>
      <c r="W40" s="775">
        <f t="shared" si="14"/>
        <v>100</v>
      </c>
      <c r="X40" s="1811"/>
      <c r="Y40" s="3319"/>
      <c r="Z40" s="1812" t="str">
        <f t="shared" si="15"/>
        <v>单套建筑面积</v>
      </c>
      <c r="AA40" s="1809">
        <f t="shared" si="3"/>
        <v>1</v>
      </c>
      <c r="AB40" s="1809">
        <f t="shared" si="4"/>
        <v>1</v>
      </c>
      <c r="AC40" s="1809">
        <f t="shared" si="5"/>
        <v>1</v>
      </c>
    </row>
    <row r="41" spans="1:29" s="471" customFormat="1" ht="15">
      <c r="A41" s="468"/>
      <c r="B41" s="1810"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7"/>
      <c r="Q41" s="776" t="str">
        <f t="shared" si="11"/>
        <v>进深比</v>
      </c>
      <c r="R41" s="777" t="s">
        <v>17</v>
      </c>
      <c r="S41" s="778">
        <f t="shared" si="12"/>
        <v>100</v>
      </c>
      <c r="T41" s="777" t="s">
        <v>17</v>
      </c>
      <c r="U41" s="778">
        <f t="shared" si="13"/>
        <v>100</v>
      </c>
      <c r="V41" s="777" t="s">
        <v>17</v>
      </c>
      <c r="W41" s="778">
        <f t="shared" si="14"/>
        <v>100</v>
      </c>
      <c r="X41" s="779"/>
      <c r="Y41" s="3319"/>
      <c r="Z41" s="780" t="str">
        <f t="shared" si="15"/>
        <v>进深比</v>
      </c>
      <c r="AA41" s="1809">
        <f t="shared" si="3"/>
        <v>1</v>
      </c>
      <c r="AB41" s="1809">
        <f t="shared" si="4"/>
        <v>1</v>
      </c>
      <c r="AC41" s="1809">
        <f t="shared" si="5"/>
        <v>1</v>
      </c>
    </row>
    <row r="42" spans="1:29" ht="15">
      <c r="A42" s="472"/>
      <c r="B42" s="422" t="s">
        <v>2661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317"/>
      <c r="Q42" s="1808" t="str">
        <f t="shared" si="11"/>
        <v>内部装修</v>
      </c>
      <c r="R42" s="774" t="s">
        <v>17</v>
      </c>
      <c r="S42" s="775">
        <f t="shared" si="12"/>
        <v>100</v>
      </c>
      <c r="T42" s="774" t="s">
        <v>17</v>
      </c>
      <c r="U42" s="775">
        <f t="shared" si="13"/>
        <v>100</v>
      </c>
      <c r="V42" s="774" t="s">
        <v>17</v>
      </c>
      <c r="W42" s="775">
        <f t="shared" si="14"/>
        <v>100</v>
      </c>
      <c r="X42" s="1811"/>
      <c r="Y42" s="3319"/>
      <c r="Z42" s="1812" t="str">
        <f t="shared" si="15"/>
        <v>内部装修</v>
      </c>
      <c r="AA42" s="1809">
        <f t="shared" si="3"/>
        <v>1</v>
      </c>
      <c r="AB42" s="1809">
        <f t="shared" si="4"/>
        <v>1</v>
      </c>
      <c r="AC42" s="1809">
        <f t="shared" si="5"/>
        <v>1</v>
      </c>
    </row>
    <row r="43" spans="1:29" ht="15">
      <c r="A43" s="472"/>
      <c r="B43" s="422" t="s">
        <v>2569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317"/>
      <c r="Q43" s="1808" t="str">
        <f t="shared" si="11"/>
        <v>内部装修维护情况</v>
      </c>
      <c r="R43" s="774" t="s">
        <v>17</v>
      </c>
      <c r="S43" s="775">
        <f t="shared" si="12"/>
        <v>100</v>
      </c>
      <c r="T43" s="774" t="s">
        <v>17</v>
      </c>
      <c r="U43" s="775">
        <f t="shared" si="13"/>
        <v>100</v>
      </c>
      <c r="V43" s="774" t="s">
        <v>17</v>
      </c>
      <c r="W43" s="775">
        <f t="shared" si="14"/>
        <v>100</v>
      </c>
      <c r="X43" s="1811"/>
      <c r="Y43" s="3319"/>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7"/>
      <c r="Q44" s="1793">
        <f t="shared" si="11"/>
        <v>111</v>
      </c>
      <c r="R44" s="770" t="s">
        <v>17</v>
      </c>
      <c r="S44" s="771">
        <f t="shared" si="12"/>
        <v>100</v>
      </c>
      <c r="T44" s="770" t="s">
        <v>17</v>
      </c>
      <c r="U44" s="771">
        <f t="shared" si="13"/>
        <v>100</v>
      </c>
      <c r="V44" s="770" t="s">
        <v>17</v>
      </c>
      <c r="W44" s="771">
        <f t="shared" si="14"/>
        <v>100</v>
      </c>
      <c r="X44" s="772"/>
      <c r="Y44" s="33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7"/>
      <c r="Q45" s="1808">
        <f t="shared" si="11"/>
        <v>111</v>
      </c>
      <c r="R45" s="774" t="s">
        <v>17</v>
      </c>
      <c r="S45" s="775">
        <f t="shared" si="12"/>
        <v>100</v>
      </c>
      <c r="T45" s="774" t="s">
        <v>17</v>
      </c>
      <c r="U45" s="775">
        <f t="shared" si="13"/>
        <v>100</v>
      </c>
      <c r="V45" s="774" t="s">
        <v>17</v>
      </c>
      <c r="W45" s="775">
        <f t="shared" si="14"/>
        <v>100</v>
      </c>
      <c r="X45" s="1811"/>
      <c r="Y45" s="3319"/>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8"/>
      <c r="Q46" s="1808">
        <f t="shared" si="11"/>
        <v>111</v>
      </c>
      <c r="R46" s="774" t="s">
        <v>17</v>
      </c>
      <c r="S46" s="775">
        <f t="shared" si="12"/>
        <v>100</v>
      </c>
      <c r="T46" s="774" t="s">
        <v>17</v>
      </c>
      <c r="U46" s="775">
        <f t="shared" si="13"/>
        <v>100</v>
      </c>
      <c r="V46" s="774" t="s">
        <v>17</v>
      </c>
      <c r="W46" s="775">
        <f t="shared" si="14"/>
        <v>100</v>
      </c>
      <c r="X46" s="1811"/>
      <c r="Y46" s="3320"/>
      <c r="Z46" s="1812">
        <f t="shared" si="15"/>
        <v>111</v>
      </c>
      <c r="AA46" s="1809">
        <f t="shared" si="3"/>
        <v>1</v>
      </c>
      <c r="AB46" s="1809">
        <f t="shared" si="4"/>
        <v>1</v>
      </c>
      <c r="AC46" s="1809">
        <f t="shared" si="5"/>
        <v>1</v>
      </c>
    </row>
    <row r="47" spans="1:29" ht="15">
      <c r="A47" s="479" t="s">
        <v>2570</v>
      </c>
      <c r="B47" s="480"/>
      <c r="C47" s="1406" t="s">
        <v>1</v>
      </c>
      <c r="D47" s="1407"/>
      <c r="E47" s="1408"/>
      <c r="F47" s="1409"/>
      <c r="G47" s="1410"/>
      <c r="H47" s="1411"/>
      <c r="I47" s="1408"/>
      <c r="J47" s="1411"/>
      <c r="K47" s="783"/>
      <c r="L47" s="1143"/>
      <c r="M47" s="1144"/>
      <c r="N47" s="1131"/>
      <c r="O47" s="1144"/>
      <c r="P47" s="3312" t="str">
        <f>A47</f>
        <v>成交单价（元/平方米）</v>
      </c>
      <c r="Q47" s="3312"/>
      <c r="R47" s="3307">
        <f>E47</f>
        <v>0</v>
      </c>
      <c r="S47" s="3307"/>
      <c r="T47" s="3307">
        <f>G47</f>
        <v>0</v>
      </c>
      <c r="U47" s="3307"/>
      <c r="V47" s="3307">
        <f>I47</f>
        <v>0</v>
      </c>
      <c r="W47" s="3307"/>
      <c r="X47" s="759"/>
      <c r="Y47" s="781"/>
      <c r="Z47" s="759"/>
      <c r="AA47" s="759"/>
      <c r="AB47" s="759"/>
      <c r="AC47" s="759"/>
    </row>
    <row r="48" spans="1:29" ht="15.75" thickBot="1">
      <c r="A48" s="486" t="s">
        <v>2662</v>
      </c>
      <c r="B48" s="487"/>
      <c r="C48" s="1412" t="e">
        <f>R49</f>
        <v>#DIV/0!</v>
      </c>
      <c r="D48" s="1413"/>
      <c r="E48" s="1414" t="e">
        <f>R48</f>
        <v>#DIV/0!</v>
      </c>
      <c r="F48" s="1414"/>
      <c r="G48" s="1412" t="e">
        <f>T48</f>
        <v>#DIV/0!</v>
      </c>
      <c r="H48" s="1413"/>
      <c r="I48" s="1414" t="e">
        <f>V48</f>
        <v>#DIV/0!</v>
      </c>
      <c r="J48" s="1413"/>
      <c r="K48" s="784"/>
      <c r="L48" s="1143"/>
      <c r="M48" s="1144"/>
      <c r="N48" s="1131"/>
      <c r="O48" s="1144"/>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9"/>
      <c r="Y48" s="759"/>
      <c r="Z48" s="759"/>
      <c r="AA48" s="759"/>
      <c r="AB48" s="759"/>
      <c r="AC48" s="759"/>
    </row>
    <row r="49" spans="1:29" ht="15.75" thickBot="1">
      <c r="A49" s="492" t="s">
        <v>2663</v>
      </c>
      <c r="B49" s="493"/>
      <c r="C49" s="1416" t="e">
        <f>R49</f>
        <v>#DIV/0!</v>
      </c>
      <c r="D49" s="1416"/>
      <c r="E49" s="1416"/>
      <c r="F49" s="1416"/>
      <c r="G49" s="1416"/>
      <c r="H49" s="1416"/>
      <c r="I49" s="1416"/>
      <c r="J49" s="1416"/>
      <c r="K49" s="785"/>
      <c r="L49" s="1143"/>
      <c r="M49" s="1144"/>
      <c r="N49" s="1131"/>
      <c r="O49" s="1144"/>
      <c r="P49" s="3309" t="str">
        <f>A49</f>
        <v>估价对象XX用房的比较价值（楼面单价，元/平方米）</v>
      </c>
      <c r="Q49" s="3310"/>
      <c r="R49" s="3311" t="e">
        <f>IF(F1="售价",ROUND(AVERAGE(R48:V48),0),ROUND(AVERAGE(R48:V48),1))</f>
        <v>#DIV/0!</v>
      </c>
      <c r="S49" s="3311"/>
      <c r="T49" s="3311"/>
      <c r="U49" s="3311"/>
      <c r="V49" s="3311"/>
      <c r="W49" s="33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2541</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2581</v>
      </c>
      <c r="B63" s="528" t="s">
        <v>2547</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2673</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2556</v>
      </c>
      <c r="B100" s="528" t="s">
        <v>2674</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2607</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2609</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2675</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2676</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2677</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2613</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2521</v>
      </c>
      <c r="B1" s="2667" t="s">
        <v>2679</v>
      </c>
      <c r="C1" s="1618" t="s">
        <v>2523</v>
      </c>
      <c r="D1" s="1619"/>
      <c r="E1" s="1628"/>
      <c r="F1" s="2582"/>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2320</v>
      </c>
      <c r="B2" s="1417" t="e">
        <f ca="1">IF(C2="——",ROUND(C50*D3/10000,0),ROUND(C50*D3/10000,0)-D2)</f>
        <v>#DIV/0!</v>
      </c>
      <c r="C2" s="2584"/>
      <c r="D2" s="1365" t="e">
        <f ca="1">SUMIF(INDIRECT("'"&amp;F2&amp;"'"&amp;"!A:A"),"承租人权益价值",INDIRECT("'"&amp;F2&amp;"'"&amp;"!c:c"))</f>
        <v>#REF!</v>
      </c>
      <c r="E2" s="2585" t="s">
        <v>2321</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10771.04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329" t="s">
        <v>2644</v>
      </c>
      <c r="Q4" s="3330"/>
      <c r="R4" s="3324" t="s">
        <v>2640</v>
      </c>
      <c r="S4" s="3325"/>
      <c r="T4" s="3324" t="s">
        <v>2641</v>
      </c>
      <c r="U4" s="3325"/>
      <c r="V4" s="3333" t="s">
        <v>2642</v>
      </c>
      <c r="W4" s="3333"/>
      <c r="X4" s="2668"/>
      <c r="Y4" s="3324" t="s">
        <v>2644</v>
      </c>
      <c r="Z4" s="3325"/>
      <c r="AA4" s="3323" t="s">
        <v>2640</v>
      </c>
      <c r="AB4" s="3323" t="s">
        <v>2641</v>
      </c>
      <c r="AC4" s="3326" t="s">
        <v>2642</v>
      </c>
    </row>
    <row r="5" spans="1:29" ht="15">
      <c r="A5" s="404"/>
      <c r="B5" s="405"/>
      <c r="C5" s="3288" t="s">
        <v>2535</v>
      </c>
      <c r="D5" s="3289"/>
      <c r="E5" s="3286" t="s">
        <v>2536</v>
      </c>
      <c r="F5" s="3287"/>
      <c r="G5" s="3288" t="s">
        <v>2537</v>
      </c>
      <c r="H5" s="3289"/>
      <c r="I5" s="3288" t="s">
        <v>2538</v>
      </c>
      <c r="J5" s="3289"/>
      <c r="K5" s="610"/>
      <c r="L5" s="1130"/>
      <c r="M5" s="1131"/>
      <c r="N5" s="1131"/>
      <c r="O5" s="1131"/>
      <c r="P5" s="3331"/>
      <c r="Q5" s="3302"/>
      <c r="R5" s="3284"/>
      <c r="S5" s="3285"/>
      <c r="T5" s="3284"/>
      <c r="U5" s="3285"/>
      <c r="V5" s="3307"/>
      <c r="W5" s="3307"/>
      <c r="X5" s="1811"/>
      <c r="Y5" s="3284"/>
      <c r="Z5" s="3285"/>
      <c r="AA5" s="3278"/>
      <c r="AB5" s="3278"/>
      <c r="AC5" s="3327"/>
    </row>
    <row r="6" spans="1:29" ht="15.75" thickBot="1">
      <c r="A6" s="406"/>
      <c r="B6" s="407"/>
      <c r="C6" s="3290" t="s">
        <v>2539</v>
      </c>
      <c r="D6" s="3291"/>
      <c r="E6" s="3292" t="s">
        <v>2539</v>
      </c>
      <c r="F6" s="3293"/>
      <c r="G6" s="3290" t="s">
        <v>2539</v>
      </c>
      <c r="H6" s="3291"/>
      <c r="I6" s="3290" t="s">
        <v>2539</v>
      </c>
      <c r="J6" s="3291"/>
      <c r="K6" s="610" t="s">
        <v>2540</v>
      </c>
      <c r="L6" s="1130"/>
      <c r="M6" s="1131"/>
      <c r="N6" s="1131"/>
      <c r="O6" s="1131"/>
      <c r="P6" s="3332"/>
      <c r="Q6" s="3304"/>
      <c r="R6" s="3284"/>
      <c r="S6" s="3285"/>
      <c r="T6" s="3305"/>
      <c r="U6" s="3306"/>
      <c r="V6" s="3307"/>
      <c r="W6" s="3307"/>
      <c r="X6" s="1811"/>
      <c r="Y6" s="3305"/>
      <c r="Z6" s="3306"/>
      <c r="AA6" s="3279"/>
      <c r="AB6" s="3279"/>
      <c r="AC6" s="3328"/>
    </row>
    <row r="7" spans="1:29" s="117" customFormat="1" ht="15.75" thickBot="1">
      <c r="A7" s="408" t="s">
        <v>2541</v>
      </c>
      <c r="B7" s="409"/>
      <c r="C7" s="410">
        <f>'数据-取费表'!B2</f>
        <v>43671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4" t="s">
        <v>2542</v>
      </c>
      <c r="Q7" s="3308"/>
      <c r="R7" s="770" t="s">
        <v>17</v>
      </c>
      <c r="S7" s="771">
        <f t="shared" ref="S7:S15" si="0">F7</f>
        <v>0</v>
      </c>
      <c r="T7" s="770" t="s">
        <v>17</v>
      </c>
      <c r="U7" s="771">
        <f t="shared" ref="U7:U15" si="1">H7</f>
        <v>0</v>
      </c>
      <c r="V7" s="770" t="s">
        <v>17</v>
      </c>
      <c r="W7" s="771">
        <f t="shared" ref="W7:W15" si="2">J7</f>
        <v>0</v>
      </c>
      <c r="X7" s="772"/>
      <c r="Y7" s="3280" t="s">
        <v>2542</v>
      </c>
      <c r="Z7" s="3281"/>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4" t="s">
        <v>2545</v>
      </c>
      <c r="Q8" s="3281"/>
      <c r="R8" s="770" t="s">
        <v>17</v>
      </c>
      <c r="S8" s="771">
        <f t="shared" si="0"/>
        <v>0</v>
      </c>
      <c r="T8" s="770" t="s">
        <v>17</v>
      </c>
      <c r="U8" s="771">
        <f t="shared" si="1"/>
        <v>0</v>
      </c>
      <c r="V8" s="770" t="s">
        <v>17</v>
      </c>
      <c r="W8" s="771">
        <f t="shared" si="2"/>
        <v>0</v>
      </c>
      <c r="X8" s="772"/>
      <c r="Y8" s="3280" t="s">
        <v>2545</v>
      </c>
      <c r="Z8" s="3281"/>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4"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4"/>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4"/>
      <c r="Q11" s="1793"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94"/>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94"/>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94"/>
      <c r="Q14" s="1793">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21" t="s">
        <v>2553</v>
      </c>
      <c r="Q15" s="1808" t="str">
        <f t="shared" si="6"/>
        <v>办公集聚程度</v>
      </c>
      <c r="R15" s="774" t="s">
        <v>17</v>
      </c>
      <c r="S15" s="775">
        <f t="shared" si="0"/>
        <v>100</v>
      </c>
      <c r="T15" s="774" t="s">
        <v>17</v>
      </c>
      <c r="U15" s="775">
        <f t="shared" si="1"/>
        <v>100</v>
      </c>
      <c r="V15" s="774" t="s">
        <v>17</v>
      </c>
      <c r="W15" s="775">
        <f t="shared" si="2"/>
        <v>100</v>
      </c>
      <c r="X15" s="1811"/>
      <c r="Y15" s="3314" t="s">
        <v>2553</v>
      </c>
      <c r="Z15" s="1812" t="str">
        <f t="shared" si="7"/>
        <v>办公集聚程度</v>
      </c>
      <c r="AA15" s="1809">
        <f t="shared" si="3"/>
        <v>1</v>
      </c>
      <c r="AB15" s="1809">
        <f t="shared" si="4"/>
        <v>1</v>
      </c>
      <c r="AC15" s="2672">
        <f t="shared" si="5"/>
        <v>1</v>
      </c>
    </row>
    <row r="16" spans="1:29" ht="15">
      <c r="A16" s="428"/>
      <c r="B16" s="630"/>
      <c r="C16" s="2609"/>
      <c r="D16" s="448"/>
      <c r="E16" s="447"/>
      <c r="F16" s="448"/>
      <c r="G16" s="2609"/>
      <c r="H16" s="450"/>
      <c r="I16" s="447"/>
      <c r="J16" s="448"/>
      <c r="K16" s="615"/>
      <c r="L16" s="1140"/>
      <c r="M16" s="1131"/>
      <c r="N16" s="1131"/>
      <c r="O16" s="1131"/>
      <c r="P16" s="3322"/>
      <c r="Q16" s="1808"/>
      <c r="R16" s="774"/>
      <c r="S16" s="775"/>
      <c r="T16" s="774"/>
      <c r="U16" s="775"/>
      <c r="V16" s="774"/>
      <c r="W16" s="775"/>
      <c r="X16" s="1811"/>
      <c r="Y16" s="3315"/>
      <c r="Z16" s="1812"/>
      <c r="AA16" s="1809">
        <v>1</v>
      </c>
      <c r="AB16" s="1809">
        <v>1</v>
      </c>
      <c r="AC16" s="2672">
        <v>1</v>
      </c>
    </row>
    <row r="17" spans="1:29" ht="71.25">
      <c r="A17" s="428"/>
      <c r="B17" s="631" t="s">
        <v>2092</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22"/>
      <c r="Q17" s="1808" t="str">
        <f>B17</f>
        <v>交通便捷度</v>
      </c>
      <c r="R17" s="774" t="s">
        <v>17</v>
      </c>
      <c r="S17" s="775">
        <f>F17</f>
        <v>100</v>
      </c>
      <c r="T17" s="774" t="s">
        <v>17</v>
      </c>
      <c r="U17" s="775">
        <f>H17</f>
        <v>100</v>
      </c>
      <c r="V17" s="774" t="s">
        <v>17</v>
      </c>
      <c r="W17" s="775">
        <f>J17</f>
        <v>100</v>
      </c>
      <c r="X17" s="1811"/>
      <c r="Y17" s="3315"/>
      <c r="Z17" s="1812" t="str">
        <f>Q17</f>
        <v>交通便捷度</v>
      </c>
      <c r="AA17" s="1809">
        <f t="shared" si="3"/>
        <v>1</v>
      </c>
      <c r="AB17" s="1809">
        <f t="shared" si="4"/>
        <v>1</v>
      </c>
      <c r="AC17" s="2672">
        <f t="shared" si="5"/>
        <v>1</v>
      </c>
    </row>
    <row r="18" spans="1:29" ht="15">
      <c r="A18" s="428"/>
      <c r="B18" s="632"/>
      <c r="C18" s="2674"/>
      <c r="D18" s="450"/>
      <c r="E18" s="2607"/>
      <c r="F18" s="450"/>
      <c r="G18" s="2608"/>
      <c r="H18" s="448"/>
      <c r="I18" s="2608"/>
      <c r="J18" s="448"/>
      <c r="K18" s="615"/>
      <c r="L18" s="1140"/>
      <c r="M18" s="1131"/>
      <c r="N18" s="1131"/>
      <c r="O18" s="1131"/>
      <c r="P18" s="3322"/>
      <c r="Q18" s="1808"/>
      <c r="R18" s="774"/>
      <c r="S18" s="775"/>
      <c r="T18" s="774"/>
      <c r="U18" s="775"/>
      <c r="V18" s="774"/>
      <c r="W18" s="775"/>
      <c r="X18" s="1811"/>
      <c r="Y18" s="3315"/>
      <c r="Z18" s="1812"/>
      <c r="AA18" s="1809">
        <v>1</v>
      </c>
      <c r="AB18" s="1809">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22"/>
      <c r="Q19" s="1808" t="str">
        <f>B19</f>
        <v>公共配套设施</v>
      </c>
      <c r="R19" s="774" t="s">
        <v>17</v>
      </c>
      <c r="S19" s="775">
        <f>F19</f>
        <v>100</v>
      </c>
      <c r="T19" s="774" t="s">
        <v>17</v>
      </c>
      <c r="U19" s="775">
        <f>H19</f>
        <v>100</v>
      </c>
      <c r="V19" s="774" t="s">
        <v>17</v>
      </c>
      <c r="W19" s="775">
        <f>J19</f>
        <v>100</v>
      </c>
      <c r="X19" s="1811"/>
      <c r="Y19" s="3315"/>
      <c r="Z19" s="1812" t="str">
        <f>Q19</f>
        <v>公共配套设施</v>
      </c>
      <c r="AA19" s="1809">
        <f t="shared" si="3"/>
        <v>1</v>
      </c>
      <c r="AB19" s="1809">
        <f t="shared" si="4"/>
        <v>1</v>
      </c>
      <c r="AC19" s="2672">
        <f t="shared" si="5"/>
        <v>1</v>
      </c>
    </row>
    <row r="20" spans="1:29" ht="15">
      <c r="A20" s="428"/>
      <c r="B20" s="632"/>
      <c r="C20" s="2609"/>
      <c r="D20" s="448"/>
      <c r="E20" s="2602"/>
      <c r="F20" s="448"/>
      <c r="G20" s="2603"/>
      <c r="H20" s="448"/>
      <c r="I20" s="2603"/>
      <c r="J20" s="448"/>
      <c r="K20" s="615"/>
      <c r="L20" s="1140"/>
      <c r="M20" s="1131"/>
      <c r="N20" s="1131"/>
      <c r="O20" s="1131"/>
      <c r="P20" s="3322"/>
      <c r="Q20" s="1808"/>
      <c r="R20" s="774"/>
      <c r="S20" s="775"/>
      <c r="T20" s="774"/>
      <c r="U20" s="775"/>
      <c r="V20" s="774"/>
      <c r="W20" s="775"/>
      <c r="X20" s="1811"/>
      <c r="Y20" s="3315"/>
      <c r="Z20" s="1812"/>
      <c r="AA20" s="1809">
        <v>1</v>
      </c>
      <c r="AB20" s="1809">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22"/>
      <c r="Q21" s="1808" t="str">
        <f>B21</f>
        <v>基础设施水平</v>
      </c>
      <c r="R21" s="774" t="s">
        <v>17</v>
      </c>
      <c r="S21" s="775">
        <f>F21</f>
        <v>100</v>
      </c>
      <c r="T21" s="774" t="s">
        <v>17</v>
      </c>
      <c r="U21" s="775">
        <f>H21</f>
        <v>100</v>
      </c>
      <c r="V21" s="774" t="s">
        <v>17</v>
      </c>
      <c r="W21" s="775">
        <f>J21</f>
        <v>100</v>
      </c>
      <c r="X21" s="1811"/>
      <c r="Y21" s="3315"/>
      <c r="Z21" s="1812" t="str">
        <f>Q21</f>
        <v>基础设施水平</v>
      </c>
      <c r="AA21" s="1809">
        <f t="shared" ref="AA21" si="8">D21/F21</f>
        <v>1</v>
      </c>
      <c r="AB21" s="1809">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322"/>
      <c r="Q22" s="1808"/>
      <c r="R22" s="774"/>
      <c r="S22" s="775"/>
      <c r="T22" s="774"/>
      <c r="U22" s="775"/>
      <c r="V22" s="774"/>
      <c r="W22" s="775"/>
      <c r="X22" s="1811"/>
      <c r="Y22" s="3315"/>
      <c r="Z22" s="1812"/>
      <c r="AA22" s="1809">
        <v>1</v>
      </c>
      <c r="AB22" s="1809">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22"/>
      <c r="Q23" s="1808" t="str">
        <f>B23</f>
        <v>环境质量</v>
      </c>
      <c r="R23" s="774" t="s">
        <v>17</v>
      </c>
      <c r="S23" s="775">
        <f>F23</f>
        <v>100</v>
      </c>
      <c r="T23" s="774" t="s">
        <v>17</v>
      </c>
      <c r="U23" s="775">
        <f>H23</f>
        <v>100</v>
      </c>
      <c r="V23" s="774" t="s">
        <v>17</v>
      </c>
      <c r="W23" s="775">
        <f>J23</f>
        <v>100</v>
      </c>
      <c r="X23" s="1811"/>
      <c r="Y23" s="3315"/>
      <c r="Z23" s="1812" t="str">
        <f>Q23</f>
        <v>环境质量</v>
      </c>
      <c r="AA23" s="1809">
        <f t="shared" si="3"/>
        <v>1</v>
      </c>
      <c r="AB23" s="1809">
        <f t="shared" si="4"/>
        <v>1</v>
      </c>
      <c r="AC23" s="2672">
        <f t="shared" si="5"/>
        <v>1</v>
      </c>
    </row>
    <row r="24" spans="1:29" ht="15">
      <c r="A24" s="428"/>
      <c r="B24" s="633"/>
      <c r="C24" s="2609"/>
      <c r="D24" s="448"/>
      <c r="E24" s="2602"/>
      <c r="F24" s="448"/>
      <c r="G24" s="2603"/>
      <c r="H24" s="448"/>
      <c r="I24" s="2603"/>
      <c r="J24" s="448"/>
      <c r="K24" s="615"/>
      <c r="L24" s="1140"/>
      <c r="M24" s="1131"/>
      <c r="N24" s="1131"/>
      <c r="O24" s="1131"/>
      <c r="P24" s="3322"/>
      <c r="Q24" s="1808"/>
      <c r="R24" s="774"/>
      <c r="S24" s="775"/>
      <c r="T24" s="774"/>
      <c r="U24" s="775"/>
      <c r="V24" s="774"/>
      <c r="W24" s="775"/>
      <c r="X24" s="1811"/>
      <c r="Y24" s="3315"/>
      <c r="Z24" s="1812"/>
      <c r="AA24" s="1809">
        <v>1</v>
      </c>
      <c r="AB24" s="1809">
        <v>1</v>
      </c>
      <c r="AC24" s="2672">
        <v>1</v>
      </c>
    </row>
    <row r="25" spans="1:29" ht="27">
      <c r="A25" s="404"/>
      <c r="B25" s="631" t="s">
        <v>2684</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322"/>
      <c r="Q25" s="1808" t="str">
        <f>B25</f>
        <v>毗邻道路的类型与等级</v>
      </c>
      <c r="R25" s="774" t="s">
        <v>17</v>
      </c>
      <c r="S25" s="775">
        <f>F25</f>
        <v>100</v>
      </c>
      <c r="T25" s="774" t="s">
        <v>17</v>
      </c>
      <c r="U25" s="775">
        <f>H25</f>
        <v>100</v>
      </c>
      <c r="V25" s="774" t="s">
        <v>17</v>
      </c>
      <c r="W25" s="775">
        <f>J25</f>
        <v>100</v>
      </c>
      <c r="X25" s="1811"/>
      <c r="Y25" s="3315"/>
      <c r="Z25" s="1812" t="str">
        <f>Q25</f>
        <v>毗邻道路的类型与等级</v>
      </c>
      <c r="AA25" s="1809">
        <f t="shared" si="3"/>
        <v>1</v>
      </c>
      <c r="AB25" s="1809">
        <f t="shared" si="4"/>
        <v>1</v>
      </c>
      <c r="AC25" s="2672">
        <f t="shared" si="5"/>
        <v>1</v>
      </c>
    </row>
    <row r="26" spans="1:29" ht="15">
      <c r="A26" s="404"/>
      <c r="B26" s="632"/>
      <c r="C26" s="634"/>
      <c r="D26" s="435"/>
      <c r="E26" s="616"/>
      <c r="F26" s="435"/>
      <c r="G26" s="634"/>
      <c r="H26" s="435"/>
      <c r="I26" s="616"/>
      <c r="J26" s="435"/>
      <c r="K26" s="615"/>
      <c r="L26" s="1140"/>
      <c r="M26" s="1131"/>
      <c r="N26" s="1131"/>
      <c r="O26" s="1131"/>
      <c r="P26" s="3322"/>
      <c r="Q26" s="1808"/>
      <c r="R26" s="774"/>
      <c r="S26" s="775"/>
      <c r="T26" s="774"/>
      <c r="U26" s="775"/>
      <c r="V26" s="774"/>
      <c r="W26" s="775"/>
      <c r="X26" s="1811"/>
      <c r="Y26" s="3315"/>
      <c r="Z26" s="1812"/>
      <c r="AA26" s="1809">
        <v>1</v>
      </c>
      <c r="AB26" s="1809">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22"/>
      <c r="Q27" s="1808" t="str">
        <f t="shared" ref="Q27:Q47" si="11">B27</f>
        <v>楼层</v>
      </c>
      <c r="R27" s="774" t="s">
        <v>17</v>
      </c>
      <c r="S27" s="775">
        <f>F27</f>
        <v>100</v>
      </c>
      <c r="T27" s="774" t="s">
        <v>17</v>
      </c>
      <c r="U27" s="775">
        <f>H27</f>
        <v>100</v>
      </c>
      <c r="V27" s="774" t="s">
        <v>17</v>
      </c>
      <c r="W27" s="775">
        <f>J27</f>
        <v>100</v>
      </c>
      <c r="X27" s="1811"/>
      <c r="Y27" s="3315"/>
      <c r="Z27" s="1812" t="str">
        <f>Q27</f>
        <v>楼层</v>
      </c>
      <c r="AA27" s="1809">
        <f t="shared" si="3"/>
        <v>1</v>
      </c>
      <c r="AB27" s="1809">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322"/>
      <c r="Q28" s="1793" t="str">
        <f t="shared" si="11"/>
        <v>朝向</v>
      </c>
      <c r="R28" s="770" t="s">
        <v>17</v>
      </c>
      <c r="S28" s="771">
        <f>F28</f>
        <v>100</v>
      </c>
      <c r="T28" s="770" t="s">
        <v>17</v>
      </c>
      <c r="U28" s="771">
        <f>H28</f>
        <v>100</v>
      </c>
      <c r="V28" s="770" t="s">
        <v>17</v>
      </c>
      <c r="W28" s="771">
        <f>J28</f>
        <v>100</v>
      </c>
      <c r="X28" s="772"/>
      <c r="Y28" s="3315"/>
      <c r="Z28" s="55" t="str">
        <f>Q28</f>
        <v>朝向</v>
      </c>
      <c r="AA28" s="1809">
        <f>D28/F28</f>
        <v>1</v>
      </c>
      <c r="AB28" s="1809">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322"/>
      <c r="Q29" s="1808">
        <f t="shared" si="11"/>
        <v>111</v>
      </c>
      <c r="R29" s="774" t="s">
        <v>17</v>
      </c>
      <c r="S29" s="775">
        <f t="shared" ref="S29:S47" si="12">F29</f>
        <v>100</v>
      </c>
      <c r="T29" s="774" t="s">
        <v>17</v>
      </c>
      <c r="U29" s="775">
        <f t="shared" ref="U29:U47" si="13">H29</f>
        <v>100</v>
      </c>
      <c r="V29" s="774" t="s">
        <v>17</v>
      </c>
      <c r="W29" s="775">
        <f t="shared" ref="W29:W47" si="14">J29</f>
        <v>100</v>
      </c>
      <c r="X29" s="1811"/>
      <c r="Y29" s="3315"/>
      <c r="Z29" s="1812">
        <f t="shared" ref="Z29:Z47" si="15">Q29</f>
        <v>111</v>
      </c>
      <c r="AA29" s="1809">
        <f t="shared" si="3"/>
        <v>1</v>
      </c>
      <c r="AB29" s="1809">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322"/>
      <c r="Q30" s="1808">
        <f t="shared" si="11"/>
        <v>111</v>
      </c>
      <c r="R30" s="774" t="s">
        <v>17</v>
      </c>
      <c r="S30" s="775">
        <f t="shared" si="12"/>
        <v>100</v>
      </c>
      <c r="T30" s="774" t="s">
        <v>17</v>
      </c>
      <c r="U30" s="775">
        <f t="shared" si="13"/>
        <v>100</v>
      </c>
      <c r="V30" s="774" t="s">
        <v>17</v>
      </c>
      <c r="W30" s="775">
        <f t="shared" si="14"/>
        <v>100</v>
      </c>
      <c r="X30" s="1811"/>
      <c r="Y30" s="3315"/>
      <c r="Z30" s="1812">
        <f t="shared" si="15"/>
        <v>111</v>
      </c>
      <c r="AA30" s="1809">
        <f t="shared" si="3"/>
        <v>1</v>
      </c>
      <c r="AB30" s="1809">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322"/>
      <c r="Q31" s="1808">
        <f t="shared" si="11"/>
        <v>111</v>
      </c>
      <c r="R31" s="774" t="s">
        <v>17</v>
      </c>
      <c r="S31" s="775">
        <f t="shared" si="12"/>
        <v>100</v>
      </c>
      <c r="T31" s="774" t="s">
        <v>17</v>
      </c>
      <c r="U31" s="775">
        <f t="shared" si="13"/>
        <v>100</v>
      </c>
      <c r="V31" s="774" t="s">
        <v>17</v>
      </c>
      <c r="W31" s="775">
        <f t="shared" si="14"/>
        <v>100</v>
      </c>
      <c r="X31" s="1811"/>
      <c r="Y31" s="3315"/>
      <c r="Z31" s="1812">
        <f t="shared" si="15"/>
        <v>111</v>
      </c>
      <c r="AA31" s="1809">
        <f t="shared" si="3"/>
        <v>1</v>
      </c>
      <c r="AB31" s="1809">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322"/>
      <c r="Q32" s="1808">
        <f t="shared" si="11"/>
        <v>111</v>
      </c>
      <c r="R32" s="774" t="s">
        <v>17</v>
      </c>
      <c r="S32" s="775">
        <f t="shared" si="12"/>
        <v>100</v>
      </c>
      <c r="T32" s="774" t="s">
        <v>17</v>
      </c>
      <c r="U32" s="775">
        <f t="shared" si="13"/>
        <v>100</v>
      </c>
      <c r="V32" s="774" t="s">
        <v>17</v>
      </c>
      <c r="W32" s="775">
        <f t="shared" si="14"/>
        <v>100</v>
      </c>
      <c r="X32" s="1811"/>
      <c r="Y32" s="3315"/>
      <c r="Z32" s="1812">
        <f t="shared" si="15"/>
        <v>111</v>
      </c>
      <c r="AA32" s="1809">
        <f t="shared" si="3"/>
        <v>1</v>
      </c>
      <c r="AB32" s="1809">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316" t="s">
        <v>2558</v>
      </c>
      <c r="Q33" s="1808" t="str">
        <f t="shared" si="11"/>
        <v>建筑类型</v>
      </c>
      <c r="R33" s="774" t="s">
        <v>17</v>
      </c>
      <c r="S33" s="775">
        <f t="shared" si="12"/>
        <v>100</v>
      </c>
      <c r="T33" s="774" t="s">
        <v>17</v>
      </c>
      <c r="U33" s="775">
        <f t="shared" si="13"/>
        <v>100</v>
      </c>
      <c r="V33" s="774" t="s">
        <v>17</v>
      </c>
      <c r="W33" s="775">
        <f t="shared" si="14"/>
        <v>100</v>
      </c>
      <c r="X33" s="1811"/>
      <c r="Y33" s="3319" t="s">
        <v>2558</v>
      </c>
      <c r="Z33" s="1812" t="str">
        <f t="shared" si="15"/>
        <v>建筑类型</v>
      </c>
      <c r="AA33" s="1809">
        <f t="shared" si="3"/>
        <v>1</v>
      </c>
      <c r="AB33" s="1809">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7"/>
      <c r="Q34" s="776" t="str">
        <f t="shared" si="11"/>
        <v>项目建筑规模</v>
      </c>
      <c r="R34" s="777" t="s">
        <v>17</v>
      </c>
      <c r="S34" s="778" t="e">
        <f t="shared" si="12"/>
        <v>#N/A</v>
      </c>
      <c r="T34" s="777" t="s">
        <v>17</v>
      </c>
      <c r="U34" s="778" t="e">
        <f t="shared" si="13"/>
        <v>#N/A</v>
      </c>
      <c r="V34" s="777" t="s">
        <v>17</v>
      </c>
      <c r="W34" s="778" t="e">
        <f t="shared" si="14"/>
        <v>#N/A</v>
      </c>
      <c r="X34" s="779"/>
      <c r="Y34" s="3319"/>
      <c r="Z34" s="780" t="str">
        <f t="shared" si="15"/>
        <v>项目建筑规模</v>
      </c>
      <c r="AA34" s="1809" t="e">
        <f t="shared" si="3"/>
        <v>#N/A</v>
      </c>
      <c r="AB34" s="1809"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7"/>
      <c r="Q35" s="1808" t="str">
        <f t="shared" si="11"/>
        <v>建筑结构</v>
      </c>
      <c r="R35" s="774" t="s">
        <v>17</v>
      </c>
      <c r="S35" s="775">
        <f t="shared" si="12"/>
        <v>100</v>
      </c>
      <c r="T35" s="774" t="s">
        <v>17</v>
      </c>
      <c r="U35" s="775">
        <f t="shared" si="13"/>
        <v>100</v>
      </c>
      <c r="V35" s="774" t="s">
        <v>17</v>
      </c>
      <c r="W35" s="775">
        <f t="shared" si="14"/>
        <v>100</v>
      </c>
      <c r="X35" s="1811"/>
      <c r="Y35" s="3319"/>
      <c r="Z35" s="1812" t="str">
        <f t="shared" si="15"/>
        <v>建筑结构</v>
      </c>
      <c r="AA35" s="1809">
        <f t="shared" si="3"/>
        <v>1</v>
      </c>
      <c r="AB35" s="1809">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7"/>
      <c r="Q36" s="1808" t="str">
        <f t="shared" si="11"/>
        <v>公共部分装修</v>
      </c>
      <c r="R36" s="774" t="s">
        <v>17</v>
      </c>
      <c r="S36" s="775">
        <f t="shared" si="12"/>
        <v>100</v>
      </c>
      <c r="T36" s="774" t="s">
        <v>17</v>
      </c>
      <c r="U36" s="775">
        <f t="shared" si="13"/>
        <v>100</v>
      </c>
      <c r="V36" s="774" t="s">
        <v>17</v>
      </c>
      <c r="W36" s="775">
        <f t="shared" si="14"/>
        <v>100</v>
      </c>
      <c r="X36" s="1811"/>
      <c r="Y36" s="3319"/>
      <c r="Z36" s="1812" t="str">
        <f t="shared" si="15"/>
        <v>公共部分装修</v>
      </c>
      <c r="AA36" s="1809">
        <f t="shared" si="3"/>
        <v>1</v>
      </c>
      <c r="AB36" s="1809">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7"/>
      <c r="Q37" s="1808" t="str">
        <f t="shared" si="11"/>
        <v>成新度</v>
      </c>
      <c r="R37" s="774" t="s">
        <v>17</v>
      </c>
      <c r="S37" s="775" t="e">
        <f t="shared" si="12"/>
        <v>#N/A</v>
      </c>
      <c r="T37" s="774" t="s">
        <v>17</v>
      </c>
      <c r="U37" s="775" t="e">
        <f t="shared" si="13"/>
        <v>#N/A</v>
      </c>
      <c r="V37" s="774" t="s">
        <v>17</v>
      </c>
      <c r="W37" s="775" t="e">
        <f t="shared" si="14"/>
        <v>#N/A</v>
      </c>
      <c r="X37" s="1811"/>
      <c r="Y37" s="3319"/>
      <c r="Z37" s="1812" t="str">
        <f t="shared" si="15"/>
        <v>成新度</v>
      </c>
      <c r="AA37" s="1809" t="e">
        <f t="shared" si="3"/>
        <v>#N/A</v>
      </c>
      <c r="AB37" s="1809"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7"/>
      <c r="Q38" s="1793" t="str">
        <f t="shared" si="11"/>
        <v>写字楼等级</v>
      </c>
      <c r="R38" s="770" t="s">
        <v>17</v>
      </c>
      <c r="S38" s="771">
        <f t="shared" si="12"/>
        <v>100</v>
      </c>
      <c r="T38" s="770" t="s">
        <v>17</v>
      </c>
      <c r="U38" s="771">
        <f t="shared" si="13"/>
        <v>100</v>
      </c>
      <c r="V38" s="770" t="s">
        <v>17</v>
      </c>
      <c r="W38" s="771">
        <f t="shared" si="14"/>
        <v>100</v>
      </c>
      <c r="X38" s="772"/>
      <c r="Y38" s="3319"/>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7" t="s">
        <v>2558</v>
      </c>
      <c r="Q39" s="1808" t="str">
        <f t="shared" si="11"/>
        <v>物业管理</v>
      </c>
      <c r="R39" s="774" t="s">
        <v>17</v>
      </c>
      <c r="S39" s="775">
        <f t="shared" si="12"/>
        <v>100</v>
      </c>
      <c r="T39" s="774" t="s">
        <v>17</v>
      </c>
      <c r="U39" s="775">
        <f t="shared" si="13"/>
        <v>100</v>
      </c>
      <c r="V39" s="774" t="s">
        <v>17</v>
      </c>
      <c r="W39" s="775">
        <f t="shared" si="14"/>
        <v>100</v>
      </c>
      <c r="X39" s="1811"/>
      <c r="Y39" s="3319" t="s">
        <v>2558</v>
      </c>
      <c r="Z39" s="1812" t="str">
        <f t="shared" si="15"/>
        <v>物业管理</v>
      </c>
      <c r="AA39" s="1809">
        <f t="shared" si="3"/>
        <v>1</v>
      </c>
      <c r="AB39" s="1809">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7"/>
      <c r="Q40" s="1808" t="str">
        <f t="shared" si="11"/>
        <v>市政基础设施</v>
      </c>
      <c r="R40" s="774" t="s">
        <v>17</v>
      </c>
      <c r="S40" s="775">
        <f t="shared" si="12"/>
        <v>100</v>
      </c>
      <c r="T40" s="774" t="s">
        <v>17</v>
      </c>
      <c r="U40" s="775">
        <f t="shared" si="13"/>
        <v>100</v>
      </c>
      <c r="V40" s="774" t="s">
        <v>17</v>
      </c>
      <c r="W40" s="775">
        <f t="shared" si="14"/>
        <v>100</v>
      </c>
      <c r="X40" s="1811"/>
      <c r="Y40" s="3319"/>
      <c r="Z40" s="1812" t="str">
        <f t="shared" si="15"/>
        <v>市政基础设施</v>
      </c>
      <c r="AA40" s="1809">
        <f t="shared" si="3"/>
        <v>1</v>
      </c>
      <c r="AB40" s="1809">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7"/>
      <c r="Q41" s="1808" t="str">
        <f t="shared" si="11"/>
        <v>层高</v>
      </c>
      <c r="R41" s="774" t="s">
        <v>17</v>
      </c>
      <c r="S41" s="775">
        <f t="shared" si="12"/>
        <v>100</v>
      </c>
      <c r="T41" s="774" t="s">
        <v>17</v>
      </c>
      <c r="U41" s="775">
        <f t="shared" si="13"/>
        <v>100</v>
      </c>
      <c r="V41" s="774" t="s">
        <v>17</v>
      </c>
      <c r="W41" s="775">
        <f t="shared" si="14"/>
        <v>100</v>
      </c>
      <c r="X41" s="1811"/>
      <c r="Y41" s="3319"/>
      <c r="Z41" s="1812" t="str">
        <f t="shared" si="15"/>
        <v>层高</v>
      </c>
      <c r="AA41" s="1809">
        <f t="shared" si="3"/>
        <v>1</v>
      </c>
      <c r="AB41" s="1809">
        <f t="shared" si="4"/>
        <v>1</v>
      </c>
      <c r="AC41" s="2672">
        <f t="shared" si="5"/>
        <v>1</v>
      </c>
    </row>
    <row r="42" spans="1:29" s="471" customFormat="1" ht="15">
      <c r="A42" s="468"/>
      <c r="B42" s="1810"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7"/>
      <c r="Q42" s="776" t="str">
        <f t="shared" si="11"/>
        <v>单套建筑面积</v>
      </c>
      <c r="R42" s="777" t="s">
        <v>17</v>
      </c>
      <c r="S42" s="778">
        <f t="shared" si="12"/>
        <v>100</v>
      </c>
      <c r="T42" s="777" t="s">
        <v>17</v>
      </c>
      <c r="U42" s="778">
        <f t="shared" si="13"/>
        <v>100</v>
      </c>
      <c r="V42" s="777" t="s">
        <v>17</v>
      </c>
      <c r="W42" s="778">
        <f t="shared" si="14"/>
        <v>100</v>
      </c>
      <c r="X42" s="779"/>
      <c r="Y42" s="3319"/>
      <c r="Z42" s="780" t="str">
        <f t="shared" si="15"/>
        <v>单套建筑面积</v>
      </c>
      <c r="AA42" s="1809">
        <f t="shared" si="3"/>
        <v>1</v>
      </c>
      <c r="AB42" s="1809">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7"/>
      <c r="Q43" s="1808" t="str">
        <f t="shared" si="11"/>
        <v>内部装修</v>
      </c>
      <c r="R43" s="774" t="s">
        <v>17</v>
      </c>
      <c r="S43" s="775">
        <f t="shared" si="12"/>
        <v>100</v>
      </c>
      <c r="T43" s="774" t="s">
        <v>17</v>
      </c>
      <c r="U43" s="775">
        <f t="shared" si="13"/>
        <v>100</v>
      </c>
      <c r="V43" s="774" t="s">
        <v>17</v>
      </c>
      <c r="W43" s="775">
        <f t="shared" si="14"/>
        <v>100</v>
      </c>
      <c r="X43" s="1811"/>
      <c r="Y43" s="3319"/>
      <c r="Z43" s="1812" t="str">
        <f t="shared" si="15"/>
        <v>内部装修</v>
      </c>
      <c r="AA43" s="1809">
        <f t="shared" si="3"/>
        <v>1</v>
      </c>
      <c r="AB43" s="1809">
        <f t="shared" si="4"/>
        <v>1</v>
      </c>
      <c r="AC43" s="2672">
        <f t="shared" si="5"/>
        <v>1</v>
      </c>
    </row>
    <row r="44" spans="1:29" ht="15">
      <c r="A44" s="472"/>
      <c r="B44" s="422" t="s">
        <v>2569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317"/>
      <c r="Q44" s="1808" t="str">
        <f t="shared" si="11"/>
        <v>内部装修维护情况</v>
      </c>
      <c r="R44" s="774" t="s">
        <v>17</v>
      </c>
      <c r="S44" s="775">
        <f t="shared" si="12"/>
        <v>100</v>
      </c>
      <c r="T44" s="774" t="s">
        <v>17</v>
      </c>
      <c r="U44" s="775">
        <f t="shared" si="13"/>
        <v>100</v>
      </c>
      <c r="V44" s="774" t="s">
        <v>17</v>
      </c>
      <c r="W44" s="775">
        <f t="shared" si="14"/>
        <v>100</v>
      </c>
      <c r="X44" s="1811"/>
      <c r="Y44" s="3319"/>
      <c r="Z44" s="1812" t="str">
        <f t="shared" si="15"/>
        <v>内部装修维护情况</v>
      </c>
      <c r="AA44" s="1809">
        <f t="shared" si="3"/>
        <v>1</v>
      </c>
      <c r="AB44" s="1809">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7"/>
      <c r="Q45" s="1793">
        <f t="shared" si="11"/>
        <v>111</v>
      </c>
      <c r="R45" s="770" t="s">
        <v>17</v>
      </c>
      <c r="S45" s="771">
        <f t="shared" si="12"/>
        <v>100</v>
      </c>
      <c r="T45" s="770" t="s">
        <v>17</v>
      </c>
      <c r="U45" s="771">
        <f t="shared" si="13"/>
        <v>100</v>
      </c>
      <c r="V45" s="770" t="s">
        <v>17</v>
      </c>
      <c r="W45" s="771">
        <f t="shared" si="14"/>
        <v>100</v>
      </c>
      <c r="X45" s="772"/>
      <c r="Y45" s="331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7"/>
      <c r="Q46" s="1808">
        <f t="shared" si="11"/>
        <v>111</v>
      </c>
      <c r="R46" s="774" t="s">
        <v>17</v>
      </c>
      <c r="S46" s="775">
        <f t="shared" si="12"/>
        <v>100</v>
      </c>
      <c r="T46" s="774" t="s">
        <v>17</v>
      </c>
      <c r="U46" s="775">
        <f t="shared" si="13"/>
        <v>100</v>
      </c>
      <c r="V46" s="774" t="s">
        <v>17</v>
      </c>
      <c r="W46" s="775">
        <f t="shared" si="14"/>
        <v>100</v>
      </c>
      <c r="X46" s="1811"/>
      <c r="Y46" s="3319"/>
      <c r="Z46" s="1812">
        <f t="shared" si="15"/>
        <v>111</v>
      </c>
      <c r="AA46" s="1809">
        <f t="shared" si="3"/>
        <v>1</v>
      </c>
      <c r="AB46" s="1809">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8"/>
      <c r="Q47" s="1808">
        <f t="shared" si="11"/>
        <v>111</v>
      </c>
      <c r="R47" s="774" t="s">
        <v>17</v>
      </c>
      <c r="S47" s="775">
        <f t="shared" si="12"/>
        <v>100</v>
      </c>
      <c r="T47" s="774" t="s">
        <v>17</v>
      </c>
      <c r="U47" s="775">
        <f t="shared" si="13"/>
        <v>100</v>
      </c>
      <c r="V47" s="774" t="s">
        <v>17</v>
      </c>
      <c r="W47" s="775">
        <f t="shared" si="14"/>
        <v>100</v>
      </c>
      <c r="X47" s="1811"/>
      <c r="Y47" s="3320"/>
      <c r="Z47" s="1812">
        <f t="shared" si="15"/>
        <v>111</v>
      </c>
      <c r="AA47" s="1809">
        <f t="shared" si="3"/>
        <v>1</v>
      </c>
      <c r="AB47" s="1809">
        <f t="shared" si="4"/>
        <v>1</v>
      </c>
      <c r="AC47" s="2672">
        <f t="shared" si="5"/>
        <v>1</v>
      </c>
    </row>
    <row r="48" spans="1:29" ht="15">
      <c r="A48" s="479" t="s">
        <v>2570</v>
      </c>
      <c r="B48" s="480"/>
      <c r="C48" s="1406" t="s">
        <v>1</v>
      </c>
      <c r="D48" s="1407"/>
      <c r="E48" s="1408"/>
      <c r="F48" s="1409"/>
      <c r="G48" s="1410"/>
      <c r="H48" s="1411"/>
      <c r="I48" s="1408"/>
      <c r="J48" s="485"/>
      <c r="K48" s="783"/>
      <c r="L48" s="1143"/>
      <c r="M48" s="1131"/>
      <c r="N48" s="1131"/>
      <c r="O48" s="1131"/>
      <c r="P48" s="3294" t="str">
        <f>A48</f>
        <v>成交单价（元/平方米）</v>
      </c>
      <c r="Q48" s="3312"/>
      <c r="R48" s="3313">
        <f>E48</f>
        <v>0</v>
      </c>
      <c r="S48" s="3313"/>
      <c r="T48" s="3313">
        <f>G48</f>
        <v>0</v>
      </c>
      <c r="U48" s="3313"/>
      <c r="V48" s="3313">
        <f>I48</f>
        <v>0</v>
      </c>
      <c r="W48" s="3313"/>
      <c r="X48" s="446"/>
      <c r="Y48" s="781"/>
      <c r="Z48" s="446"/>
      <c r="AA48" s="446"/>
      <c r="AB48" s="446"/>
      <c r="AC48" s="630"/>
    </row>
    <row r="49" spans="1:29" ht="15.75" thickBot="1">
      <c r="A49" s="486" t="s">
        <v>2662</v>
      </c>
      <c r="B49" s="487"/>
      <c r="C49" s="1412" t="e">
        <f>R50</f>
        <v>#DIV/0!</v>
      </c>
      <c r="D49" s="1413"/>
      <c r="E49" s="1414" t="e">
        <f>R49</f>
        <v>#DIV/0!</v>
      </c>
      <c r="F49" s="1414"/>
      <c r="G49" s="1412" t="e">
        <f>T49</f>
        <v>#DIV/0!</v>
      </c>
      <c r="H49" s="1413"/>
      <c r="I49" s="1414" t="e">
        <f>V49</f>
        <v>#DIV/0!</v>
      </c>
      <c r="J49" s="489"/>
      <c r="K49" s="784"/>
      <c r="L49" s="1143"/>
      <c r="M49" s="1131"/>
      <c r="N49" s="1131"/>
      <c r="O49" s="1131"/>
      <c r="P49" s="3294" t="str">
        <f>A49</f>
        <v>比较价值（元/平方米）</v>
      </c>
      <c r="Q49" s="3312"/>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46"/>
      <c r="Y49" s="446"/>
      <c r="Z49" s="446"/>
      <c r="AA49" s="446"/>
      <c r="AB49" s="446"/>
      <c r="AC49" s="630"/>
    </row>
    <row r="50" spans="1:29" ht="15.75" thickBot="1">
      <c r="A50" s="492" t="s">
        <v>2663</v>
      </c>
      <c r="B50" s="493"/>
      <c r="C50" s="1416" t="e">
        <f>R50</f>
        <v>#DIV/0!</v>
      </c>
      <c r="D50" s="1416"/>
      <c r="E50" s="1416"/>
      <c r="F50" s="1416"/>
      <c r="G50" s="1416"/>
      <c r="H50" s="1416"/>
      <c r="I50" s="1416"/>
      <c r="J50" s="494"/>
      <c r="K50" s="785"/>
      <c r="L50" s="1143"/>
      <c r="M50" s="1131"/>
      <c r="N50" s="1131"/>
      <c r="O50" s="1131"/>
      <c r="P50" s="3335" t="str">
        <f>A50</f>
        <v>估价对象XX用房的比较价值（楼面单价，元/平方米）</v>
      </c>
      <c r="Q50" s="3336"/>
      <c r="R50" s="3337" t="e">
        <f>IF(F1="售价",ROUND(AVERAGE(R49:V49),0),ROUND(AVERAGE(R49:V49),1))</f>
        <v>#DIV/0!</v>
      </c>
      <c r="S50" s="3337"/>
      <c r="T50" s="3337"/>
      <c r="U50" s="3337"/>
      <c r="V50" s="3337"/>
      <c r="W50" s="333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79"/>
      <c r="Q58" s="504"/>
    </row>
    <row r="59" spans="1:29" s="508" customFormat="1" ht="15">
      <c r="A59" s="505" t="s">
        <v>2541</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2581</v>
      </c>
      <c r="B64" s="528" t="s">
        <v>2547</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2692</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2556</v>
      </c>
      <c r="B101" s="528" t="s">
        <v>2605</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2607</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2609</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2610</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2611</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2694</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2613</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2521</v>
      </c>
      <c r="B1" s="2667" t="s">
        <v>2695</v>
      </c>
      <c r="C1" s="1618" t="s">
        <v>2523</v>
      </c>
      <c r="D1" s="1619"/>
      <c r="E1" s="1628"/>
      <c r="F1" s="2582"/>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2320</v>
      </c>
      <c r="B2" s="1417" t="e">
        <f ca="1">IF(C2="——",ROUND(C43*D3/10000,0),ROUND(C43*D3/10000,0)-D2)</f>
        <v>#DIV/0!</v>
      </c>
      <c r="C2" s="2584"/>
      <c r="D2" s="1124" t="e">
        <f ca="1">SUMIF(INDIRECT("'"&amp;F2&amp;"'"&amp;"!A:A"),"承租人权益价值",INDIRECT("'"&amp;F2&amp;"'"&amp;"!c:c"))</f>
        <v>#REF!</v>
      </c>
      <c r="E2" s="2585" t="s">
        <v>2321</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10771.04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278" t="s">
        <v>2641</v>
      </c>
      <c r="AC4" s="3277" t="s">
        <v>2642</v>
      </c>
    </row>
    <row r="5" spans="1:29" ht="15">
      <c r="A5" s="404"/>
      <c r="B5" s="405"/>
      <c r="C5" s="3288" t="s">
        <v>2535</v>
      </c>
      <c r="D5" s="3289"/>
      <c r="E5" s="3286" t="s">
        <v>2536</v>
      </c>
      <c r="F5" s="3287"/>
      <c r="G5" s="3288" t="s">
        <v>2537</v>
      </c>
      <c r="H5" s="3289"/>
      <c r="I5" s="3288" t="s">
        <v>2538</v>
      </c>
      <c r="J5" s="3289"/>
      <c r="K5" s="610"/>
      <c r="L5" s="1130"/>
      <c r="M5" s="1131"/>
      <c r="N5" s="1131"/>
      <c r="O5" s="1131"/>
      <c r="P5" s="3301"/>
      <c r="Q5" s="3302"/>
      <c r="R5" s="3284"/>
      <c r="S5" s="3285"/>
      <c r="T5" s="3284"/>
      <c r="U5" s="3285"/>
      <c r="V5" s="3307"/>
      <c r="W5" s="3307"/>
      <c r="X5" s="1811"/>
      <c r="Y5" s="3284"/>
      <c r="Z5" s="3285"/>
      <c r="AA5" s="3278"/>
      <c r="AB5" s="3278"/>
      <c r="AC5" s="3278"/>
    </row>
    <row r="6" spans="1:29" ht="15.75" thickBot="1">
      <c r="A6" s="406"/>
      <c r="B6" s="407"/>
      <c r="C6" s="3290" t="s">
        <v>2539</v>
      </c>
      <c r="D6" s="3291"/>
      <c r="E6" s="3292" t="s">
        <v>2539</v>
      </c>
      <c r="F6" s="3293"/>
      <c r="G6" s="3290" t="s">
        <v>2539</v>
      </c>
      <c r="H6" s="3291"/>
      <c r="I6" s="3290" t="s">
        <v>2539</v>
      </c>
      <c r="J6" s="3291"/>
      <c r="K6" s="610" t="s">
        <v>2540</v>
      </c>
      <c r="L6" s="1130"/>
      <c r="M6" s="1131"/>
      <c r="N6" s="1131"/>
      <c r="O6" s="1131"/>
      <c r="P6" s="3303"/>
      <c r="Q6" s="3304"/>
      <c r="R6" s="3284"/>
      <c r="S6" s="3285"/>
      <c r="T6" s="3305"/>
      <c r="U6" s="3306"/>
      <c r="V6" s="3307"/>
      <c r="W6" s="3307"/>
      <c r="X6" s="1811"/>
      <c r="Y6" s="3305"/>
      <c r="Z6" s="3306"/>
      <c r="AA6" s="3279"/>
      <c r="AB6" s="3279"/>
      <c r="AC6" s="3279"/>
    </row>
    <row r="7" spans="1:29" s="117" customFormat="1" ht="15.75" thickBot="1">
      <c r="A7" s="408" t="s">
        <v>2541</v>
      </c>
      <c r="B7" s="409"/>
      <c r="C7" s="410">
        <f>'数据-取费表'!B2</f>
        <v>43671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0" t="s">
        <v>2542</v>
      </c>
      <c r="Q7" s="3308"/>
      <c r="R7" s="770" t="s">
        <v>17</v>
      </c>
      <c r="S7" s="771">
        <f t="shared" ref="S7:S15" si="0">F7</f>
        <v>0</v>
      </c>
      <c r="T7" s="770" t="s">
        <v>17</v>
      </c>
      <c r="U7" s="771">
        <f t="shared" ref="U7:U15" si="1">H7</f>
        <v>0</v>
      </c>
      <c r="V7" s="770" t="s">
        <v>17</v>
      </c>
      <c r="W7" s="771">
        <f t="shared" ref="W7:W15" si="2">J7</f>
        <v>0</v>
      </c>
      <c r="X7" s="772"/>
      <c r="Y7" s="3280" t="s">
        <v>2542</v>
      </c>
      <c r="Z7" s="328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0" t="s">
        <v>2545</v>
      </c>
      <c r="Q8" s="3281"/>
      <c r="R8" s="770" t="s">
        <v>17</v>
      </c>
      <c r="S8" s="771">
        <f t="shared" si="0"/>
        <v>0</v>
      </c>
      <c r="T8" s="770" t="s">
        <v>17</v>
      </c>
      <c r="U8" s="771">
        <f t="shared" si="1"/>
        <v>0</v>
      </c>
      <c r="V8" s="770" t="s">
        <v>17</v>
      </c>
      <c r="W8" s="771">
        <f t="shared" si="2"/>
        <v>0</v>
      </c>
      <c r="X8" s="772"/>
      <c r="Y8" s="3280" t="s">
        <v>2545</v>
      </c>
      <c r="Z8" s="328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12"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12"/>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12"/>
      <c r="Q11" s="1793"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312"/>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312"/>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312"/>
      <c r="Q14" s="1793">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57">
      <c r="A15" s="440" t="s">
        <v>2552</v>
      </c>
      <c r="B15" s="69" t="s">
        <v>2696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14" t="s">
        <v>2553</v>
      </c>
      <c r="Q15" s="1808" t="str">
        <f t="shared" si="6"/>
        <v>产业集聚程度</v>
      </c>
      <c r="R15" s="774" t="s">
        <v>17</v>
      </c>
      <c r="S15" s="775">
        <f t="shared" si="0"/>
        <v>100</v>
      </c>
      <c r="T15" s="774" t="s">
        <v>17</v>
      </c>
      <c r="U15" s="775">
        <f t="shared" si="1"/>
        <v>100</v>
      </c>
      <c r="V15" s="774" t="s">
        <v>17</v>
      </c>
      <c r="W15" s="775">
        <f t="shared" si="2"/>
        <v>100</v>
      </c>
      <c r="X15" s="1811"/>
      <c r="Y15" s="3314" t="s">
        <v>2553</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315"/>
      <c r="Q16" s="1808"/>
      <c r="R16" s="774"/>
      <c r="S16" s="775"/>
      <c r="T16" s="774"/>
      <c r="U16" s="775"/>
      <c r="V16" s="774"/>
      <c r="W16" s="775"/>
      <c r="X16" s="1811"/>
      <c r="Y16" s="3315"/>
      <c r="Z16" s="1812"/>
      <c r="AA16" s="1809">
        <v>1</v>
      </c>
      <c r="AB16" s="1809">
        <v>1</v>
      </c>
      <c r="AC16" s="1809">
        <v>1</v>
      </c>
    </row>
    <row r="17" spans="1:29" ht="85.5">
      <c r="A17" s="428"/>
      <c r="B17" s="451" t="s">
        <v>2092</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15"/>
      <c r="Q17" s="1808" t="str">
        <f>B17</f>
        <v>交通便捷度</v>
      </c>
      <c r="R17" s="774" t="s">
        <v>17</v>
      </c>
      <c r="S17" s="775">
        <f>F17</f>
        <v>100</v>
      </c>
      <c r="T17" s="774" t="s">
        <v>17</v>
      </c>
      <c r="U17" s="775">
        <f>H17</f>
        <v>100</v>
      </c>
      <c r="V17" s="774" t="s">
        <v>17</v>
      </c>
      <c r="W17" s="775">
        <f>J17</f>
        <v>100</v>
      </c>
      <c r="X17" s="1811"/>
      <c r="Y17" s="3315"/>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40"/>
      <c r="M18" s="1131"/>
      <c r="N18" s="1131"/>
      <c r="O18" s="1139"/>
      <c r="P18" s="3315"/>
      <c r="Q18" s="1808"/>
      <c r="R18" s="774"/>
      <c r="S18" s="775"/>
      <c r="T18" s="774"/>
      <c r="U18" s="775"/>
      <c r="V18" s="774"/>
      <c r="W18" s="775"/>
      <c r="X18" s="1811"/>
      <c r="Y18" s="3315"/>
      <c r="Z18" s="1812"/>
      <c r="AA18" s="1809">
        <v>1</v>
      </c>
      <c r="AB18" s="1809">
        <v>1</v>
      </c>
      <c r="AC18" s="1809">
        <v>1</v>
      </c>
    </row>
    <row r="19" spans="1:29" ht="42.75">
      <c r="A19" s="428"/>
      <c r="B19" s="451" t="s">
        <v>2681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15"/>
      <c r="Q19" s="1808" t="str">
        <f>B19</f>
        <v>公共配套设施</v>
      </c>
      <c r="R19" s="774" t="s">
        <v>17</v>
      </c>
      <c r="S19" s="775">
        <f>F19</f>
        <v>100</v>
      </c>
      <c r="T19" s="774" t="s">
        <v>17</v>
      </c>
      <c r="U19" s="775">
        <f>H19</f>
        <v>100</v>
      </c>
      <c r="V19" s="774" t="s">
        <v>17</v>
      </c>
      <c r="W19" s="775">
        <f>J19</f>
        <v>100</v>
      </c>
      <c r="X19" s="1811"/>
      <c r="Y19" s="3315"/>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40"/>
      <c r="M20" s="1131"/>
      <c r="N20" s="1131"/>
      <c r="O20" s="1139"/>
      <c r="P20" s="3315"/>
      <c r="Q20" s="1808"/>
      <c r="R20" s="774"/>
      <c r="S20" s="775"/>
      <c r="T20" s="774"/>
      <c r="U20" s="775"/>
      <c r="V20" s="774"/>
      <c r="W20" s="775"/>
      <c r="X20" s="1811"/>
      <c r="Y20" s="3315"/>
      <c r="Z20" s="1812"/>
      <c r="AA20" s="1809">
        <v>1</v>
      </c>
      <c r="AB20" s="1809">
        <v>1</v>
      </c>
      <c r="AC20" s="1809">
        <v>1</v>
      </c>
    </row>
    <row r="21" spans="1:29" ht="28.5">
      <c r="A21" s="428"/>
      <c r="B21" s="1384" t="s">
        <v>2682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15"/>
      <c r="Q21" s="1808" t="str">
        <f>B21</f>
        <v>基础设施水平</v>
      </c>
      <c r="R21" s="774" t="s">
        <v>17</v>
      </c>
      <c r="S21" s="775">
        <f>F21</f>
        <v>100</v>
      </c>
      <c r="T21" s="774" t="s">
        <v>17</v>
      </c>
      <c r="U21" s="775">
        <f>H21</f>
        <v>100</v>
      </c>
      <c r="V21" s="774" t="s">
        <v>17</v>
      </c>
      <c r="W21" s="775">
        <f>J21</f>
        <v>100</v>
      </c>
      <c r="X21" s="1811"/>
      <c r="Y21" s="3315"/>
      <c r="Z21" s="1812" t="str">
        <f>Q21</f>
        <v>基础设施水平</v>
      </c>
      <c r="AA21" s="1809">
        <f t="shared" ref="AA21" si="8">D21/F21</f>
        <v>1</v>
      </c>
      <c r="AB21" s="1809">
        <f t="shared" ref="AB21" si="9">D21/H21</f>
        <v>1</v>
      </c>
      <c r="AC21" s="1809">
        <f t="shared" ref="AC21" si="10">D21/J21</f>
        <v>1</v>
      </c>
    </row>
    <row r="22" spans="1:29" ht="15">
      <c r="A22" s="428"/>
      <c r="B22" s="1384"/>
      <c r="C22" s="2606"/>
      <c r="D22" s="448"/>
      <c r="E22" s="447"/>
      <c r="F22" s="449"/>
      <c r="G22" s="447"/>
      <c r="H22" s="448"/>
      <c r="I22" s="447"/>
      <c r="J22" s="448"/>
      <c r="K22" s="1383"/>
      <c r="L22" s="1140"/>
      <c r="M22" s="1131"/>
      <c r="N22" s="1131"/>
      <c r="O22" s="1139"/>
      <c r="P22" s="3315"/>
      <c r="Q22" s="1808"/>
      <c r="R22" s="774"/>
      <c r="S22" s="775"/>
      <c r="T22" s="774"/>
      <c r="U22" s="775"/>
      <c r="V22" s="774"/>
      <c r="W22" s="775"/>
      <c r="X22" s="1811"/>
      <c r="Y22" s="3315"/>
      <c r="Z22" s="1812"/>
      <c r="AA22" s="1809">
        <v>1</v>
      </c>
      <c r="AB22" s="1809">
        <v>1</v>
      </c>
      <c r="AC22" s="1809">
        <v>1</v>
      </c>
    </row>
    <row r="23" spans="1:29" ht="71.25">
      <c r="A23" s="428"/>
      <c r="B23" s="451" t="s">
        <v>2683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15"/>
      <c r="Q23" s="1808" t="str">
        <f>B23</f>
        <v>环境质量</v>
      </c>
      <c r="R23" s="774" t="s">
        <v>17</v>
      </c>
      <c r="S23" s="775">
        <f>F23</f>
        <v>100</v>
      </c>
      <c r="T23" s="774" t="s">
        <v>17</v>
      </c>
      <c r="U23" s="775">
        <f>H23</f>
        <v>100</v>
      </c>
      <c r="V23" s="774" t="s">
        <v>17</v>
      </c>
      <c r="W23" s="775">
        <f>J23</f>
        <v>100</v>
      </c>
      <c r="X23" s="1811"/>
      <c r="Y23" s="3315"/>
      <c r="Z23" s="1812" t="str">
        <f>Q23</f>
        <v>环境质量</v>
      </c>
      <c r="AA23" s="1809">
        <f t="shared" si="3"/>
        <v>1</v>
      </c>
      <c r="AB23" s="1809">
        <f t="shared" si="4"/>
        <v>1</v>
      </c>
      <c r="AC23" s="1809">
        <f t="shared" si="5"/>
        <v>1</v>
      </c>
    </row>
    <row r="24" spans="1:29" ht="15">
      <c r="A24" s="428"/>
      <c r="B24" s="1384"/>
      <c r="C24" s="447"/>
      <c r="D24" s="448"/>
      <c r="E24" s="2603"/>
      <c r="F24" s="449"/>
      <c r="G24" s="2602"/>
      <c r="H24" s="448"/>
      <c r="I24" s="2603"/>
      <c r="J24" s="448"/>
      <c r="K24" s="615"/>
      <c r="L24" s="1140"/>
      <c r="M24" s="1131"/>
      <c r="N24" s="1131"/>
      <c r="O24" s="1139"/>
      <c r="P24" s="3315"/>
      <c r="Q24" s="1808"/>
      <c r="R24" s="774"/>
      <c r="S24" s="775"/>
      <c r="T24" s="774"/>
      <c r="U24" s="775"/>
      <c r="V24" s="774"/>
      <c r="W24" s="775"/>
      <c r="X24" s="1811"/>
      <c r="Y24" s="3315"/>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15"/>
      <c r="Q25" s="1808">
        <f>B25</f>
        <v>111</v>
      </c>
      <c r="R25" s="774" t="s">
        <v>17</v>
      </c>
      <c r="S25" s="775">
        <f>F25</f>
        <v>100</v>
      </c>
      <c r="T25" s="774" t="s">
        <v>17</v>
      </c>
      <c r="U25" s="775">
        <f>H25</f>
        <v>100</v>
      </c>
      <c r="V25" s="774" t="s">
        <v>17</v>
      </c>
      <c r="W25" s="775">
        <f>J25</f>
        <v>100</v>
      </c>
      <c r="X25" s="1811"/>
      <c r="Y25" s="3315"/>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15"/>
      <c r="Q26" s="1808">
        <f t="shared" ref="Q26:Q40" si="11">B26</f>
        <v>111</v>
      </c>
      <c r="R26" s="774" t="s">
        <v>17</v>
      </c>
      <c r="S26" s="775">
        <f>F26</f>
        <v>100</v>
      </c>
      <c r="T26" s="774" t="s">
        <v>17</v>
      </c>
      <c r="U26" s="775">
        <f>H26</f>
        <v>100</v>
      </c>
      <c r="V26" s="774" t="s">
        <v>17</v>
      </c>
      <c r="W26" s="775">
        <f>J26</f>
        <v>100</v>
      </c>
      <c r="X26" s="1811"/>
      <c r="Y26" s="3315"/>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15"/>
      <c r="Q27" s="1793">
        <f t="shared" si="11"/>
        <v>111</v>
      </c>
      <c r="R27" s="770" t="s">
        <v>17</v>
      </c>
      <c r="S27" s="771">
        <f>F27</f>
        <v>100</v>
      </c>
      <c r="T27" s="770" t="s">
        <v>17</v>
      </c>
      <c r="U27" s="771">
        <f>H27</f>
        <v>100</v>
      </c>
      <c r="V27" s="770" t="s">
        <v>17</v>
      </c>
      <c r="W27" s="771">
        <f>J27</f>
        <v>100</v>
      </c>
      <c r="X27" s="772"/>
      <c r="Y27" s="3315"/>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15"/>
      <c r="Q28" s="1808">
        <f t="shared" si="11"/>
        <v>111</v>
      </c>
      <c r="R28" s="774" t="s">
        <v>17</v>
      </c>
      <c r="S28" s="775">
        <f t="shared" ref="S28:S40" si="12">F28</f>
        <v>100</v>
      </c>
      <c r="T28" s="774" t="s">
        <v>17</v>
      </c>
      <c r="U28" s="775">
        <f t="shared" ref="U28:U40" si="13">H28</f>
        <v>100</v>
      </c>
      <c r="V28" s="774" t="s">
        <v>17</v>
      </c>
      <c r="W28" s="775">
        <f t="shared" ref="W28:W40" si="14">J28</f>
        <v>100</v>
      </c>
      <c r="X28" s="1811"/>
      <c r="Y28" s="3315"/>
      <c r="Z28" s="1812">
        <f t="shared" ref="Z28:Z40" si="15">Q28</f>
        <v>111</v>
      </c>
      <c r="AA28" s="1809">
        <f t="shared" si="3"/>
        <v>1</v>
      </c>
      <c r="AB28" s="1809">
        <f t="shared" si="4"/>
        <v>1</v>
      </c>
      <c r="AC28" s="1809">
        <f t="shared" si="5"/>
        <v>1</v>
      </c>
    </row>
    <row r="29" spans="1:29" ht="28.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338" t="s">
        <v>2558</v>
      </c>
      <c r="Q29" s="1808" t="str">
        <f t="shared" si="11"/>
        <v>建筑类型</v>
      </c>
      <c r="R29" s="774" t="s">
        <v>17</v>
      </c>
      <c r="S29" s="775">
        <f t="shared" si="12"/>
        <v>100</v>
      </c>
      <c r="T29" s="774" t="s">
        <v>17</v>
      </c>
      <c r="U29" s="775">
        <f t="shared" si="13"/>
        <v>100</v>
      </c>
      <c r="V29" s="774" t="s">
        <v>17</v>
      </c>
      <c r="W29" s="775">
        <f t="shared" si="14"/>
        <v>100</v>
      </c>
      <c r="X29" s="1811"/>
      <c r="Y29" s="3319" t="s">
        <v>2558</v>
      </c>
      <c r="Z29" s="1812" t="str">
        <f t="shared" si="15"/>
        <v>建筑类型</v>
      </c>
      <c r="AA29" s="1809">
        <f t="shared" si="3"/>
        <v>1</v>
      </c>
      <c r="AB29" s="1809">
        <f t="shared" si="4"/>
        <v>1</v>
      </c>
      <c r="AC29" s="1809">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19"/>
      <c r="Q30" s="776" t="str">
        <f t="shared" si="11"/>
        <v>项目建筑规模</v>
      </c>
      <c r="R30" s="777" t="s">
        <v>17</v>
      </c>
      <c r="S30" s="778" t="e">
        <f t="shared" si="12"/>
        <v>#N/A</v>
      </c>
      <c r="T30" s="777" t="s">
        <v>17</v>
      </c>
      <c r="U30" s="778" t="e">
        <f t="shared" si="13"/>
        <v>#N/A</v>
      </c>
      <c r="V30" s="777" t="s">
        <v>17</v>
      </c>
      <c r="W30" s="778" t="e">
        <f t="shared" si="14"/>
        <v>#N/A</v>
      </c>
      <c r="X30" s="779"/>
      <c r="Y30" s="3319"/>
      <c r="Z30" s="780" t="str">
        <f t="shared" si="15"/>
        <v>项目建筑规模</v>
      </c>
      <c r="AA30" s="1809" t="e">
        <f t="shared" si="3"/>
        <v>#N/A</v>
      </c>
      <c r="AB30" s="1809" t="e">
        <f t="shared" si="4"/>
        <v>#N/A</v>
      </c>
      <c r="AC30" s="1809"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19"/>
      <c r="Q31" s="1808" t="str">
        <f t="shared" si="11"/>
        <v>建筑结构</v>
      </c>
      <c r="R31" s="774" t="s">
        <v>17</v>
      </c>
      <c r="S31" s="775">
        <f t="shared" si="12"/>
        <v>100</v>
      </c>
      <c r="T31" s="774" t="s">
        <v>17</v>
      </c>
      <c r="U31" s="775">
        <f t="shared" si="13"/>
        <v>100</v>
      </c>
      <c r="V31" s="774" t="s">
        <v>17</v>
      </c>
      <c r="W31" s="775">
        <f t="shared" si="14"/>
        <v>100</v>
      </c>
      <c r="X31" s="1811"/>
      <c r="Y31" s="3319"/>
      <c r="Z31" s="1812" t="str">
        <f t="shared" si="15"/>
        <v>建筑结构</v>
      </c>
      <c r="AA31" s="1809">
        <f t="shared" si="3"/>
        <v>1</v>
      </c>
      <c r="AB31" s="1809">
        <f t="shared" si="4"/>
        <v>1</v>
      </c>
      <c r="AC31" s="1809">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19"/>
      <c r="Q32" s="1808" t="str">
        <f t="shared" si="11"/>
        <v>公共部分装修</v>
      </c>
      <c r="R32" s="774" t="s">
        <v>17</v>
      </c>
      <c r="S32" s="775">
        <f t="shared" si="12"/>
        <v>100</v>
      </c>
      <c r="T32" s="774" t="s">
        <v>17</v>
      </c>
      <c r="U32" s="775">
        <f t="shared" si="13"/>
        <v>100</v>
      </c>
      <c r="V32" s="774" t="s">
        <v>17</v>
      </c>
      <c r="W32" s="775">
        <f t="shared" si="14"/>
        <v>100</v>
      </c>
      <c r="X32" s="1811"/>
      <c r="Y32" s="3319"/>
      <c r="Z32" s="1812" t="str">
        <f t="shared" si="15"/>
        <v>公共部分装修</v>
      </c>
      <c r="AA32" s="1809">
        <f t="shared" si="3"/>
        <v>1</v>
      </c>
      <c r="AB32" s="1809">
        <f t="shared" si="4"/>
        <v>1</v>
      </c>
      <c r="AC32" s="1809">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19"/>
      <c r="Q33" s="1808" t="str">
        <f t="shared" si="11"/>
        <v>成新度</v>
      </c>
      <c r="R33" s="774" t="s">
        <v>17</v>
      </c>
      <c r="S33" s="775" t="e">
        <f t="shared" si="12"/>
        <v>#N/A</v>
      </c>
      <c r="T33" s="774" t="s">
        <v>17</v>
      </c>
      <c r="U33" s="775" t="e">
        <f t="shared" si="13"/>
        <v>#N/A</v>
      </c>
      <c r="V33" s="774" t="s">
        <v>17</v>
      </c>
      <c r="W33" s="775" t="e">
        <f t="shared" si="14"/>
        <v>#N/A</v>
      </c>
      <c r="X33" s="1811"/>
      <c r="Y33" s="3319"/>
      <c r="Z33" s="1812" t="str">
        <f t="shared" si="15"/>
        <v>成新度</v>
      </c>
      <c r="AA33" s="1809" t="e">
        <f t="shared" si="3"/>
        <v>#N/A</v>
      </c>
      <c r="AB33" s="1809" t="e">
        <f t="shared" si="4"/>
        <v>#N/A</v>
      </c>
      <c r="AC33" s="1809"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19"/>
      <c r="Q34" s="1793" t="str">
        <f t="shared" si="11"/>
        <v>物业管理</v>
      </c>
      <c r="R34" s="770" t="s">
        <v>17</v>
      </c>
      <c r="S34" s="771">
        <f t="shared" si="12"/>
        <v>100</v>
      </c>
      <c r="T34" s="770" t="s">
        <v>17</v>
      </c>
      <c r="U34" s="771">
        <f t="shared" si="13"/>
        <v>100</v>
      </c>
      <c r="V34" s="770" t="s">
        <v>17</v>
      </c>
      <c r="W34" s="771">
        <f t="shared" si="14"/>
        <v>100</v>
      </c>
      <c r="X34" s="772"/>
      <c r="Y34" s="3319"/>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19" t="s">
        <v>2558</v>
      </c>
      <c r="Q35" s="1808" t="str">
        <f t="shared" si="11"/>
        <v>市政基础设施</v>
      </c>
      <c r="R35" s="774" t="s">
        <v>17</v>
      </c>
      <c r="S35" s="775">
        <f t="shared" si="12"/>
        <v>100</v>
      </c>
      <c r="T35" s="774" t="s">
        <v>17</v>
      </c>
      <c r="U35" s="775">
        <f t="shared" si="13"/>
        <v>100</v>
      </c>
      <c r="V35" s="774" t="s">
        <v>17</v>
      </c>
      <c r="W35" s="775">
        <f t="shared" si="14"/>
        <v>100</v>
      </c>
      <c r="X35" s="1811"/>
      <c r="Y35" s="3319" t="s">
        <v>2558</v>
      </c>
      <c r="Z35" s="1812" t="str">
        <f t="shared" si="15"/>
        <v>市政基础设施</v>
      </c>
      <c r="AA35" s="1809">
        <f t="shared" si="3"/>
        <v>1</v>
      </c>
      <c r="AB35" s="1809">
        <f t="shared" si="4"/>
        <v>1</v>
      </c>
      <c r="AC35" s="1809">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19"/>
      <c r="Q36" s="1808" t="str">
        <f t="shared" si="11"/>
        <v>内部装修</v>
      </c>
      <c r="R36" s="774" t="s">
        <v>17</v>
      </c>
      <c r="S36" s="775">
        <f t="shared" si="12"/>
        <v>100</v>
      </c>
      <c r="T36" s="774" t="s">
        <v>17</v>
      </c>
      <c r="U36" s="775">
        <f t="shared" si="13"/>
        <v>100</v>
      </c>
      <c r="V36" s="774" t="s">
        <v>17</v>
      </c>
      <c r="W36" s="775">
        <f t="shared" si="14"/>
        <v>100</v>
      </c>
      <c r="X36" s="1811"/>
      <c r="Y36" s="3319"/>
      <c r="Z36" s="1812" t="str">
        <f t="shared" si="15"/>
        <v>内部装修</v>
      </c>
      <c r="AA36" s="1809">
        <f t="shared" si="3"/>
        <v>1</v>
      </c>
      <c r="AB36" s="1809">
        <f t="shared" si="4"/>
        <v>1</v>
      </c>
      <c r="AC36" s="1809">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19"/>
      <c r="Q37" s="1808" t="str">
        <f t="shared" si="11"/>
        <v>内部装修状况</v>
      </c>
      <c r="R37" s="774" t="s">
        <v>17</v>
      </c>
      <c r="S37" s="775">
        <f t="shared" si="12"/>
        <v>100</v>
      </c>
      <c r="T37" s="774" t="s">
        <v>17</v>
      </c>
      <c r="U37" s="775">
        <f t="shared" si="13"/>
        <v>100</v>
      </c>
      <c r="V37" s="774" t="s">
        <v>17</v>
      </c>
      <c r="W37" s="775">
        <f t="shared" si="14"/>
        <v>100</v>
      </c>
      <c r="X37" s="1811"/>
      <c r="Y37" s="3319"/>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19"/>
      <c r="Q38" s="776">
        <f t="shared" si="11"/>
        <v>111</v>
      </c>
      <c r="R38" s="777" t="s">
        <v>17</v>
      </c>
      <c r="S38" s="778">
        <f t="shared" si="12"/>
        <v>100</v>
      </c>
      <c r="T38" s="777" t="s">
        <v>17</v>
      </c>
      <c r="U38" s="778">
        <f t="shared" si="13"/>
        <v>100</v>
      </c>
      <c r="V38" s="777" t="s">
        <v>17</v>
      </c>
      <c r="W38" s="778">
        <f t="shared" si="14"/>
        <v>100</v>
      </c>
      <c r="X38" s="779"/>
      <c r="Y38" s="3319"/>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19"/>
      <c r="Q39" s="1808">
        <f t="shared" si="11"/>
        <v>111</v>
      </c>
      <c r="R39" s="774" t="s">
        <v>17</v>
      </c>
      <c r="S39" s="775">
        <f t="shared" si="12"/>
        <v>100</v>
      </c>
      <c r="T39" s="774" t="s">
        <v>17</v>
      </c>
      <c r="U39" s="775">
        <f t="shared" si="13"/>
        <v>100</v>
      </c>
      <c r="V39" s="774" t="s">
        <v>17</v>
      </c>
      <c r="W39" s="775">
        <f t="shared" si="14"/>
        <v>100</v>
      </c>
      <c r="X39" s="1811"/>
      <c r="Y39" s="3319"/>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20"/>
      <c r="Q40" s="1808">
        <f t="shared" si="11"/>
        <v>111</v>
      </c>
      <c r="R40" s="774" t="s">
        <v>17</v>
      </c>
      <c r="S40" s="775">
        <f t="shared" si="12"/>
        <v>100</v>
      </c>
      <c r="T40" s="774" t="s">
        <v>17</v>
      </c>
      <c r="U40" s="775">
        <f t="shared" si="13"/>
        <v>100</v>
      </c>
      <c r="V40" s="774" t="s">
        <v>17</v>
      </c>
      <c r="W40" s="775">
        <f t="shared" si="14"/>
        <v>100</v>
      </c>
      <c r="X40" s="1811"/>
      <c r="Y40" s="3320"/>
      <c r="Z40" s="1812">
        <f t="shared" si="15"/>
        <v>111</v>
      </c>
      <c r="AA40" s="1809">
        <f t="shared" si="3"/>
        <v>1</v>
      </c>
      <c r="AB40" s="1809">
        <f t="shared" si="4"/>
        <v>1</v>
      </c>
      <c r="AC40" s="1809">
        <f t="shared" si="5"/>
        <v>1</v>
      </c>
    </row>
    <row r="41" spans="1:29" ht="15">
      <c r="A41" s="479" t="s">
        <v>2570</v>
      </c>
      <c r="B41" s="480"/>
      <c r="C41" s="1406" t="s">
        <v>1</v>
      </c>
      <c r="D41" s="1407"/>
      <c r="E41" s="1408"/>
      <c r="F41" s="1409"/>
      <c r="G41" s="1410"/>
      <c r="H41" s="1411"/>
      <c r="I41" s="1408"/>
      <c r="J41" s="1411"/>
      <c r="K41" s="783"/>
      <c r="L41" s="1143"/>
      <c r="M41" s="1144"/>
      <c r="N41" s="1131"/>
      <c r="O41" s="1144"/>
      <c r="P41" s="3312" t="str">
        <f>A41</f>
        <v>成交单价（元/平方米）</v>
      </c>
      <c r="Q41" s="3312"/>
      <c r="R41" s="3313">
        <f>E41</f>
        <v>0</v>
      </c>
      <c r="S41" s="3313"/>
      <c r="T41" s="3313">
        <f>G41</f>
        <v>0</v>
      </c>
      <c r="U41" s="3313"/>
      <c r="V41" s="3313">
        <f>I41</f>
        <v>0</v>
      </c>
      <c r="W41" s="3313"/>
      <c r="X41" s="759"/>
      <c r="Y41" s="781"/>
      <c r="Z41" s="759"/>
      <c r="AA41" s="759"/>
      <c r="AB41" s="759"/>
      <c r="AC41" s="759"/>
    </row>
    <row r="42" spans="1:29" ht="15.75" thickBot="1">
      <c r="A42" s="486" t="s">
        <v>2662</v>
      </c>
      <c r="B42" s="487"/>
      <c r="C42" s="1412" t="e">
        <f>R43</f>
        <v>#DIV/0!</v>
      </c>
      <c r="D42" s="1413"/>
      <c r="E42" s="1414" t="e">
        <f>R42</f>
        <v>#DIV/0!</v>
      </c>
      <c r="F42" s="1414"/>
      <c r="G42" s="1412" t="e">
        <f>T42</f>
        <v>#DIV/0!</v>
      </c>
      <c r="H42" s="1413"/>
      <c r="I42" s="1414" t="e">
        <f>V42</f>
        <v>#DIV/0!</v>
      </c>
      <c r="J42" s="1413"/>
      <c r="K42" s="784"/>
      <c r="L42" s="1143"/>
      <c r="M42" s="1144"/>
      <c r="N42" s="1131"/>
      <c r="O42" s="1144"/>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759"/>
      <c r="Y42" s="759"/>
      <c r="Z42" s="759"/>
      <c r="AA42" s="759"/>
      <c r="AB42" s="759"/>
      <c r="AC42" s="759"/>
    </row>
    <row r="43" spans="1:29" ht="15.75" thickBot="1">
      <c r="A43" s="492" t="s">
        <v>2663</v>
      </c>
      <c r="B43" s="493"/>
      <c r="C43" s="1416" t="e">
        <f>R43</f>
        <v>#DIV/0!</v>
      </c>
      <c r="D43" s="1416"/>
      <c r="E43" s="1416"/>
      <c r="F43" s="1416"/>
      <c r="G43" s="1416"/>
      <c r="H43" s="1416"/>
      <c r="I43" s="1416"/>
      <c r="J43" s="1416"/>
      <c r="K43" s="785"/>
      <c r="L43" s="1143"/>
      <c r="M43" s="1144"/>
      <c r="N43" s="1144"/>
      <c r="O43" s="1144"/>
      <c r="P43" s="3309" t="str">
        <f>A43</f>
        <v>估价对象XX用房的比较价值（楼面单价，元/平方米）</v>
      </c>
      <c r="Q43" s="3310"/>
      <c r="R43" s="3311" t="e">
        <f>IF(F1="售价",ROUND(AVERAGE(R42:V42),0),ROUND(AVERAGE(R42:V42),1))</f>
        <v>#DIV/0!</v>
      </c>
      <c r="S43" s="3311"/>
      <c r="T43" s="3311"/>
      <c r="U43" s="3311"/>
      <c r="V43" s="3311"/>
      <c r="W43" s="33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2700</v>
      </c>
      <c r="B1" s="1617"/>
      <c r="C1" s="1618" t="s">
        <v>2523</v>
      </c>
      <c r="D1" s="1619"/>
      <c r="E1" s="1620"/>
      <c r="F1" s="2582"/>
      <c r="G1" s="1621" t="s">
        <v>2636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2320</v>
      </c>
      <c r="B2" s="1417" t="e">
        <f ca="1">IF(C2="——",IF(B37="元/平方米",ROUND(C39*D3/10000,0),ROUND(F3*C39/10000,0)),IF(B37="元/平方米",ROUND(C39*D3/10000,0),ROUND(F3*C39/10000,0))-D2)</f>
        <v>#DIV/0!</v>
      </c>
      <c r="C2" s="2584"/>
      <c r="D2" s="1124" t="e">
        <f ca="1">SUMIF(INDIRECT("'"&amp;F2&amp;"'"&amp;"!A:A"),"承租人权益价值",INDIRECT("'"&amp;F2&amp;"'"&amp;"!c:c"))</f>
        <v>#REF!</v>
      </c>
      <c r="E2" s="2585" t="s">
        <v>2321</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278" t="s">
        <v>2641</v>
      </c>
      <c r="AC4" s="3277" t="s">
        <v>2642</v>
      </c>
    </row>
    <row r="5" spans="1:29" ht="15">
      <c r="A5" s="404"/>
      <c r="B5" s="405"/>
      <c r="C5" s="3288" t="s">
        <v>2535</v>
      </c>
      <c r="D5" s="3289"/>
      <c r="E5" s="3286" t="s">
        <v>2536</v>
      </c>
      <c r="F5" s="3287"/>
      <c r="G5" s="3288" t="s">
        <v>2537</v>
      </c>
      <c r="H5" s="3289"/>
      <c r="I5" s="3288" t="s">
        <v>2538</v>
      </c>
      <c r="J5" s="3289"/>
      <c r="K5" s="610"/>
      <c r="L5" s="1130"/>
      <c r="M5" s="1131"/>
      <c r="N5" s="1131"/>
      <c r="O5" s="1131"/>
      <c r="P5" s="3301"/>
      <c r="Q5" s="3302"/>
      <c r="R5" s="3284"/>
      <c r="S5" s="3285"/>
      <c r="T5" s="3284"/>
      <c r="U5" s="3285"/>
      <c r="V5" s="3307"/>
      <c r="W5" s="3307"/>
      <c r="X5" s="1811"/>
      <c r="Y5" s="3284"/>
      <c r="Z5" s="3285"/>
      <c r="AA5" s="3278"/>
      <c r="AB5" s="3278"/>
      <c r="AC5" s="3278"/>
    </row>
    <row r="6" spans="1:29" ht="15.75" thickBot="1">
      <c r="A6" s="406"/>
      <c r="B6" s="407"/>
      <c r="C6" s="3290" t="s">
        <v>2539</v>
      </c>
      <c r="D6" s="3291"/>
      <c r="E6" s="3292" t="s">
        <v>2539</v>
      </c>
      <c r="F6" s="3293"/>
      <c r="G6" s="3290" t="s">
        <v>2539</v>
      </c>
      <c r="H6" s="3291"/>
      <c r="I6" s="3290" t="s">
        <v>2539</v>
      </c>
      <c r="J6" s="3291"/>
      <c r="K6" s="610" t="s">
        <v>2540</v>
      </c>
      <c r="L6" s="1130"/>
      <c r="M6" s="1131"/>
      <c r="N6" s="1131"/>
      <c r="O6" s="1131"/>
      <c r="P6" s="3303"/>
      <c r="Q6" s="3304"/>
      <c r="R6" s="3284"/>
      <c r="S6" s="3285"/>
      <c r="T6" s="3305"/>
      <c r="U6" s="3306"/>
      <c r="V6" s="3307"/>
      <c r="W6" s="3307"/>
      <c r="X6" s="1811"/>
      <c r="Y6" s="3305"/>
      <c r="Z6" s="3306"/>
      <c r="AA6" s="3279"/>
      <c r="AB6" s="3279"/>
      <c r="AC6" s="3279"/>
    </row>
    <row r="7" spans="1:29" s="117" customFormat="1" ht="15.75" thickBot="1">
      <c r="A7" s="408" t="s">
        <v>2541</v>
      </c>
      <c r="B7" s="409"/>
      <c r="C7" s="410">
        <f>'数据-取费表'!B2</f>
        <v>43671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0" t="s">
        <v>2542</v>
      </c>
      <c r="Q7" s="3308"/>
      <c r="R7" s="770" t="s">
        <v>17</v>
      </c>
      <c r="S7" s="771">
        <f t="shared" ref="S7:S14" si="0">F7</f>
        <v>0</v>
      </c>
      <c r="T7" s="770" t="s">
        <v>17</v>
      </c>
      <c r="U7" s="771">
        <f t="shared" ref="U7:U14" si="1">H7</f>
        <v>0</v>
      </c>
      <c r="V7" s="770" t="s">
        <v>17</v>
      </c>
      <c r="W7" s="771">
        <f t="shared" ref="W7:W14" si="2">J7</f>
        <v>0</v>
      </c>
      <c r="X7" s="772"/>
      <c r="Y7" s="3280" t="s">
        <v>2542</v>
      </c>
      <c r="Z7" s="328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0" t="s">
        <v>2545</v>
      </c>
      <c r="Q8" s="3281"/>
      <c r="R8" s="770" t="s">
        <v>17</v>
      </c>
      <c r="S8" s="771">
        <f t="shared" si="0"/>
        <v>0</v>
      </c>
      <c r="T8" s="770" t="s">
        <v>17</v>
      </c>
      <c r="U8" s="771">
        <f t="shared" si="1"/>
        <v>0</v>
      </c>
      <c r="V8" s="770" t="s">
        <v>17</v>
      </c>
      <c r="W8" s="771">
        <f t="shared" si="2"/>
        <v>0</v>
      </c>
      <c r="X8" s="772"/>
      <c r="Y8" s="3280" t="s">
        <v>2545</v>
      </c>
      <c r="Z8" s="328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12" t="s">
        <v>2548</v>
      </c>
      <c r="Q9" s="1793" t="str">
        <f t="shared" ref="Q9:Q14" si="6">B9</f>
        <v>用途</v>
      </c>
      <c r="R9" s="770" t="s">
        <v>17</v>
      </c>
      <c r="S9" s="771">
        <f t="shared" si="0"/>
        <v>100</v>
      </c>
      <c r="T9" s="770" t="s">
        <v>17</v>
      </c>
      <c r="U9" s="771">
        <f t="shared" si="1"/>
        <v>100</v>
      </c>
      <c r="V9" s="770" t="s">
        <v>17</v>
      </c>
      <c r="W9" s="771">
        <f t="shared" si="2"/>
        <v>100</v>
      </c>
      <c r="X9" s="772"/>
      <c r="Y9" s="3115"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12"/>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12"/>
      <c r="Q11" s="1793">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12"/>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12"/>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14" t="s">
        <v>2553</v>
      </c>
      <c r="Q14" s="1808" t="str">
        <f t="shared" si="6"/>
        <v>交通便捷度</v>
      </c>
      <c r="R14" s="774" t="s">
        <v>17</v>
      </c>
      <c r="S14" s="775">
        <f t="shared" si="0"/>
        <v>100</v>
      </c>
      <c r="T14" s="774" t="s">
        <v>17</v>
      </c>
      <c r="U14" s="775">
        <f t="shared" si="1"/>
        <v>100</v>
      </c>
      <c r="V14" s="774" t="s">
        <v>17</v>
      </c>
      <c r="W14" s="775">
        <f t="shared" si="2"/>
        <v>100</v>
      </c>
      <c r="X14" s="1811"/>
      <c r="Y14" s="3314" t="s">
        <v>2553</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315"/>
      <c r="Q15" s="1808"/>
      <c r="R15" s="774"/>
      <c r="S15" s="775"/>
      <c r="T15" s="774"/>
      <c r="U15" s="775"/>
      <c r="V15" s="774"/>
      <c r="W15" s="775"/>
      <c r="X15" s="1811"/>
      <c r="Y15" s="3315"/>
      <c r="Z15" s="1812"/>
      <c r="AA15" s="1809">
        <v>1</v>
      </c>
      <c r="AB15" s="1809">
        <v>1</v>
      </c>
      <c r="AC15" s="1809">
        <v>1</v>
      </c>
    </row>
    <row r="16" spans="1:29" ht="42.75">
      <c r="A16" s="404"/>
      <c r="B16" s="631" t="s">
        <v>2681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15"/>
      <c r="Q16" s="1808" t="str">
        <f>B16</f>
        <v>公共配套设施</v>
      </c>
      <c r="R16" s="774" t="s">
        <v>17</v>
      </c>
      <c r="S16" s="775">
        <f>F16</f>
        <v>100</v>
      </c>
      <c r="T16" s="774" t="s">
        <v>17</v>
      </c>
      <c r="U16" s="775">
        <f>H16</f>
        <v>100</v>
      </c>
      <c r="V16" s="774" t="s">
        <v>17</v>
      </c>
      <c r="W16" s="775">
        <f>J16</f>
        <v>100</v>
      </c>
      <c r="X16" s="1811"/>
      <c r="Y16" s="3315"/>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40"/>
      <c r="M17" s="1131"/>
      <c r="N17" s="1131"/>
      <c r="O17" s="1131"/>
      <c r="P17" s="3315"/>
      <c r="Q17" s="1808"/>
      <c r="R17" s="774"/>
      <c r="S17" s="775"/>
      <c r="T17" s="774"/>
      <c r="U17" s="775"/>
      <c r="V17" s="774"/>
      <c r="W17" s="775"/>
      <c r="X17" s="1811"/>
      <c r="Y17" s="3315"/>
      <c r="Z17" s="1812"/>
      <c r="AA17" s="1809">
        <v>1</v>
      </c>
      <c r="AB17" s="1809">
        <v>1</v>
      </c>
      <c r="AC17" s="1809">
        <v>1</v>
      </c>
    </row>
    <row r="18" spans="1:29" ht="28.5">
      <c r="A18" s="404"/>
      <c r="B18" s="633" t="s">
        <v>2682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15"/>
      <c r="Q18" s="1808" t="str">
        <f>B18</f>
        <v>基础设施水平</v>
      </c>
      <c r="R18" s="774" t="s">
        <v>17</v>
      </c>
      <c r="S18" s="775">
        <f>F18</f>
        <v>100</v>
      </c>
      <c r="T18" s="774" t="s">
        <v>17</v>
      </c>
      <c r="U18" s="775">
        <f>H18</f>
        <v>100</v>
      </c>
      <c r="V18" s="774" t="s">
        <v>17</v>
      </c>
      <c r="W18" s="775">
        <f>J18</f>
        <v>100</v>
      </c>
      <c r="X18" s="1811"/>
      <c r="Y18" s="3315"/>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3"/>
      <c r="L19" s="1140"/>
      <c r="M19" s="1131"/>
      <c r="N19" s="1131"/>
      <c r="O19" s="1131"/>
      <c r="P19" s="3315"/>
      <c r="Q19" s="1808"/>
      <c r="R19" s="774"/>
      <c r="S19" s="775"/>
      <c r="T19" s="774"/>
      <c r="U19" s="775"/>
      <c r="V19" s="774"/>
      <c r="W19" s="775"/>
      <c r="X19" s="1811"/>
      <c r="Y19" s="3315"/>
      <c r="Z19" s="1812"/>
      <c r="AA19" s="1809">
        <v>1</v>
      </c>
      <c r="AB19" s="1809">
        <v>1</v>
      </c>
      <c r="AC19" s="1809">
        <v>1</v>
      </c>
    </row>
    <row r="20" spans="1:29" ht="57">
      <c r="A20" s="404"/>
      <c r="B20" s="631" t="s">
        <v>2703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15"/>
      <c r="Q20" s="1808" t="str">
        <f>B20</f>
        <v>自然及人文环境</v>
      </c>
      <c r="R20" s="774" t="s">
        <v>17</v>
      </c>
      <c r="S20" s="775">
        <f>F20</f>
        <v>100</v>
      </c>
      <c r="T20" s="774" t="s">
        <v>17</v>
      </c>
      <c r="U20" s="775">
        <f>H20</f>
        <v>100</v>
      </c>
      <c r="V20" s="774" t="s">
        <v>17</v>
      </c>
      <c r="W20" s="775">
        <f>J20</f>
        <v>100</v>
      </c>
      <c r="X20" s="1811"/>
      <c r="Y20" s="331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315"/>
      <c r="Q21" s="1808"/>
      <c r="R21" s="774"/>
      <c r="S21" s="775"/>
      <c r="T21" s="774"/>
      <c r="U21" s="775"/>
      <c r="V21" s="774"/>
      <c r="W21" s="775"/>
      <c r="X21" s="1811"/>
      <c r="Y21" s="3315"/>
      <c r="Z21" s="1812"/>
      <c r="AA21" s="1809">
        <v>1</v>
      </c>
      <c r="AB21" s="1809">
        <v>1</v>
      </c>
      <c r="AC21" s="1809">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15"/>
      <c r="Q22" s="1808" t="str">
        <f>B22</f>
        <v>楼层</v>
      </c>
      <c r="R22" s="774" t="s">
        <v>17</v>
      </c>
      <c r="S22" s="775">
        <f>F22</f>
        <v>100</v>
      </c>
      <c r="T22" s="774" t="s">
        <v>17</v>
      </c>
      <c r="U22" s="775">
        <f>H22</f>
        <v>100</v>
      </c>
      <c r="V22" s="774" t="s">
        <v>17</v>
      </c>
      <c r="W22" s="775">
        <f>J22</f>
        <v>100</v>
      </c>
      <c r="X22" s="1811"/>
      <c r="Y22" s="331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15"/>
      <c r="Q23" s="1808">
        <f>B23</f>
        <v>111</v>
      </c>
      <c r="R23" s="774" t="s">
        <v>17</v>
      </c>
      <c r="S23" s="775">
        <f>F23</f>
        <v>100</v>
      </c>
      <c r="T23" s="774" t="s">
        <v>17</v>
      </c>
      <c r="U23" s="775">
        <f>H23</f>
        <v>100</v>
      </c>
      <c r="V23" s="774" t="s">
        <v>17</v>
      </c>
      <c r="W23" s="775">
        <f>J23</f>
        <v>100</v>
      </c>
      <c r="X23" s="1811"/>
      <c r="Y23" s="331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15"/>
      <c r="Q24" s="1808">
        <f t="shared" ref="Q24:Q36" si="11">B24</f>
        <v>111</v>
      </c>
      <c r="R24" s="774" t="s">
        <v>17</v>
      </c>
      <c r="S24" s="775">
        <f>F24</f>
        <v>100</v>
      </c>
      <c r="T24" s="774" t="s">
        <v>17</v>
      </c>
      <c r="U24" s="775">
        <f>H24</f>
        <v>100</v>
      </c>
      <c r="V24" s="774" t="s">
        <v>17</v>
      </c>
      <c r="W24" s="775">
        <f>J24</f>
        <v>100</v>
      </c>
      <c r="X24" s="1811"/>
      <c r="Y24" s="331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15"/>
      <c r="Q25" s="1793">
        <f t="shared" si="11"/>
        <v>111</v>
      </c>
      <c r="R25" s="770" t="s">
        <v>17</v>
      </c>
      <c r="S25" s="771">
        <f>F25</f>
        <v>100</v>
      </c>
      <c r="T25" s="770" t="s">
        <v>17</v>
      </c>
      <c r="U25" s="771">
        <f>H25</f>
        <v>100</v>
      </c>
      <c r="V25" s="770" t="s">
        <v>17</v>
      </c>
      <c r="W25" s="771">
        <f>J25</f>
        <v>100</v>
      </c>
      <c r="X25" s="772"/>
      <c r="Y25" s="3315"/>
      <c r="Z25" s="55">
        <f>Q25</f>
        <v>111</v>
      </c>
      <c r="AA25" s="1809">
        <f>D25/F25</f>
        <v>1</v>
      </c>
      <c r="AB25" s="1809">
        <f>D25/H25</f>
        <v>1</v>
      </c>
      <c r="AC25" s="1809">
        <f>D25/J25</f>
        <v>1</v>
      </c>
    </row>
    <row r="26" spans="1:29" ht="28.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38" t="s">
        <v>2558</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19" t="s">
        <v>2558</v>
      </c>
      <c r="Z26" s="1812" t="str">
        <f t="shared" ref="Z26:Z36" si="15">Q26</f>
        <v>配套类型</v>
      </c>
      <c r="AA26" s="1809">
        <f t="shared" si="3"/>
        <v>1</v>
      </c>
      <c r="AB26" s="1809">
        <f t="shared" si="4"/>
        <v>1</v>
      </c>
      <c r="AC26" s="1809">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19"/>
      <c r="Q27" s="776" t="str">
        <f t="shared" si="11"/>
        <v>项目停车位配比</v>
      </c>
      <c r="R27" s="777" t="s">
        <v>17</v>
      </c>
      <c r="S27" s="778">
        <f t="shared" si="12"/>
        <v>100</v>
      </c>
      <c r="T27" s="777" t="s">
        <v>17</v>
      </c>
      <c r="U27" s="778">
        <f t="shared" si="13"/>
        <v>100</v>
      </c>
      <c r="V27" s="777" t="s">
        <v>17</v>
      </c>
      <c r="W27" s="778">
        <f t="shared" si="14"/>
        <v>100</v>
      </c>
      <c r="X27" s="779"/>
      <c r="Y27" s="3319"/>
      <c r="Z27" s="780" t="str">
        <f t="shared" si="15"/>
        <v>项目停车位配比</v>
      </c>
      <c r="AA27" s="1809">
        <f t="shared" si="3"/>
        <v>1</v>
      </c>
      <c r="AB27" s="1809">
        <f t="shared" si="4"/>
        <v>1</v>
      </c>
      <c r="AC27" s="1809">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19"/>
      <c r="Q28" s="1808" t="str">
        <f t="shared" si="11"/>
        <v>公共部分装修</v>
      </c>
      <c r="R28" s="774" t="s">
        <v>17</v>
      </c>
      <c r="S28" s="775">
        <f t="shared" si="12"/>
        <v>100</v>
      </c>
      <c r="T28" s="774" t="s">
        <v>17</v>
      </c>
      <c r="U28" s="775">
        <f t="shared" si="13"/>
        <v>100</v>
      </c>
      <c r="V28" s="774" t="s">
        <v>17</v>
      </c>
      <c r="W28" s="775">
        <f t="shared" si="14"/>
        <v>100</v>
      </c>
      <c r="X28" s="1811"/>
      <c r="Y28" s="3319"/>
      <c r="Z28" s="1812" t="str">
        <f t="shared" si="15"/>
        <v>公共部分装修</v>
      </c>
      <c r="AA28" s="1809">
        <f t="shared" si="3"/>
        <v>1</v>
      </c>
      <c r="AB28" s="1809">
        <f t="shared" si="4"/>
        <v>1</v>
      </c>
      <c r="AC28" s="1809">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19"/>
      <c r="Q29" s="1808" t="str">
        <f t="shared" si="11"/>
        <v>成新率</v>
      </c>
      <c r="R29" s="774" t="s">
        <v>17</v>
      </c>
      <c r="S29" s="775" t="e">
        <f t="shared" si="12"/>
        <v>#N/A</v>
      </c>
      <c r="T29" s="774" t="s">
        <v>17</v>
      </c>
      <c r="U29" s="775" t="e">
        <f t="shared" si="13"/>
        <v>#N/A</v>
      </c>
      <c r="V29" s="774" t="s">
        <v>17</v>
      </c>
      <c r="W29" s="775" t="e">
        <f t="shared" si="14"/>
        <v>#N/A</v>
      </c>
      <c r="X29" s="1811"/>
      <c r="Y29" s="3319"/>
      <c r="Z29" s="1812" t="str">
        <f t="shared" si="15"/>
        <v>成新率</v>
      </c>
      <c r="AA29" s="1809" t="e">
        <f t="shared" si="3"/>
        <v>#N/A</v>
      </c>
      <c r="AB29" s="1809" t="e">
        <f t="shared" si="4"/>
        <v>#N/A</v>
      </c>
      <c r="AC29" s="1809"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19"/>
      <c r="Q30" s="1808" t="str">
        <f t="shared" si="11"/>
        <v>物业等级</v>
      </c>
      <c r="R30" s="774" t="s">
        <v>17</v>
      </c>
      <c r="S30" s="775">
        <f t="shared" si="12"/>
        <v>100</v>
      </c>
      <c r="T30" s="774" t="s">
        <v>17</v>
      </c>
      <c r="U30" s="775">
        <f t="shared" si="13"/>
        <v>100</v>
      </c>
      <c r="V30" s="774" t="s">
        <v>17</v>
      </c>
      <c r="W30" s="775">
        <f t="shared" si="14"/>
        <v>100</v>
      </c>
      <c r="X30" s="1811"/>
      <c r="Y30" s="3319"/>
      <c r="Z30" s="1812" t="str">
        <f t="shared" si="15"/>
        <v>物业等级</v>
      </c>
      <c r="AA30" s="1809">
        <f t="shared" si="3"/>
        <v>1</v>
      </c>
      <c r="AB30" s="1809">
        <f t="shared" si="4"/>
        <v>1</v>
      </c>
      <c r="AC30" s="1809">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19"/>
      <c r="Q31" s="1793" t="str">
        <f t="shared" si="11"/>
        <v>停车位面积</v>
      </c>
      <c r="R31" s="770" t="s">
        <v>17</v>
      </c>
      <c r="S31" s="771" t="e">
        <f t="shared" si="12"/>
        <v>#N/A</v>
      </c>
      <c r="T31" s="770" t="s">
        <v>17</v>
      </c>
      <c r="U31" s="771" t="e">
        <f t="shared" si="13"/>
        <v>#N/A</v>
      </c>
      <c r="V31" s="770" t="s">
        <v>17</v>
      </c>
      <c r="W31" s="771" t="e">
        <f t="shared" si="14"/>
        <v>#N/A</v>
      </c>
      <c r="X31" s="772"/>
      <c r="Y31" s="3319"/>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19" t="s">
        <v>2558</v>
      </c>
      <c r="Q32" s="1808" t="str">
        <f t="shared" si="11"/>
        <v>车位类型</v>
      </c>
      <c r="R32" s="774" t="s">
        <v>17</v>
      </c>
      <c r="S32" s="775">
        <f t="shared" si="12"/>
        <v>100</v>
      </c>
      <c r="T32" s="774" t="s">
        <v>17</v>
      </c>
      <c r="U32" s="775">
        <f t="shared" si="13"/>
        <v>100</v>
      </c>
      <c r="V32" s="774" t="s">
        <v>17</v>
      </c>
      <c r="W32" s="775">
        <f t="shared" si="14"/>
        <v>100</v>
      </c>
      <c r="X32" s="1811"/>
      <c r="Y32" s="3319" t="s">
        <v>2558</v>
      </c>
      <c r="Z32" s="1812" t="str">
        <f t="shared" si="15"/>
        <v>车位类型</v>
      </c>
      <c r="AA32" s="1809">
        <f t="shared" si="3"/>
        <v>1</v>
      </c>
      <c r="AB32" s="1809">
        <f t="shared" si="4"/>
        <v>1</v>
      </c>
      <c r="AC32" s="1809">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19"/>
      <c r="Q33" s="1808" t="str">
        <f t="shared" si="11"/>
        <v>是否直接入户</v>
      </c>
      <c r="R33" s="774" t="s">
        <v>17</v>
      </c>
      <c r="S33" s="775">
        <f t="shared" si="12"/>
        <v>100</v>
      </c>
      <c r="T33" s="774" t="s">
        <v>17</v>
      </c>
      <c r="U33" s="775">
        <f t="shared" si="13"/>
        <v>100</v>
      </c>
      <c r="V33" s="774" t="s">
        <v>17</v>
      </c>
      <c r="W33" s="775">
        <f t="shared" si="14"/>
        <v>100</v>
      </c>
      <c r="X33" s="1811"/>
      <c r="Y33" s="331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19"/>
      <c r="Q34" s="1808">
        <f t="shared" si="11"/>
        <v>111</v>
      </c>
      <c r="R34" s="774" t="s">
        <v>17</v>
      </c>
      <c r="S34" s="775">
        <f t="shared" si="12"/>
        <v>100</v>
      </c>
      <c r="T34" s="774" t="s">
        <v>17</v>
      </c>
      <c r="U34" s="775">
        <f t="shared" si="13"/>
        <v>100</v>
      </c>
      <c r="V34" s="774" t="s">
        <v>17</v>
      </c>
      <c r="W34" s="775">
        <f t="shared" si="14"/>
        <v>100</v>
      </c>
      <c r="X34" s="1811"/>
      <c r="Y34" s="331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19"/>
      <c r="Q35" s="776">
        <f t="shared" si="11"/>
        <v>111</v>
      </c>
      <c r="R35" s="777" t="s">
        <v>17</v>
      </c>
      <c r="S35" s="778">
        <f t="shared" si="12"/>
        <v>100</v>
      </c>
      <c r="T35" s="777" t="s">
        <v>17</v>
      </c>
      <c r="U35" s="778">
        <f t="shared" si="13"/>
        <v>100</v>
      </c>
      <c r="V35" s="777" t="s">
        <v>17</v>
      </c>
      <c r="W35" s="778">
        <f t="shared" si="14"/>
        <v>100</v>
      </c>
      <c r="X35" s="779"/>
      <c r="Y35" s="3319"/>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19"/>
      <c r="Q36" s="1808">
        <f t="shared" si="11"/>
        <v>111</v>
      </c>
      <c r="R36" s="774" t="s">
        <v>17</v>
      </c>
      <c r="S36" s="775">
        <f t="shared" si="12"/>
        <v>100</v>
      </c>
      <c r="T36" s="774" t="s">
        <v>17</v>
      </c>
      <c r="U36" s="775">
        <f t="shared" si="13"/>
        <v>100</v>
      </c>
      <c r="V36" s="774" t="s">
        <v>17</v>
      </c>
      <c r="W36" s="775">
        <f t="shared" si="14"/>
        <v>100</v>
      </c>
      <c r="X36" s="1811"/>
      <c r="Y36" s="3319"/>
      <c r="Z36" s="1812">
        <f t="shared" si="15"/>
        <v>111</v>
      </c>
      <c r="AA36" s="1809">
        <f t="shared" si="3"/>
        <v>1</v>
      </c>
      <c r="AB36" s="1809">
        <f t="shared" si="4"/>
        <v>1</v>
      </c>
      <c r="AC36" s="1809">
        <f t="shared" si="5"/>
        <v>1</v>
      </c>
    </row>
    <row r="37" spans="1:29" ht="15">
      <c r="A37" s="479" t="s">
        <v>2713</v>
      </c>
      <c r="B37" s="2693" t="s">
        <v>2714</v>
      </c>
      <c r="C37" s="1406" t="s">
        <v>1</v>
      </c>
      <c r="D37" s="1407"/>
      <c r="E37" s="1408"/>
      <c r="F37" s="1409"/>
      <c r="G37" s="1410"/>
      <c r="H37" s="1411"/>
      <c r="I37" s="1408"/>
      <c r="J37" s="1411"/>
      <c r="K37" s="619"/>
      <c r="L37" s="1143"/>
      <c r="M37" s="1144"/>
      <c r="N37" s="1131"/>
      <c r="O37" s="1144"/>
      <c r="P37" s="3312" t="str">
        <f>A37</f>
        <v>成交单价</v>
      </c>
      <c r="Q37" s="3312"/>
      <c r="R37" s="3313">
        <f>E37</f>
        <v>0</v>
      </c>
      <c r="S37" s="3313"/>
      <c r="T37" s="3313">
        <f>G37</f>
        <v>0</v>
      </c>
      <c r="U37" s="3313"/>
      <c r="V37" s="3313">
        <f>I37</f>
        <v>0</v>
      </c>
      <c r="W37" s="3313"/>
      <c r="X37" s="759"/>
      <c r="Y37" s="781"/>
      <c r="Z37" s="759"/>
      <c r="AA37" s="759"/>
      <c r="AB37" s="759"/>
      <c r="AC37" s="759"/>
    </row>
    <row r="38" spans="1:29" ht="15.75" thickBot="1">
      <c r="A38" s="486" t="s">
        <v>2715</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759"/>
      <c r="Y38" s="759"/>
      <c r="Z38" s="759"/>
      <c r="AA38" s="759"/>
      <c r="AB38" s="759"/>
      <c r="AC38" s="759"/>
    </row>
    <row r="39" spans="1:29" ht="15.75" thickBot="1">
      <c r="A39" s="492" t="s">
        <v>2716</v>
      </c>
      <c r="B39" s="493"/>
      <c r="C39" s="1416" t="e">
        <f>R39</f>
        <v>#DIV/0!</v>
      </c>
      <c r="D39" s="1416"/>
      <c r="E39" s="1416"/>
      <c r="F39" s="1416"/>
      <c r="G39" s="1416"/>
      <c r="H39" s="1416"/>
      <c r="I39" s="1416"/>
      <c r="J39" s="1416"/>
      <c r="K39" s="621"/>
      <c r="L39" s="1143"/>
      <c r="M39" s="1144"/>
      <c r="N39" s="1144"/>
      <c r="O39" s="1144"/>
      <c r="P39" s="3309" t="str">
        <f>A39</f>
        <v>估价对象XX用房的比较价值（楼面单价，元/平方米）</v>
      </c>
      <c r="Q39" s="3310"/>
      <c r="R39" s="3311" t="e">
        <f>IF(F1="售价",ROUND(AVERAGE(R38:V38),0),ROUND(AVERAGE(R38:V38),1))</f>
        <v>#DIV/0!</v>
      </c>
      <c r="S39" s="3311"/>
      <c r="T39" s="3311"/>
      <c r="U39" s="3311"/>
      <c r="V39" s="3311"/>
      <c r="W39" s="33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2721</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2543</v>
      </c>
      <c r="B51" s="510"/>
      <c r="C51" s="522" t="s">
        <v>2645</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2581</v>
      </c>
      <c r="B53" s="528" t="s">
        <v>2547</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2556</v>
      </c>
      <c r="B79" s="528" t="s">
        <v>2723</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2609</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2728</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2700</v>
      </c>
      <c r="B1" s="1617"/>
      <c r="C1" s="1618" t="s">
        <v>2523</v>
      </c>
      <c r="D1" s="1619"/>
      <c r="E1" s="1628"/>
      <c r="F1" s="2582"/>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2320</v>
      </c>
      <c r="B2" s="1417" t="e">
        <f ca="1">IF(C2="——",ROUND(C37*D3/10000,0),ROUND(C37*D3/10000,0)-D2)</f>
        <v>#DIV/0!</v>
      </c>
      <c r="C2" s="2584"/>
      <c r="D2" s="1124" t="e">
        <f ca="1">SUMIF(INDIRECT("'"&amp;F2&amp;"'"&amp;"!A:A"),"承租人权益价值",INDIRECT("'"&amp;F2&amp;"'"&amp;"!c:c"))</f>
        <v>#REF!</v>
      </c>
      <c r="E2" s="2585" t="s">
        <v>2321</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278" t="s">
        <v>2641</v>
      </c>
      <c r="AC4" s="3277" t="s">
        <v>2642</v>
      </c>
    </row>
    <row r="5" spans="1:29" ht="15">
      <c r="A5" s="404"/>
      <c r="B5" s="405"/>
      <c r="C5" s="3288" t="s">
        <v>2535</v>
      </c>
      <c r="D5" s="3289"/>
      <c r="E5" s="3286" t="s">
        <v>2536</v>
      </c>
      <c r="F5" s="3287"/>
      <c r="G5" s="3288" t="s">
        <v>2537</v>
      </c>
      <c r="H5" s="3289"/>
      <c r="I5" s="3288" t="s">
        <v>2538</v>
      </c>
      <c r="J5" s="3289"/>
      <c r="K5" s="610"/>
      <c r="L5" s="1130"/>
      <c r="M5" s="1131"/>
      <c r="N5" s="1131"/>
      <c r="O5" s="1131"/>
      <c r="P5" s="3301"/>
      <c r="Q5" s="3302"/>
      <c r="R5" s="3284"/>
      <c r="S5" s="3285"/>
      <c r="T5" s="3284"/>
      <c r="U5" s="3285"/>
      <c r="V5" s="3307"/>
      <c r="W5" s="3307"/>
      <c r="X5" s="1811"/>
      <c r="Y5" s="3284"/>
      <c r="Z5" s="3285"/>
      <c r="AA5" s="3278"/>
      <c r="AB5" s="3278"/>
      <c r="AC5" s="3278"/>
    </row>
    <row r="6" spans="1:29" ht="15.75" thickBot="1">
      <c r="A6" s="406"/>
      <c r="B6" s="407"/>
      <c r="C6" s="3290" t="s">
        <v>2539</v>
      </c>
      <c r="D6" s="3291"/>
      <c r="E6" s="3292" t="s">
        <v>2539</v>
      </c>
      <c r="F6" s="3293"/>
      <c r="G6" s="3290" t="s">
        <v>2539</v>
      </c>
      <c r="H6" s="3291"/>
      <c r="I6" s="3290" t="s">
        <v>2539</v>
      </c>
      <c r="J6" s="3291"/>
      <c r="K6" s="610" t="s">
        <v>2540</v>
      </c>
      <c r="L6" s="1130"/>
      <c r="M6" s="1131"/>
      <c r="N6" s="1131"/>
      <c r="O6" s="1131"/>
      <c r="P6" s="3303"/>
      <c r="Q6" s="3304"/>
      <c r="R6" s="3284"/>
      <c r="S6" s="3285"/>
      <c r="T6" s="3305"/>
      <c r="U6" s="3306"/>
      <c r="V6" s="3307"/>
      <c r="W6" s="3307"/>
      <c r="X6" s="1811"/>
      <c r="Y6" s="3305"/>
      <c r="Z6" s="3306"/>
      <c r="AA6" s="3279"/>
      <c r="AB6" s="3279"/>
      <c r="AC6" s="3279"/>
    </row>
    <row r="7" spans="1:29" s="117" customFormat="1" ht="15.75" thickBot="1">
      <c r="A7" s="408" t="s">
        <v>2541</v>
      </c>
      <c r="B7" s="409"/>
      <c r="C7" s="410">
        <f>'数据-取费表'!B2</f>
        <v>43671</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80" t="s">
        <v>2542</v>
      </c>
      <c r="Q7" s="3308"/>
      <c r="R7" s="770" t="s">
        <v>17</v>
      </c>
      <c r="S7" s="771">
        <f t="shared" ref="S7:S14" si="0">F7</f>
        <v>0</v>
      </c>
      <c r="T7" s="770" t="s">
        <v>17</v>
      </c>
      <c r="U7" s="771">
        <f t="shared" ref="U7:U14" si="1">H7</f>
        <v>0</v>
      </c>
      <c r="V7" s="770" t="s">
        <v>17</v>
      </c>
      <c r="W7" s="771">
        <f t="shared" ref="W7:W14" si="2">J7</f>
        <v>0</v>
      </c>
      <c r="X7" s="772"/>
      <c r="Y7" s="3280" t="s">
        <v>2542</v>
      </c>
      <c r="Z7" s="328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0" t="s">
        <v>2545</v>
      </c>
      <c r="Q8" s="3281"/>
      <c r="R8" s="770" t="s">
        <v>17</v>
      </c>
      <c r="S8" s="771">
        <f t="shared" si="0"/>
        <v>0</v>
      </c>
      <c r="T8" s="770" t="s">
        <v>17</v>
      </c>
      <c r="U8" s="771">
        <f t="shared" si="1"/>
        <v>0</v>
      </c>
      <c r="V8" s="770" t="s">
        <v>17</v>
      </c>
      <c r="W8" s="771">
        <f t="shared" si="2"/>
        <v>0</v>
      </c>
      <c r="X8" s="772"/>
      <c r="Y8" s="3280" t="s">
        <v>2545</v>
      </c>
      <c r="Z8" s="328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12" t="s">
        <v>2548</v>
      </c>
      <c r="Q9" s="1793" t="str">
        <f t="shared" ref="Q9:Q14" si="6">B9</f>
        <v>用途</v>
      </c>
      <c r="R9" s="770" t="s">
        <v>17</v>
      </c>
      <c r="S9" s="771">
        <f t="shared" si="0"/>
        <v>100</v>
      </c>
      <c r="T9" s="770" t="s">
        <v>17</v>
      </c>
      <c r="U9" s="771">
        <f t="shared" si="1"/>
        <v>100</v>
      </c>
      <c r="V9" s="770" t="s">
        <v>17</v>
      </c>
      <c r="W9" s="771">
        <f t="shared" si="2"/>
        <v>100</v>
      </c>
      <c r="X9" s="772"/>
      <c r="Y9" s="3115"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12"/>
      <c r="Q10" s="1793" t="str">
        <f t="shared" si="6"/>
        <v>土地使用年限（年）</v>
      </c>
      <c r="R10" s="770" t="s">
        <v>17</v>
      </c>
      <c r="S10" s="771">
        <f t="shared" si="0"/>
        <v>100</v>
      </c>
      <c r="T10" s="770" t="s">
        <v>17</v>
      </c>
      <c r="U10" s="771">
        <f t="shared" si="1"/>
        <v>100</v>
      </c>
      <c r="V10" s="770" t="s">
        <v>17</v>
      </c>
      <c r="W10" s="771">
        <f t="shared" si="2"/>
        <v>100</v>
      </c>
      <c r="X10" s="772"/>
      <c r="Y10" s="311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12"/>
      <c r="Q11" s="1793">
        <f t="shared" si="6"/>
        <v>111</v>
      </c>
      <c r="R11" s="770" t="s">
        <v>17</v>
      </c>
      <c r="S11" s="771">
        <f t="shared" si="0"/>
        <v>100</v>
      </c>
      <c r="T11" s="770" t="s">
        <v>17</v>
      </c>
      <c r="U11" s="771">
        <f t="shared" si="1"/>
        <v>100</v>
      </c>
      <c r="V11" s="770" t="s">
        <v>17</v>
      </c>
      <c r="W11" s="771">
        <f t="shared" si="2"/>
        <v>100</v>
      </c>
      <c r="X11" s="772"/>
      <c r="Y11" s="311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12"/>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312"/>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14" t="s">
        <v>2553</v>
      </c>
      <c r="Q14" s="1808" t="str">
        <f t="shared" si="6"/>
        <v>交通便捷度</v>
      </c>
      <c r="R14" s="774" t="s">
        <v>17</v>
      </c>
      <c r="S14" s="775">
        <f t="shared" si="0"/>
        <v>100</v>
      </c>
      <c r="T14" s="774" t="s">
        <v>17</v>
      </c>
      <c r="U14" s="775">
        <f t="shared" si="1"/>
        <v>100</v>
      </c>
      <c r="V14" s="774" t="s">
        <v>17</v>
      </c>
      <c r="W14" s="775">
        <f t="shared" si="2"/>
        <v>100</v>
      </c>
      <c r="X14" s="1811"/>
      <c r="Y14" s="3314" t="s">
        <v>2553</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315"/>
      <c r="Q15" s="1808"/>
      <c r="R15" s="774"/>
      <c r="S15" s="775"/>
      <c r="T15" s="774"/>
      <c r="U15" s="775"/>
      <c r="V15" s="774"/>
      <c r="W15" s="775"/>
      <c r="X15" s="1811"/>
      <c r="Y15" s="3315"/>
      <c r="Z15" s="1812"/>
      <c r="AA15" s="1809">
        <v>1</v>
      </c>
      <c r="AB15" s="1809">
        <v>1</v>
      </c>
      <c r="AC15" s="1809">
        <v>1</v>
      </c>
    </row>
    <row r="16" spans="1:29" ht="42.75">
      <c r="A16" s="428"/>
      <c r="B16" s="451" t="s">
        <v>2681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15"/>
      <c r="Q16" s="1808" t="str">
        <f>B16</f>
        <v>公共配套设施</v>
      </c>
      <c r="R16" s="774" t="s">
        <v>17</v>
      </c>
      <c r="S16" s="775">
        <f>F16</f>
        <v>100</v>
      </c>
      <c r="T16" s="774" t="s">
        <v>17</v>
      </c>
      <c r="U16" s="775">
        <f>H16</f>
        <v>100</v>
      </c>
      <c r="V16" s="774" t="s">
        <v>17</v>
      </c>
      <c r="W16" s="775">
        <f>J16</f>
        <v>100</v>
      </c>
      <c r="X16" s="1811"/>
      <c r="Y16" s="3315"/>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40"/>
      <c r="M17" s="1131"/>
      <c r="N17" s="1131"/>
      <c r="O17" s="1139"/>
      <c r="P17" s="3315"/>
      <c r="Q17" s="1808"/>
      <c r="R17" s="774"/>
      <c r="S17" s="775"/>
      <c r="T17" s="774"/>
      <c r="U17" s="775"/>
      <c r="V17" s="774"/>
      <c r="W17" s="775"/>
      <c r="X17" s="1811"/>
      <c r="Y17" s="3315"/>
      <c r="Z17" s="1812"/>
      <c r="AA17" s="1809">
        <v>1</v>
      </c>
      <c r="AB17" s="1809">
        <v>1</v>
      </c>
      <c r="AC17" s="1809">
        <v>1</v>
      </c>
    </row>
    <row r="18" spans="1:29" ht="28.5">
      <c r="A18" s="428"/>
      <c r="B18" s="1384" t="s">
        <v>2682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15"/>
      <c r="Q18" s="1808" t="str">
        <f>B18</f>
        <v>基础设施水平</v>
      </c>
      <c r="R18" s="774" t="s">
        <v>17</v>
      </c>
      <c r="S18" s="775">
        <f>F18</f>
        <v>100</v>
      </c>
      <c r="T18" s="774" t="s">
        <v>17</v>
      </c>
      <c r="U18" s="775">
        <f>H18</f>
        <v>100</v>
      </c>
      <c r="V18" s="774" t="s">
        <v>17</v>
      </c>
      <c r="W18" s="775">
        <f>J18</f>
        <v>100</v>
      </c>
      <c r="X18" s="1811"/>
      <c r="Y18" s="3315"/>
      <c r="Z18" s="1812" t="str">
        <f>Q18</f>
        <v>基础设施水平</v>
      </c>
      <c r="AA18" s="1809">
        <f t="shared" ref="AA18" si="8">D18/F18</f>
        <v>1</v>
      </c>
      <c r="AB18" s="1809">
        <f t="shared" ref="AB18" si="9">D18/H18</f>
        <v>1</v>
      </c>
      <c r="AC18" s="1809">
        <f t="shared" ref="AC18" si="10">D18/J18</f>
        <v>1</v>
      </c>
    </row>
    <row r="19" spans="1:29" ht="15">
      <c r="A19" s="428"/>
      <c r="B19" s="1384"/>
      <c r="C19" s="2606"/>
      <c r="D19" s="450"/>
      <c r="E19" s="2606"/>
      <c r="F19" s="453"/>
      <c r="G19" s="2606"/>
      <c r="H19" s="448"/>
      <c r="I19" s="447"/>
      <c r="J19" s="448"/>
      <c r="K19" s="1383"/>
      <c r="L19" s="1140"/>
      <c r="M19" s="1131"/>
      <c r="N19" s="1131"/>
      <c r="O19" s="1139"/>
      <c r="P19" s="3315"/>
      <c r="Q19" s="1808"/>
      <c r="R19" s="774"/>
      <c r="S19" s="775"/>
      <c r="T19" s="774"/>
      <c r="U19" s="775"/>
      <c r="V19" s="774"/>
      <c r="W19" s="775"/>
      <c r="X19" s="1811"/>
      <c r="Y19" s="3315"/>
      <c r="Z19" s="1812"/>
      <c r="AA19" s="1809">
        <v>1</v>
      </c>
      <c r="AB19" s="1809">
        <v>1</v>
      </c>
      <c r="AC19" s="1809">
        <v>1</v>
      </c>
    </row>
    <row r="20" spans="1:29" ht="57">
      <c r="A20" s="428"/>
      <c r="B20" s="451" t="s">
        <v>2703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15"/>
      <c r="Q20" s="1808" t="str">
        <f>B20</f>
        <v>自然及人文环境</v>
      </c>
      <c r="R20" s="774" t="s">
        <v>17</v>
      </c>
      <c r="S20" s="775">
        <f>F20</f>
        <v>100</v>
      </c>
      <c r="T20" s="774" t="s">
        <v>17</v>
      </c>
      <c r="U20" s="775">
        <f>H20</f>
        <v>100</v>
      </c>
      <c r="V20" s="774" t="s">
        <v>17</v>
      </c>
      <c r="W20" s="775">
        <f>J20</f>
        <v>100</v>
      </c>
      <c r="X20" s="1811"/>
      <c r="Y20" s="331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315"/>
      <c r="Q21" s="1808"/>
      <c r="R21" s="774"/>
      <c r="S21" s="775"/>
      <c r="T21" s="774"/>
      <c r="U21" s="775"/>
      <c r="V21" s="774"/>
      <c r="W21" s="775"/>
      <c r="X21" s="1811"/>
      <c r="Y21" s="3315"/>
      <c r="Z21" s="1812"/>
      <c r="AA21" s="1809">
        <v>1</v>
      </c>
      <c r="AB21" s="1809">
        <v>1</v>
      </c>
      <c r="AC21" s="1809">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15"/>
      <c r="Q22" s="1808" t="str">
        <f>B22</f>
        <v>楼层</v>
      </c>
      <c r="R22" s="774" t="s">
        <v>17</v>
      </c>
      <c r="S22" s="775">
        <f>F22</f>
        <v>100</v>
      </c>
      <c r="T22" s="774" t="s">
        <v>17</v>
      </c>
      <c r="U22" s="775">
        <f>H22</f>
        <v>100</v>
      </c>
      <c r="V22" s="774" t="s">
        <v>17</v>
      </c>
      <c r="W22" s="775">
        <f>J22</f>
        <v>100</v>
      </c>
      <c r="X22" s="1811"/>
      <c r="Y22" s="3315"/>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15"/>
      <c r="Q23" s="1808">
        <f>B23</f>
        <v>111</v>
      </c>
      <c r="R23" s="774" t="s">
        <v>17</v>
      </c>
      <c r="S23" s="775">
        <f>F23</f>
        <v>100</v>
      </c>
      <c r="T23" s="774" t="s">
        <v>17</v>
      </c>
      <c r="U23" s="775">
        <f>H23</f>
        <v>100</v>
      </c>
      <c r="V23" s="774" t="s">
        <v>17</v>
      </c>
      <c r="W23" s="775">
        <f>J23</f>
        <v>100</v>
      </c>
      <c r="X23" s="1811"/>
      <c r="Y23" s="3315"/>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15"/>
      <c r="Q24" s="1808">
        <f t="shared" ref="Q24:Q34" si="11">B24</f>
        <v>111</v>
      </c>
      <c r="R24" s="774" t="s">
        <v>17</v>
      </c>
      <c r="S24" s="775">
        <f>F24</f>
        <v>100</v>
      </c>
      <c r="T24" s="774" t="s">
        <v>17</v>
      </c>
      <c r="U24" s="775">
        <f>H24</f>
        <v>100</v>
      </c>
      <c r="V24" s="774" t="s">
        <v>17</v>
      </c>
      <c r="W24" s="775">
        <f>J24</f>
        <v>100</v>
      </c>
      <c r="X24" s="1811"/>
      <c r="Y24" s="3315"/>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315"/>
      <c r="Q25" s="1793">
        <f t="shared" si="11"/>
        <v>111</v>
      </c>
      <c r="R25" s="770" t="s">
        <v>17</v>
      </c>
      <c r="S25" s="771">
        <f>F25</f>
        <v>100</v>
      </c>
      <c r="T25" s="770" t="s">
        <v>17</v>
      </c>
      <c r="U25" s="771">
        <f>H25</f>
        <v>100</v>
      </c>
      <c r="V25" s="770" t="s">
        <v>17</v>
      </c>
      <c r="W25" s="771">
        <f>J25</f>
        <v>100</v>
      </c>
      <c r="X25" s="772"/>
      <c r="Y25" s="3315"/>
      <c r="Z25" s="55">
        <f>Q25</f>
        <v>111</v>
      </c>
      <c r="AA25" s="1809">
        <f>D25/F25</f>
        <v>1</v>
      </c>
      <c r="AB25" s="1809">
        <f>D25/H25</f>
        <v>1</v>
      </c>
      <c r="AC25" s="1809">
        <f>D25/J25</f>
        <v>1</v>
      </c>
    </row>
    <row r="26" spans="1:29" ht="28.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338" t="s">
        <v>2558</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19" t="s">
        <v>2558</v>
      </c>
      <c r="Z26" s="1812" t="str">
        <f t="shared" ref="Z26:Z34" si="15">Q26</f>
        <v>公共部分装修</v>
      </c>
      <c r="AA26" s="1809">
        <f t="shared" si="3"/>
        <v>1</v>
      </c>
      <c r="AB26" s="1809">
        <f t="shared" si="4"/>
        <v>1</v>
      </c>
      <c r="AC26" s="1809">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19"/>
      <c r="Q27" s="776" t="str">
        <f t="shared" si="11"/>
        <v>成新率</v>
      </c>
      <c r="R27" s="777" t="s">
        <v>17</v>
      </c>
      <c r="S27" s="778" t="e">
        <f t="shared" si="12"/>
        <v>#N/A</v>
      </c>
      <c r="T27" s="777" t="s">
        <v>17</v>
      </c>
      <c r="U27" s="778" t="e">
        <f t="shared" si="13"/>
        <v>#N/A</v>
      </c>
      <c r="V27" s="777" t="s">
        <v>17</v>
      </c>
      <c r="W27" s="778" t="e">
        <f t="shared" si="14"/>
        <v>#N/A</v>
      </c>
      <c r="X27" s="779"/>
      <c r="Y27" s="3319"/>
      <c r="Z27" s="780" t="str">
        <f t="shared" si="15"/>
        <v>成新率</v>
      </c>
      <c r="AA27" s="1809" t="e">
        <f t="shared" si="3"/>
        <v>#N/A</v>
      </c>
      <c r="AB27" s="1809" t="e">
        <f t="shared" si="4"/>
        <v>#N/A</v>
      </c>
      <c r="AC27" s="1809"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19"/>
      <c r="Q28" s="1808" t="str">
        <f t="shared" si="11"/>
        <v>物业等级</v>
      </c>
      <c r="R28" s="774" t="s">
        <v>17</v>
      </c>
      <c r="S28" s="775">
        <f t="shared" si="12"/>
        <v>100</v>
      </c>
      <c r="T28" s="774" t="s">
        <v>17</v>
      </c>
      <c r="U28" s="775">
        <f t="shared" si="13"/>
        <v>100</v>
      </c>
      <c r="V28" s="774" t="s">
        <v>17</v>
      </c>
      <c r="W28" s="775">
        <f t="shared" si="14"/>
        <v>100</v>
      </c>
      <c r="X28" s="1811"/>
      <c r="Y28" s="3319"/>
      <c r="Z28" s="1812" t="str">
        <f t="shared" si="15"/>
        <v>物业等级</v>
      </c>
      <c r="AA28" s="1809">
        <f t="shared" si="3"/>
        <v>1</v>
      </c>
      <c r="AB28" s="1809">
        <f t="shared" si="4"/>
        <v>1</v>
      </c>
      <c r="AC28" s="1809">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19"/>
      <c r="Q29" s="1808" t="str">
        <f t="shared" si="11"/>
        <v>有无电梯</v>
      </c>
      <c r="R29" s="774" t="s">
        <v>17</v>
      </c>
      <c r="S29" s="775">
        <f t="shared" si="12"/>
        <v>100</v>
      </c>
      <c r="T29" s="774" t="s">
        <v>17</v>
      </c>
      <c r="U29" s="775">
        <f t="shared" si="13"/>
        <v>100</v>
      </c>
      <c r="V29" s="774" t="s">
        <v>17</v>
      </c>
      <c r="W29" s="775">
        <f t="shared" si="14"/>
        <v>100</v>
      </c>
      <c r="X29" s="1811"/>
      <c r="Y29" s="3319"/>
      <c r="Z29" s="1812" t="str">
        <f t="shared" si="15"/>
        <v>有无电梯</v>
      </c>
      <c r="AA29" s="1809">
        <f t="shared" si="3"/>
        <v>1</v>
      </c>
      <c r="AB29" s="1809">
        <f t="shared" si="4"/>
        <v>1</v>
      </c>
      <c r="AC29" s="1809">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19"/>
      <c r="Q30" s="1808" t="str">
        <f t="shared" si="11"/>
        <v>建筑面积</v>
      </c>
      <c r="R30" s="774" t="s">
        <v>17</v>
      </c>
      <c r="S30" s="775" t="e">
        <f t="shared" si="12"/>
        <v>#N/A</v>
      </c>
      <c r="T30" s="774" t="s">
        <v>17</v>
      </c>
      <c r="U30" s="775" t="e">
        <f t="shared" si="13"/>
        <v>#N/A</v>
      </c>
      <c r="V30" s="774" t="s">
        <v>17</v>
      </c>
      <c r="W30" s="775" t="e">
        <f t="shared" si="14"/>
        <v>#N/A</v>
      </c>
      <c r="X30" s="1811"/>
      <c r="Y30" s="3319"/>
      <c r="Z30" s="1812" t="str">
        <f t="shared" si="15"/>
        <v>建筑面积</v>
      </c>
      <c r="AA30" s="1809" t="e">
        <f t="shared" si="3"/>
        <v>#N/A</v>
      </c>
      <c r="AB30" s="1809" t="e">
        <f t="shared" si="4"/>
        <v>#N/A</v>
      </c>
      <c r="AC30" s="1809"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19"/>
      <c r="Q31" s="1793" t="str">
        <f t="shared" si="11"/>
        <v>是否封闭</v>
      </c>
      <c r="R31" s="770" t="s">
        <v>17</v>
      </c>
      <c r="S31" s="771">
        <f t="shared" si="12"/>
        <v>100</v>
      </c>
      <c r="T31" s="770" t="s">
        <v>17</v>
      </c>
      <c r="U31" s="771">
        <f t="shared" si="13"/>
        <v>100</v>
      </c>
      <c r="V31" s="770" t="s">
        <v>17</v>
      </c>
      <c r="W31" s="771">
        <f t="shared" si="14"/>
        <v>100</v>
      </c>
      <c r="X31" s="772"/>
      <c r="Y31" s="331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19" t="s">
        <v>2558</v>
      </c>
      <c r="Q32" s="1808">
        <f t="shared" si="11"/>
        <v>111</v>
      </c>
      <c r="R32" s="774" t="s">
        <v>17</v>
      </c>
      <c r="S32" s="775">
        <f t="shared" si="12"/>
        <v>100</v>
      </c>
      <c r="T32" s="774" t="s">
        <v>17</v>
      </c>
      <c r="U32" s="775">
        <f t="shared" si="13"/>
        <v>100</v>
      </c>
      <c r="V32" s="774" t="s">
        <v>17</v>
      </c>
      <c r="W32" s="775">
        <f t="shared" si="14"/>
        <v>100</v>
      </c>
      <c r="X32" s="1811"/>
      <c r="Y32" s="3319" t="s">
        <v>2558</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19"/>
      <c r="Q33" s="1808">
        <f t="shared" si="11"/>
        <v>111</v>
      </c>
      <c r="R33" s="774" t="s">
        <v>17</v>
      </c>
      <c r="S33" s="775">
        <f t="shared" si="12"/>
        <v>100</v>
      </c>
      <c r="T33" s="774" t="s">
        <v>17</v>
      </c>
      <c r="U33" s="775">
        <f t="shared" si="13"/>
        <v>100</v>
      </c>
      <c r="V33" s="774" t="s">
        <v>17</v>
      </c>
      <c r="W33" s="775">
        <f t="shared" si="14"/>
        <v>100</v>
      </c>
      <c r="X33" s="1811"/>
      <c r="Y33" s="3319"/>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319"/>
      <c r="Q34" s="1808">
        <f t="shared" si="11"/>
        <v>111</v>
      </c>
      <c r="R34" s="774" t="s">
        <v>17</v>
      </c>
      <c r="S34" s="775">
        <f t="shared" si="12"/>
        <v>100</v>
      </c>
      <c r="T34" s="774" t="s">
        <v>17</v>
      </c>
      <c r="U34" s="775">
        <f t="shared" si="13"/>
        <v>100</v>
      </c>
      <c r="V34" s="774" t="s">
        <v>17</v>
      </c>
      <c r="W34" s="775">
        <f t="shared" si="14"/>
        <v>100</v>
      </c>
      <c r="X34" s="1811"/>
      <c r="Y34" s="3319"/>
      <c r="Z34" s="1812">
        <f t="shared" si="15"/>
        <v>111</v>
      </c>
      <c r="AA34" s="1809">
        <f t="shared" si="3"/>
        <v>1</v>
      </c>
      <c r="AB34" s="1809">
        <f t="shared" si="4"/>
        <v>1</v>
      </c>
      <c r="AC34" s="1809">
        <f t="shared" si="5"/>
        <v>1</v>
      </c>
    </row>
    <row r="35" spans="1:29" ht="15">
      <c r="A35" s="479" t="s">
        <v>2570</v>
      </c>
      <c r="B35" s="480"/>
      <c r="C35" s="1406" t="s">
        <v>1</v>
      </c>
      <c r="D35" s="1407"/>
      <c r="E35" s="1408"/>
      <c r="F35" s="1409"/>
      <c r="G35" s="1410"/>
      <c r="H35" s="1411"/>
      <c r="I35" s="1408"/>
      <c r="J35" s="1411"/>
      <c r="K35" s="783"/>
      <c r="L35" s="1143"/>
      <c r="M35" s="1144"/>
      <c r="N35" s="1131"/>
      <c r="O35" s="1144"/>
      <c r="P35" s="3312" t="str">
        <f>A35</f>
        <v>成交单价（元/平方米）</v>
      </c>
      <c r="Q35" s="3312"/>
      <c r="R35" s="3313">
        <f>E35</f>
        <v>0</v>
      </c>
      <c r="S35" s="3313"/>
      <c r="T35" s="3313">
        <f>G35</f>
        <v>0</v>
      </c>
      <c r="U35" s="3313"/>
      <c r="V35" s="3313">
        <f>I35</f>
        <v>0</v>
      </c>
      <c r="W35" s="3313"/>
      <c r="X35" s="759"/>
      <c r="Y35" s="781"/>
      <c r="Z35" s="759"/>
      <c r="AA35" s="759"/>
      <c r="AB35" s="759"/>
      <c r="AC35" s="759"/>
    </row>
    <row r="36" spans="1:29" ht="15.75" thickBot="1">
      <c r="A36" s="486" t="s">
        <v>2662</v>
      </c>
      <c r="B36" s="487"/>
      <c r="C36" s="1412" t="e">
        <f>R37</f>
        <v>#DIV/0!</v>
      </c>
      <c r="D36" s="1413"/>
      <c r="E36" s="1414" t="e">
        <f>R36</f>
        <v>#DIV/0!</v>
      </c>
      <c r="F36" s="1414"/>
      <c r="G36" s="1412" t="e">
        <f>T36</f>
        <v>#DIV/0!</v>
      </c>
      <c r="H36" s="1413"/>
      <c r="I36" s="1414" t="e">
        <f>V36</f>
        <v>#DIV/0!</v>
      </c>
      <c r="J36" s="1413"/>
      <c r="K36" s="784"/>
      <c r="L36" s="1143"/>
      <c r="M36" s="1144"/>
      <c r="N36" s="1131"/>
      <c r="O36" s="1144"/>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759"/>
      <c r="Y36" s="759"/>
      <c r="Z36" s="759"/>
      <c r="AA36" s="759"/>
      <c r="AB36" s="759"/>
      <c r="AC36" s="759"/>
    </row>
    <row r="37" spans="1:29" ht="15.75" thickBot="1">
      <c r="A37" s="492" t="s">
        <v>2663</v>
      </c>
      <c r="B37" s="493"/>
      <c r="C37" s="1416" t="e">
        <f>R37</f>
        <v>#DIV/0!</v>
      </c>
      <c r="D37" s="1416"/>
      <c r="E37" s="1416"/>
      <c r="F37" s="1416"/>
      <c r="G37" s="1416"/>
      <c r="H37" s="1416"/>
      <c r="I37" s="1416"/>
      <c r="J37" s="1416"/>
      <c r="K37" s="785"/>
      <c r="L37" s="1143"/>
      <c r="M37" s="1144"/>
      <c r="N37" s="1144"/>
      <c r="O37" s="1144"/>
      <c r="P37" s="3309" t="str">
        <f>A37</f>
        <v>估价对象XX用房的比较价值（楼面单价，元/平方米）</v>
      </c>
      <c r="Q37" s="3310"/>
      <c r="R37" s="3311" t="e">
        <f>IF(F1="售价",ROUND(AVERAGE(R36:V36),0),ROUND(AVERAGE(R36:V36),1))</f>
        <v>#DIV/0!</v>
      </c>
      <c r="S37" s="3311"/>
      <c r="T37" s="3311"/>
      <c r="U37" s="3311"/>
      <c r="V37" s="3311"/>
      <c r="W37" s="33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958"/>
      <c r="B4" s="3053" t="s">
        <v>1625</v>
      </c>
      <c r="C4" s="3053"/>
      <c r="D4" s="3053"/>
      <c r="E4" s="1958"/>
    </row>
    <row r="5" spans="1:5" ht="16.5" thickTop="1">
      <c r="A5" s="1956"/>
      <c r="B5" s="3051" t="s">
        <v>1617</v>
      </c>
      <c r="C5" s="1959" t="s">
        <v>1618</v>
      </c>
      <c r="D5" s="1040">
        <f ca="1">'结果表（四羊方尊）'!H101</f>
        <v>6561</v>
      </c>
      <c r="E5" s="1956"/>
    </row>
    <row r="6" spans="1:5" ht="15.75">
      <c r="A6" s="1956"/>
      <c r="B6" s="3051"/>
      <c r="C6" s="1959" t="s">
        <v>1619</v>
      </c>
      <c r="D6" s="1040" t="str">
        <f ca="1">NUMBERSTRING(INT(D5*10000),2)&amp;"元整"</f>
        <v>陆仟伍佰陆拾壹万元整</v>
      </c>
      <c r="E6" s="1956"/>
    </row>
    <row r="7" spans="1:5" ht="15.75">
      <c r="A7" s="1956"/>
      <c r="B7" s="3056"/>
      <c r="C7" s="1960" t="s">
        <v>1620</v>
      </c>
      <c r="D7" s="1041">
        <f ca="1">'结果表（四羊方尊）'!H102</f>
        <v>11704</v>
      </c>
      <c r="E7" s="1956"/>
    </row>
    <row r="8" spans="1:5" ht="15.75">
      <c r="A8" s="1956"/>
      <c r="B8" s="3057" t="str">
        <f>'结果表（四羊方尊）'!E103</f>
        <v>2.估价师知悉的法定优先受偿款</v>
      </c>
      <c r="C8" s="1961" t="s">
        <v>1621</v>
      </c>
      <c r="D8" s="1041">
        <f>'结果表（四羊方尊）'!H103</f>
        <v>0</v>
      </c>
      <c r="E8" s="1956"/>
    </row>
    <row r="9" spans="1:5" ht="15.75">
      <c r="A9" s="1956"/>
      <c r="B9" s="3059"/>
      <c r="C9" s="1959" t="s">
        <v>1619</v>
      </c>
      <c r="D9" s="1040" t="str">
        <f>NUMBERSTRING(INT(D8*10000),2)&amp;"元整"</f>
        <v>零元整</v>
      </c>
      <c r="E9" s="1956"/>
    </row>
    <row r="10" spans="1:5" ht="15">
      <c r="A10" s="1956"/>
      <c r="B10" s="1962" t="s">
        <v>1624</v>
      </c>
      <c r="C10" s="1963" t="s">
        <v>1622</v>
      </c>
      <c r="D10" s="1042">
        <f>'结果表（四羊方尊）'!H104</f>
        <v>0</v>
      </c>
      <c r="E10" s="1956"/>
    </row>
    <row r="11" spans="1:5" ht="15">
      <c r="A11" s="1956"/>
      <c r="B11" s="1962" t="s">
        <v>1626</v>
      </c>
      <c r="C11" s="1963" t="s">
        <v>1627</v>
      </c>
      <c r="D11" s="1042">
        <f>'结果表（四羊方尊）'!H105</f>
        <v>0</v>
      </c>
      <c r="E11" s="1956"/>
    </row>
    <row r="12" spans="1:5" ht="15">
      <c r="A12" s="1956"/>
      <c r="B12" s="1962" t="s">
        <v>1628</v>
      </c>
      <c r="C12" s="1963" t="s">
        <v>1627</v>
      </c>
      <c r="D12" s="1042">
        <f>'结果表（四羊方尊）'!H106</f>
        <v>0</v>
      </c>
      <c r="E12" s="1956"/>
    </row>
    <row r="13" spans="1:5" ht="15.75">
      <c r="A13" s="1956"/>
      <c r="B13" s="3050" t="str">
        <f>'结果表（四羊方尊）'!E107</f>
        <v>3.房地产抵押价值</v>
      </c>
      <c r="C13" s="1964" t="s">
        <v>1618</v>
      </c>
      <c r="D13" s="1043">
        <f ca="1">'结果表（四羊方尊）'!H107</f>
        <v>6561</v>
      </c>
      <c r="E13" s="1956"/>
    </row>
    <row r="14" spans="1:5" ht="15.75">
      <c r="A14" s="1956"/>
      <c r="B14" s="3051"/>
      <c r="C14" s="1959" t="s">
        <v>1619</v>
      </c>
      <c r="D14" s="1040" t="str">
        <f ca="1">NUMBERSTRING(INT(D13*10000),2)&amp;"元整"</f>
        <v>陆仟伍佰陆拾壹万元整</v>
      </c>
      <c r="E14" s="1956"/>
    </row>
    <row r="15" spans="1:5" ht="15">
      <c r="A15" s="1956"/>
      <c r="B15" s="3056"/>
      <c r="C15" s="1960" t="s">
        <v>1629</v>
      </c>
      <c r="D15" s="1052">
        <f ca="1">'结果表（四羊方尊）'!H108</f>
        <v>6091</v>
      </c>
      <c r="E15" s="1956"/>
    </row>
    <row r="16" spans="1:5" ht="15">
      <c r="A16" s="1956"/>
      <c r="B16" s="3057" t="str">
        <f>'结果表（四羊方尊）'!E109</f>
        <v>——</v>
      </c>
      <c r="C16" s="1964" t="s">
        <v>1630</v>
      </c>
      <c r="D16" s="1965" t="str">
        <f>'结果表（四羊方尊）'!H109</f>
        <v>——</v>
      </c>
      <c r="E16" s="1956"/>
    </row>
    <row r="17" spans="1:5" ht="15.75">
      <c r="A17" s="1956"/>
      <c r="B17" s="3058"/>
      <c r="C17" s="1959" t="s">
        <v>1631</v>
      </c>
      <c r="D17" s="1040" t="e">
        <f>NUMBERSTRING(INT(D16*10000),2)&amp;"元整"</f>
        <v>#VALUE!</v>
      </c>
      <c r="E17" s="1956"/>
    </row>
    <row r="18" spans="1:5" ht="15">
      <c r="A18" s="1956"/>
      <c r="B18" s="3059"/>
      <c r="C18" s="1960" t="s">
        <v>1620</v>
      </c>
      <c r="D18" s="1052" t="str">
        <f>'结果表（四羊方尊）'!H110</f>
        <v>——</v>
      </c>
      <c r="E18" s="1956"/>
    </row>
    <row r="19" spans="1:5" ht="15.75">
      <c r="A19" s="1956"/>
      <c r="B19" s="3050" t="str">
        <f>'结果表（四羊方尊）'!E111</f>
        <v>——</v>
      </c>
      <c r="C19" s="1964" t="s">
        <v>1618</v>
      </c>
      <c r="D19" s="1041" t="str">
        <f>'结果表（四羊方尊）'!H111</f>
        <v>——</v>
      </c>
      <c r="E19" s="1956"/>
    </row>
    <row r="20" spans="1:5" ht="15.75">
      <c r="A20" s="1956"/>
      <c r="B20" s="3051"/>
      <c r="C20" s="1959" t="s">
        <v>1631</v>
      </c>
      <c r="D20" s="1040" t="e">
        <f>NUMBERSTRING(INT(D19*10000),2)&amp;"元整"</f>
        <v>#VALUE!</v>
      </c>
      <c r="E20" s="1956"/>
    </row>
    <row r="21" spans="1:5" ht="15.75" thickBot="1">
      <c r="A21" s="1956"/>
      <c r="B21" s="3052"/>
      <c r="C21" s="1966" t="s">
        <v>1629</v>
      </c>
      <c r="D21" s="1053" t="str">
        <f>'结果表（四羊方尊）'!H112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4"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1"/>
  <sheetViews>
    <sheetView workbookViewId="0">
      <selection activeCell="G22" sqref="G22"/>
    </sheetView>
  </sheetViews>
  <sheetFormatPr defaultRowHeight="13.5"/>
  <cols>
    <col min="1" max="1" width="1.75" customWidth="1"/>
    <col min="2" max="2" width="20.25" customWidth="1"/>
    <col min="3" max="3" width="9" style="3009"/>
  </cols>
  <sheetData>
    <row r="2" spans="2:5">
      <c r="B2" s="3012" t="s">
        <v>3386</v>
      </c>
      <c r="C2" s="3031" t="s">
        <v>3387</v>
      </c>
      <c r="D2" s="3012" t="s">
        <v>3388</v>
      </c>
      <c r="E2" s="3012" t="s">
        <v>3389</v>
      </c>
    </row>
    <row r="3" spans="2:5">
      <c r="B3" s="3012" t="s">
        <v>3390</v>
      </c>
      <c r="C3" s="3009">
        <v>1</v>
      </c>
      <c r="D3">
        <v>150</v>
      </c>
      <c r="E3">
        <v>1.44</v>
      </c>
    </row>
    <row r="4" spans="2:5">
      <c r="B4" s="3036" t="s">
        <v>3391</v>
      </c>
      <c r="C4" s="3037" t="s">
        <v>3403</v>
      </c>
      <c r="D4" s="3036">
        <v>35.9</v>
      </c>
      <c r="E4" s="3036">
        <v>4.46</v>
      </c>
    </row>
    <row r="5" spans="2:5">
      <c r="B5" s="3036" t="s">
        <v>3392</v>
      </c>
      <c r="C5" s="3037" t="s">
        <v>3393</v>
      </c>
      <c r="D5" s="3036">
        <v>200</v>
      </c>
      <c r="E5" s="3036">
        <v>3</v>
      </c>
    </row>
    <row r="6" spans="2:5">
      <c r="B6" s="3032" t="s">
        <v>3408</v>
      </c>
      <c r="C6" s="3033"/>
      <c r="D6" s="3032"/>
      <c r="E6" s="3032"/>
    </row>
    <row r="7" spans="2:5">
      <c r="B7" s="3012" t="s">
        <v>3406</v>
      </c>
      <c r="C7" s="3031" t="s">
        <v>3393</v>
      </c>
      <c r="D7">
        <v>100</v>
      </c>
      <c r="E7">
        <v>0.5</v>
      </c>
    </row>
    <row r="8" spans="2:5">
      <c r="B8" s="3012"/>
      <c r="C8" s="3031" t="s">
        <v>3400</v>
      </c>
      <c r="D8">
        <v>310</v>
      </c>
      <c r="E8">
        <v>0.97</v>
      </c>
    </row>
    <row r="9" spans="2:5">
      <c r="B9" s="3012" t="s">
        <v>3394</v>
      </c>
      <c r="C9" s="3031" t="s">
        <v>3395</v>
      </c>
      <c r="D9">
        <v>150</v>
      </c>
      <c r="E9">
        <v>1.67</v>
      </c>
    </row>
    <row r="10" spans="2:5">
      <c r="B10" s="3012"/>
      <c r="C10" s="3031" t="s">
        <v>3400</v>
      </c>
      <c r="D10">
        <v>130</v>
      </c>
      <c r="E10">
        <v>1.74</v>
      </c>
    </row>
    <row r="11" spans="2:5">
      <c r="B11" s="3012" t="s">
        <v>3398</v>
      </c>
      <c r="C11" s="3031" t="s">
        <v>3393</v>
      </c>
      <c r="D11">
        <v>90</v>
      </c>
      <c r="E11">
        <v>0.89</v>
      </c>
    </row>
    <row r="12" spans="2:5">
      <c r="B12" s="3012" t="s">
        <v>3399</v>
      </c>
      <c r="C12" s="3031" t="s">
        <v>3400</v>
      </c>
      <c r="D12">
        <v>45</v>
      </c>
      <c r="E12">
        <v>1.48</v>
      </c>
    </row>
    <row r="13" spans="2:5">
      <c r="B13" s="3012"/>
      <c r="C13" s="3031" t="s">
        <v>3400</v>
      </c>
      <c r="D13">
        <v>20</v>
      </c>
      <c r="E13">
        <v>3.33</v>
      </c>
    </row>
    <row r="14" spans="2:5">
      <c r="B14" s="3012" t="s">
        <v>3401</v>
      </c>
      <c r="C14" s="3031" t="s">
        <v>3393</v>
      </c>
      <c r="D14">
        <v>905</v>
      </c>
      <c r="E14">
        <v>1.1000000000000001</v>
      </c>
    </row>
    <row r="15" spans="2:5">
      <c r="B15" s="3012" t="s">
        <v>3402</v>
      </c>
      <c r="C15" s="3031" t="s">
        <v>3400</v>
      </c>
      <c r="D15">
        <v>57</v>
      </c>
      <c r="E15">
        <v>3.61</v>
      </c>
    </row>
    <row r="16" spans="2:5" ht="12.75" customHeight="1">
      <c r="B16" s="3012" t="s">
        <v>3394</v>
      </c>
      <c r="C16" s="3031" t="s">
        <v>3400</v>
      </c>
      <c r="D16">
        <v>135</v>
      </c>
      <c r="E16">
        <v>1.68</v>
      </c>
    </row>
    <row r="17" spans="2:5">
      <c r="B17" s="3034" t="s">
        <v>3404</v>
      </c>
      <c r="C17" s="3035"/>
      <c r="D17" s="3034">
        <v>55</v>
      </c>
      <c r="E17" s="3034">
        <v>4.55</v>
      </c>
    </row>
    <row r="18" spans="2:5">
      <c r="B18" s="3034" t="s">
        <v>3405</v>
      </c>
      <c r="C18" s="3035" t="s">
        <v>3400</v>
      </c>
      <c r="D18" s="3034">
        <v>950</v>
      </c>
      <c r="E18" s="3034">
        <v>0.81</v>
      </c>
    </row>
    <row r="19" spans="2:5">
      <c r="B19" s="3012" t="s">
        <v>3407</v>
      </c>
      <c r="D19">
        <v>30</v>
      </c>
      <c r="E19">
        <v>8.33</v>
      </c>
    </row>
    <row r="21" spans="2:5">
      <c r="B21" s="3012" t="s">
        <v>3396</v>
      </c>
      <c r="C21" s="3031" t="s">
        <v>3397</v>
      </c>
      <c r="D21">
        <v>135</v>
      </c>
      <c r="E21">
        <v>0.74</v>
      </c>
    </row>
  </sheetData>
  <phoneticPr fontId="14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1" sqref="A51:M5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1994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1851</v>
      </c>
      <c r="C3" s="247" t="s">
        <v>2739</v>
      </c>
      <c r="D3" s="1581"/>
      <c r="E3" s="3024">
        <f>B3*C11*666.67/10000</f>
        <v>270.24735122999999</v>
      </c>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278" t="s">
        <v>2641</v>
      </c>
      <c r="AC4" s="3277" t="s">
        <v>2642</v>
      </c>
    </row>
    <row r="5" spans="1:30" ht="15">
      <c r="A5" s="404"/>
      <c r="B5" s="405"/>
      <c r="C5" s="3288" t="s">
        <v>2535</v>
      </c>
      <c r="D5" s="3289"/>
      <c r="E5" s="3286" t="str">
        <f>土地案例!E6</f>
        <v>盐津街道杨堡社区</v>
      </c>
      <c r="F5" s="3287"/>
      <c r="G5" s="3288" t="str">
        <f>土地案例!E9</f>
        <v>盐津街道城南社区</v>
      </c>
      <c r="H5" s="3289"/>
      <c r="I5" s="3288" t="str">
        <f>土地案例!E12</f>
        <v>盐津街道杨堡坝社区</v>
      </c>
      <c r="J5" s="3289"/>
      <c r="K5" s="610"/>
      <c r="L5" s="1130"/>
      <c r="M5" s="1131"/>
      <c r="N5" s="1131"/>
      <c r="O5" s="1131"/>
      <c r="P5" s="3301"/>
      <c r="Q5" s="3302"/>
      <c r="R5" s="3284"/>
      <c r="S5" s="3285"/>
      <c r="T5" s="3284"/>
      <c r="U5" s="3285"/>
      <c r="V5" s="3307"/>
      <c r="W5" s="3307"/>
      <c r="X5" s="1811"/>
      <c r="Y5" s="3284"/>
      <c r="Z5" s="3285"/>
      <c r="AA5" s="3278"/>
      <c r="AB5" s="3278"/>
      <c r="AC5" s="3278"/>
    </row>
    <row r="6" spans="1:30" ht="15.75" thickBot="1">
      <c r="A6" s="406"/>
      <c r="B6" s="407"/>
      <c r="C6" s="3290" t="s">
        <v>2539</v>
      </c>
      <c r="D6" s="3291"/>
      <c r="E6" s="3292" t="str">
        <f>土地案例!G6</f>
        <v>盐津街道飞天路1号地块</v>
      </c>
      <c r="F6" s="3293"/>
      <c r="G6" s="3290" t="str">
        <f>土地案例!G9</f>
        <v>盐津街道酒都大道南侧2号地块</v>
      </c>
      <c r="H6" s="3291"/>
      <c r="I6" s="3290" t="str">
        <f>土地案例!G12</f>
        <v>盐津街道法院路11号地块</v>
      </c>
      <c r="J6" s="3291"/>
      <c r="K6" s="610" t="s">
        <v>2540</v>
      </c>
      <c r="L6" s="1130"/>
      <c r="M6" s="1131"/>
      <c r="N6" s="1131"/>
      <c r="O6" s="1131"/>
      <c r="P6" s="3303"/>
      <c r="Q6" s="3304"/>
      <c r="R6" s="3284"/>
      <c r="S6" s="3285"/>
      <c r="T6" s="3305"/>
      <c r="U6" s="3306"/>
      <c r="V6" s="3307"/>
      <c r="W6" s="3307"/>
      <c r="X6" s="1811"/>
      <c r="Y6" s="3305"/>
      <c r="Z6" s="3306"/>
      <c r="AA6" s="3279"/>
      <c r="AB6" s="3279"/>
      <c r="AC6" s="3279"/>
    </row>
    <row r="7" spans="1:30" s="117" customFormat="1" ht="15.75" thickBot="1">
      <c r="A7" s="408" t="s">
        <v>2541</v>
      </c>
      <c r="B7" s="409"/>
      <c r="C7" s="410">
        <f>'数据-取费表'!B2</f>
        <v>43671</v>
      </c>
      <c r="D7" s="411">
        <v>100</v>
      </c>
      <c r="E7" s="412" t="str">
        <f>土地案例!L6</f>
        <v>2018-11-28</v>
      </c>
      <c r="F7" s="413">
        <f>SUMIF(70:70,YEAR(E7)&amp;"-"&amp;INT((MONTH(E7)+2)/3),71:71)</f>
        <v>98.5</v>
      </c>
      <c r="G7" s="2694" t="str">
        <f>土地案例!L9</f>
        <v>2018-11-28</v>
      </c>
      <c r="H7" s="411">
        <f>SUMIF(70:70,YEAR(G7)&amp;"-"&amp;INT((MONTH(G7)+2)/3),71:71)</f>
        <v>98.5</v>
      </c>
      <c r="I7" s="2694" t="str">
        <f>土地案例!L12</f>
        <v>2018-11-28</v>
      </c>
      <c r="J7" s="411">
        <f>SUMIF(70:70,YEAR(I7)&amp;"-"&amp;INT((MONTH(I7)+2)/3),71:71)</f>
        <v>98.5</v>
      </c>
      <c r="K7" s="611"/>
      <c r="L7" s="1132"/>
      <c r="M7" s="1133"/>
      <c r="N7" s="1133"/>
      <c r="O7" s="1133"/>
      <c r="P7" s="3280" t="s">
        <v>2542</v>
      </c>
      <c r="Q7" s="3308"/>
      <c r="R7" s="770" t="s">
        <v>17</v>
      </c>
      <c r="S7" s="771">
        <f t="shared" ref="S7:S15" si="0">F7</f>
        <v>98.5</v>
      </c>
      <c r="T7" s="770" t="s">
        <v>17</v>
      </c>
      <c r="U7" s="771">
        <f t="shared" ref="U7:U15" si="1">H7</f>
        <v>98.5</v>
      </c>
      <c r="V7" s="770" t="s">
        <v>17</v>
      </c>
      <c r="W7" s="771">
        <f t="shared" ref="W7:W15" si="2">J7</f>
        <v>98.5</v>
      </c>
      <c r="X7" s="772"/>
      <c r="Y7" s="3280" t="s">
        <v>2542</v>
      </c>
      <c r="Z7" s="3281"/>
      <c r="AA7" s="773">
        <f>D7/F7</f>
        <v>1.015228426395939</v>
      </c>
      <c r="AB7" s="773">
        <f>D7/H7</f>
        <v>1.015228426395939</v>
      </c>
      <c r="AC7" s="773">
        <f>D7/J7</f>
        <v>1.015228426395939</v>
      </c>
    </row>
    <row r="8" spans="1:30" s="117" customFormat="1" ht="15.75" thickBot="1">
      <c r="A8" s="408" t="s">
        <v>2543</v>
      </c>
      <c r="B8" s="409"/>
      <c r="C8" s="414" t="s">
        <v>2544</v>
      </c>
      <c r="D8" s="411">
        <v>100</v>
      </c>
      <c r="E8" s="414" t="s">
        <v>3245</v>
      </c>
      <c r="F8" s="413">
        <f>SUMIF(73:73,E8,74:74)-SUMIF(73:73,C8,74:74)+100</f>
        <v>100</v>
      </c>
      <c r="G8" s="414" t="s">
        <v>3245</v>
      </c>
      <c r="H8" s="411">
        <f>SUMIF(73:73,G8,74:74)-SUMIF(73:73,C8,74:74)+100</f>
        <v>100</v>
      </c>
      <c r="I8" s="414" t="s">
        <v>3245</v>
      </c>
      <c r="J8" s="411">
        <f>SUMIF(73:73,I8,74:74)-SUMIF(73:73,C8,74:74)+100</f>
        <v>100</v>
      </c>
      <c r="K8" s="611"/>
      <c r="L8" s="1132"/>
      <c r="M8" s="1133"/>
      <c r="N8" s="1133"/>
      <c r="O8" s="1133"/>
      <c r="P8" s="3280" t="s">
        <v>2545</v>
      </c>
      <c r="Q8" s="3281"/>
      <c r="R8" s="770" t="s">
        <v>17</v>
      </c>
      <c r="S8" s="771">
        <f t="shared" si="0"/>
        <v>100</v>
      </c>
      <c r="T8" s="770" t="s">
        <v>17</v>
      </c>
      <c r="U8" s="771">
        <f t="shared" si="1"/>
        <v>100</v>
      </c>
      <c r="V8" s="770" t="s">
        <v>17</v>
      </c>
      <c r="W8" s="771">
        <f t="shared" si="2"/>
        <v>100</v>
      </c>
      <c r="X8" s="772"/>
      <c r="Y8" s="3280" t="s">
        <v>2545</v>
      </c>
      <c r="Z8" s="3281"/>
      <c r="AA8" s="773">
        <f t="shared" ref="AA8:AA45" si="3">D8/F8</f>
        <v>1</v>
      </c>
      <c r="AB8" s="773">
        <f t="shared" ref="AB8:AB45" si="4">D8/H8</f>
        <v>1</v>
      </c>
      <c r="AC8" s="773">
        <f t="shared" ref="AC8:AC45" si="5">D8/J8</f>
        <v>1</v>
      </c>
    </row>
    <row r="9" spans="1:30" s="117" customFormat="1">
      <c r="A9" s="415" t="s">
        <v>2546</v>
      </c>
      <c r="B9" s="71" t="s">
        <v>2547</v>
      </c>
      <c r="C9" s="2697" t="s">
        <v>3067</v>
      </c>
      <c r="D9" s="135">
        <v>100</v>
      </c>
      <c r="E9" s="2697" t="s">
        <v>3151</v>
      </c>
      <c r="F9" s="135">
        <f>SUMIF(75:75,E9,76:76)-SUMIF(75:75,C9,76:76)+100</f>
        <v>100</v>
      </c>
      <c r="G9" s="2697" t="s">
        <v>3151</v>
      </c>
      <c r="H9" s="135">
        <f>SUMIF(75:75,G9,76:76)-SUMIF(75:75,C9,76:76)+100</f>
        <v>100</v>
      </c>
      <c r="I9" s="2697" t="s">
        <v>3151</v>
      </c>
      <c r="J9" s="135">
        <f>SUMIF(75:75,I9,76:76)-SUMIF(75:75,C9,76:76)+100</f>
        <v>100</v>
      </c>
      <c r="K9" s="611"/>
      <c r="L9" s="1132"/>
      <c r="M9" s="1133"/>
      <c r="N9" s="1133"/>
      <c r="O9" s="1134"/>
      <c r="P9" s="3312"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312"/>
      <c r="Q10" s="1793" t="str">
        <f t="shared" si="6"/>
        <v>土地使用年限（年）</v>
      </c>
      <c r="R10" s="770" t="s">
        <v>17</v>
      </c>
      <c r="S10" s="771">
        <f t="shared" si="0"/>
        <v>102</v>
      </c>
      <c r="T10" s="770" t="s">
        <v>17</v>
      </c>
      <c r="U10" s="771">
        <f t="shared" si="1"/>
        <v>102</v>
      </c>
      <c r="V10" s="770" t="s">
        <v>17</v>
      </c>
      <c r="W10" s="771">
        <f t="shared" si="2"/>
        <v>102</v>
      </c>
      <c r="X10" s="772"/>
      <c r="Y10" s="3115"/>
      <c r="Z10" s="55" t="str">
        <f t="shared" si="7"/>
        <v>土地使用年限（年）</v>
      </c>
      <c r="AA10" s="773">
        <f t="shared" si="3"/>
        <v>0.98039215686274506</v>
      </c>
      <c r="AB10" s="773">
        <f t="shared" si="4"/>
        <v>0.98039215686274506</v>
      </c>
      <c r="AC10" s="773">
        <f t="shared" si="5"/>
        <v>0.98039215686274506</v>
      </c>
    </row>
    <row r="11" spans="1:30" ht="15">
      <c r="A11" s="428"/>
      <c r="B11" s="422" t="s">
        <v>2551</v>
      </c>
      <c r="C11" s="429">
        <f>抵押物清单!D25</f>
        <v>2.19</v>
      </c>
      <c r="D11" s="136">
        <v>100</v>
      </c>
      <c r="E11" s="429">
        <v>2.19</v>
      </c>
      <c r="F11" s="136">
        <f>LOOKUP(E11,80:80,81:81)-LOOKUP(C11,80:80,81:81)+100</f>
        <v>100</v>
      </c>
      <c r="G11" s="430">
        <v>1.79</v>
      </c>
      <c r="H11" s="136">
        <f>LOOKUP(G11,80:80,81:81)-LOOKUP(C11,80:80,81:81)+100</f>
        <v>105</v>
      </c>
      <c r="I11" s="429">
        <v>1.31</v>
      </c>
      <c r="J11" s="136">
        <f>LOOKUP(I11,80:80,81:81)-LOOKUP(C11,80:80,81:81)+100</f>
        <v>110</v>
      </c>
      <c r="K11" s="673">
        <v>5</v>
      </c>
      <c r="L11" s="1138"/>
      <c r="M11" s="1131"/>
      <c r="N11" s="1131"/>
      <c r="O11" s="1139"/>
      <c r="P11" s="3312"/>
      <c r="Q11" s="1793" t="str">
        <f t="shared" si="6"/>
        <v>容积率</v>
      </c>
      <c r="R11" s="770" t="s">
        <v>17</v>
      </c>
      <c r="S11" s="771">
        <f t="shared" si="0"/>
        <v>100</v>
      </c>
      <c r="T11" s="770" t="s">
        <v>17</v>
      </c>
      <c r="U11" s="771">
        <f t="shared" si="1"/>
        <v>105</v>
      </c>
      <c r="V11" s="770" t="s">
        <v>17</v>
      </c>
      <c r="W11" s="771">
        <f t="shared" si="2"/>
        <v>110</v>
      </c>
      <c r="X11" s="772"/>
      <c r="Y11" s="3115"/>
      <c r="Z11" s="55" t="str">
        <f t="shared" si="7"/>
        <v>容积率</v>
      </c>
      <c r="AA11" s="773">
        <f t="shared" si="3"/>
        <v>1</v>
      </c>
      <c r="AB11" s="773">
        <f t="shared" si="4"/>
        <v>0.95238095238095233</v>
      </c>
      <c r="AC11" s="773">
        <f t="shared" si="5"/>
        <v>0.90909090909090906</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12"/>
      <c r="Q12" s="1793" t="str">
        <f t="shared" si="6"/>
        <v>配建</v>
      </c>
      <c r="R12" s="770" t="s">
        <v>17</v>
      </c>
      <c r="S12" s="771">
        <f t="shared" si="0"/>
        <v>100</v>
      </c>
      <c r="T12" s="770" t="s">
        <v>17</v>
      </c>
      <c r="U12" s="771">
        <f t="shared" si="1"/>
        <v>100</v>
      </c>
      <c r="V12" s="770" t="s">
        <v>17</v>
      </c>
      <c r="W12" s="771">
        <f t="shared" si="2"/>
        <v>100</v>
      </c>
      <c r="X12" s="772"/>
      <c r="Y12" s="3115"/>
      <c r="Z12" s="55" t="str">
        <f t="shared" si="7"/>
        <v>配建</v>
      </c>
      <c r="AA12" s="773">
        <f>D12/F12</f>
        <v>1</v>
      </c>
      <c r="AB12" s="773">
        <f>D12/H12</f>
        <v>1</v>
      </c>
      <c r="AC12" s="773">
        <f>D12/J12</f>
        <v>1</v>
      </c>
    </row>
    <row r="13" spans="1:30" ht="15">
      <c r="A13" s="428"/>
      <c r="B13" s="2598"/>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12"/>
      <c r="Q13" s="1793">
        <f t="shared" si="6"/>
        <v>0</v>
      </c>
      <c r="R13" s="770" t="s">
        <v>17</v>
      </c>
      <c r="S13" s="771">
        <f t="shared" si="0"/>
        <v>100</v>
      </c>
      <c r="T13" s="770" t="s">
        <v>17</v>
      </c>
      <c r="U13" s="771">
        <f t="shared" si="1"/>
        <v>100</v>
      </c>
      <c r="V13" s="770" t="s">
        <v>17</v>
      </c>
      <c r="W13" s="771">
        <f t="shared" si="2"/>
        <v>100</v>
      </c>
      <c r="X13" s="772"/>
      <c r="Y13" s="3115"/>
      <c r="Z13" s="55">
        <f t="shared" si="7"/>
        <v>0</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12"/>
      <c r="Q14" s="1793">
        <f t="shared" si="6"/>
        <v>0</v>
      </c>
      <c r="R14" s="770" t="s">
        <v>17</v>
      </c>
      <c r="S14" s="771">
        <f t="shared" si="0"/>
        <v>100</v>
      </c>
      <c r="T14" s="770" t="s">
        <v>17</v>
      </c>
      <c r="U14" s="771">
        <f t="shared" si="1"/>
        <v>100</v>
      </c>
      <c r="V14" s="770" t="s">
        <v>17</v>
      </c>
      <c r="W14" s="771">
        <f t="shared" si="2"/>
        <v>100</v>
      </c>
      <c r="X14" s="772"/>
      <c r="Y14" s="3115"/>
      <c r="Z14" s="55">
        <f t="shared" si="7"/>
        <v>0</v>
      </c>
      <c r="AA14" s="773">
        <f>D14/F14</f>
        <v>1</v>
      </c>
      <c r="AB14" s="773">
        <f>D14/H14</f>
        <v>1</v>
      </c>
      <c r="AC14" s="773">
        <f>D14/J14</f>
        <v>1</v>
      </c>
    </row>
    <row r="15" spans="1:30" ht="99.75" hidden="1">
      <c r="A15" s="440" t="s">
        <v>2552</v>
      </c>
      <c r="B15" s="69" t="s">
        <v>2080</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14" t="s">
        <v>2553</v>
      </c>
      <c r="Q15" s="1808" t="str">
        <f t="shared" si="6"/>
        <v>居住社区成熟度</v>
      </c>
      <c r="R15" s="774" t="s">
        <v>17</v>
      </c>
      <c r="S15" s="775">
        <f t="shared" si="0"/>
        <v>100</v>
      </c>
      <c r="T15" s="774" t="s">
        <v>17</v>
      </c>
      <c r="U15" s="775">
        <f t="shared" si="1"/>
        <v>100</v>
      </c>
      <c r="V15" s="774" t="s">
        <v>17</v>
      </c>
      <c r="W15" s="775">
        <f t="shared" si="2"/>
        <v>100</v>
      </c>
      <c r="X15" s="1811"/>
      <c r="Y15" s="3314" t="s">
        <v>2553</v>
      </c>
      <c r="Z15" s="1812" t="str">
        <f t="shared" si="7"/>
        <v>居住社区成熟度</v>
      </c>
      <c r="AA15" s="1809">
        <f t="shared" si="3"/>
        <v>1</v>
      </c>
      <c r="AB15" s="1809">
        <f t="shared" si="4"/>
        <v>1</v>
      </c>
      <c r="AC15" s="1809">
        <f t="shared" si="5"/>
        <v>1</v>
      </c>
    </row>
    <row r="16" spans="1:30" ht="15" hidden="1">
      <c r="A16" s="428"/>
      <c r="B16" s="446"/>
      <c r="C16" s="447"/>
      <c r="D16" s="448"/>
      <c r="E16" s="2603"/>
      <c r="F16" s="448"/>
      <c r="G16" s="2603"/>
      <c r="H16" s="450"/>
      <c r="I16" s="2602"/>
      <c r="J16" s="448"/>
      <c r="K16" s="672"/>
      <c r="L16" s="1140"/>
      <c r="M16" s="1131"/>
      <c r="N16" s="1131"/>
      <c r="O16" s="1139"/>
      <c r="P16" s="3315"/>
      <c r="Q16" s="1808"/>
      <c r="R16" s="774"/>
      <c r="S16" s="775"/>
      <c r="T16" s="774"/>
      <c r="U16" s="775"/>
      <c r="V16" s="774"/>
      <c r="W16" s="775"/>
      <c r="X16" s="1811"/>
      <c r="Y16" s="3315"/>
      <c r="Z16" s="1812"/>
      <c r="AA16" s="1809">
        <v>1</v>
      </c>
      <c r="AB16" s="1809">
        <v>1</v>
      </c>
      <c r="AC16" s="1809">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100</v>
      </c>
      <c r="K17" s="673">
        <v>5</v>
      </c>
      <c r="L17" s="1140"/>
      <c r="M17" s="1131"/>
      <c r="N17" s="1131"/>
      <c r="O17" s="1139"/>
      <c r="P17" s="3315"/>
      <c r="Q17" s="1808" t="str">
        <f>B17</f>
        <v>商业繁华度</v>
      </c>
      <c r="R17" s="774" t="s">
        <v>17</v>
      </c>
      <c r="S17" s="775">
        <f>F17</f>
        <v>105</v>
      </c>
      <c r="T17" s="774" t="s">
        <v>17</v>
      </c>
      <c r="U17" s="775">
        <f>H17</f>
        <v>105</v>
      </c>
      <c r="V17" s="774" t="s">
        <v>17</v>
      </c>
      <c r="W17" s="775">
        <f>J17</f>
        <v>100</v>
      </c>
      <c r="X17" s="1811"/>
      <c r="Y17" s="3315"/>
      <c r="Z17" s="1812" t="str">
        <f>Q17</f>
        <v>商业繁华度</v>
      </c>
      <c r="AA17" s="1809">
        <f t="shared" si="3"/>
        <v>0.95238095238095233</v>
      </c>
      <c r="AB17" s="1809">
        <f t="shared" si="4"/>
        <v>0.95238095238095233</v>
      </c>
      <c r="AC17" s="1809">
        <f t="shared" si="5"/>
        <v>1</v>
      </c>
    </row>
    <row r="18" spans="1:29" ht="15">
      <c r="A18" s="428"/>
      <c r="B18" s="456"/>
      <c r="C18" s="2606" t="s">
        <v>3383</v>
      </c>
      <c r="D18" s="450"/>
      <c r="E18" s="2608" t="s">
        <v>3254</v>
      </c>
      <c r="F18" s="450"/>
      <c r="G18" s="2608" t="s">
        <v>3254</v>
      </c>
      <c r="H18" s="448"/>
      <c r="I18" s="2607" t="s">
        <v>3383</v>
      </c>
      <c r="J18" s="448"/>
      <c r="K18" s="672"/>
      <c r="L18" s="1140"/>
      <c r="M18" s="1131"/>
      <c r="N18" s="1131"/>
      <c r="O18" s="1139"/>
      <c r="P18" s="3315"/>
      <c r="Q18" s="1808"/>
      <c r="R18" s="774"/>
      <c r="S18" s="775"/>
      <c r="T18" s="774"/>
      <c r="U18" s="775"/>
      <c r="V18" s="774"/>
      <c r="W18" s="775"/>
      <c r="X18" s="1811"/>
      <c r="Y18" s="3315"/>
      <c r="Z18" s="1812"/>
      <c r="AA18" s="1809">
        <v>1</v>
      </c>
      <c r="AB18" s="1809">
        <v>1</v>
      </c>
      <c r="AC18" s="1809">
        <v>1</v>
      </c>
    </row>
    <row r="19" spans="1:29" ht="71.25">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3</v>
      </c>
      <c r="L19" s="1140"/>
      <c r="M19" s="1131"/>
      <c r="N19" s="1131"/>
      <c r="O19" s="1139"/>
      <c r="P19" s="3315"/>
      <c r="Q19" s="1808" t="str">
        <f>B19</f>
        <v>办公集聚程度</v>
      </c>
      <c r="R19" s="774" t="s">
        <v>17</v>
      </c>
      <c r="S19" s="775">
        <f>F19</f>
        <v>100</v>
      </c>
      <c r="T19" s="774" t="s">
        <v>17</v>
      </c>
      <c r="U19" s="775">
        <f>H19</f>
        <v>100</v>
      </c>
      <c r="V19" s="774" t="s">
        <v>17</v>
      </c>
      <c r="W19" s="775">
        <f>J19</f>
        <v>100</v>
      </c>
      <c r="X19" s="1811"/>
      <c r="Y19" s="3315"/>
      <c r="Z19" s="1812" t="str">
        <f>Q19</f>
        <v>办公集聚程度</v>
      </c>
      <c r="AA19" s="1809">
        <f t="shared" si="3"/>
        <v>1</v>
      </c>
      <c r="AB19" s="1809">
        <f t="shared" si="4"/>
        <v>1</v>
      </c>
      <c r="AC19" s="1809">
        <f t="shared" si="5"/>
        <v>1</v>
      </c>
    </row>
    <row r="20" spans="1:29" ht="15">
      <c r="A20" s="428"/>
      <c r="B20" s="456"/>
      <c r="C20" s="447" t="s">
        <v>3383</v>
      </c>
      <c r="D20" s="448"/>
      <c r="E20" s="447" t="s">
        <v>3383</v>
      </c>
      <c r="F20" s="448"/>
      <c r="G20" s="447" t="s">
        <v>3383</v>
      </c>
      <c r="H20" s="448"/>
      <c r="I20" s="447" t="s">
        <v>3383</v>
      </c>
      <c r="J20" s="448"/>
      <c r="K20" s="672"/>
      <c r="L20" s="1140"/>
      <c r="M20" s="1131"/>
      <c r="N20" s="1131"/>
      <c r="O20" s="1139"/>
      <c r="P20" s="3315"/>
      <c r="Q20" s="1808"/>
      <c r="R20" s="774"/>
      <c r="S20" s="775"/>
      <c r="T20" s="774"/>
      <c r="U20" s="775"/>
      <c r="V20" s="774"/>
      <c r="W20" s="775"/>
      <c r="X20" s="1811"/>
      <c r="Y20" s="3315"/>
      <c r="Z20" s="1812"/>
      <c r="AA20" s="1809">
        <v>1</v>
      </c>
      <c r="AB20" s="1809">
        <v>1</v>
      </c>
      <c r="AC20" s="1809">
        <v>1</v>
      </c>
    </row>
    <row r="21" spans="1:29" ht="85.5">
      <c r="A21" s="428"/>
      <c r="B21" s="451" t="s">
        <v>2702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315"/>
      <c r="Q21" s="1808" t="str">
        <f>B21</f>
        <v>交通便捷度</v>
      </c>
      <c r="R21" s="774" t="s">
        <v>17</v>
      </c>
      <c r="S21" s="775">
        <f>F21</f>
        <v>100</v>
      </c>
      <c r="T21" s="774" t="s">
        <v>17</v>
      </c>
      <c r="U21" s="775">
        <f>H21</f>
        <v>100</v>
      </c>
      <c r="V21" s="774" t="s">
        <v>17</v>
      </c>
      <c r="W21" s="775">
        <f>J21</f>
        <v>100</v>
      </c>
      <c r="X21" s="1811"/>
      <c r="Y21" s="3315"/>
      <c r="Z21" s="1812" t="str">
        <f>Q21</f>
        <v>交通便捷度</v>
      </c>
      <c r="AA21" s="1809">
        <f t="shared" si="3"/>
        <v>1</v>
      </c>
      <c r="AB21" s="1809">
        <f t="shared" si="4"/>
        <v>1</v>
      </c>
      <c r="AC21" s="1809">
        <f t="shared" si="5"/>
        <v>1</v>
      </c>
    </row>
    <row r="22" spans="1:29" ht="15">
      <c r="A22" s="428"/>
      <c r="B22" s="1384"/>
      <c r="C22" s="447" t="s">
        <v>3254</v>
      </c>
      <c r="D22" s="450"/>
      <c r="E22" s="447" t="s">
        <v>3254</v>
      </c>
      <c r="F22" s="448"/>
      <c r="G22" s="447" t="s">
        <v>3254</v>
      </c>
      <c r="H22" s="448"/>
      <c r="I22" s="447" t="s">
        <v>3254</v>
      </c>
      <c r="J22" s="448"/>
      <c r="K22" s="672"/>
      <c r="L22" s="1140"/>
      <c r="M22" s="1131"/>
      <c r="N22" s="1131"/>
      <c r="O22" s="1139"/>
      <c r="P22" s="3315"/>
      <c r="Q22" s="1808"/>
      <c r="R22" s="774"/>
      <c r="S22" s="775"/>
      <c r="T22" s="774"/>
      <c r="U22" s="775"/>
      <c r="V22" s="774"/>
      <c r="W22" s="775"/>
      <c r="X22" s="1811"/>
      <c r="Y22" s="3315"/>
      <c r="Z22" s="1812"/>
      <c r="AA22" s="1809">
        <v>1</v>
      </c>
      <c r="AB22" s="1809">
        <v>1</v>
      </c>
      <c r="AC22" s="1809">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315"/>
      <c r="Q23" s="1808" t="str">
        <f t="shared" ref="Q23:Q37" si="8">B23</f>
        <v>区域土地利用方向</v>
      </c>
      <c r="R23" s="774" t="s">
        <v>17</v>
      </c>
      <c r="S23" s="775">
        <f>F23</f>
        <v>100</v>
      </c>
      <c r="T23" s="774" t="s">
        <v>17</v>
      </c>
      <c r="U23" s="775">
        <f>H23</f>
        <v>100</v>
      </c>
      <c r="V23" s="774" t="s">
        <v>17</v>
      </c>
      <c r="W23" s="775">
        <f>J23</f>
        <v>100</v>
      </c>
      <c r="X23" s="1811"/>
      <c r="Y23" s="3315"/>
      <c r="Z23" s="1812" t="str">
        <f>Q23</f>
        <v>区域土地利用方向</v>
      </c>
      <c r="AA23" s="1809">
        <f t="shared" si="3"/>
        <v>1</v>
      </c>
      <c r="AB23" s="1809">
        <f t="shared" si="4"/>
        <v>1</v>
      </c>
      <c r="AC23" s="1809">
        <f t="shared" si="5"/>
        <v>1</v>
      </c>
    </row>
    <row r="24" spans="1:29" ht="15">
      <c r="A24" s="404"/>
      <c r="B24" s="456"/>
      <c r="C24" s="616" t="s">
        <v>3383</v>
      </c>
      <c r="D24" s="448"/>
      <c r="E24" s="616" t="s">
        <v>3383</v>
      </c>
      <c r="F24" s="448"/>
      <c r="G24" s="616" t="s">
        <v>3383</v>
      </c>
      <c r="H24" s="448"/>
      <c r="I24" s="616" t="s">
        <v>3383</v>
      </c>
      <c r="J24" s="448"/>
      <c r="K24" s="812"/>
      <c r="L24" s="1140"/>
      <c r="M24" s="1131"/>
      <c r="N24" s="1131"/>
      <c r="O24" s="1139"/>
      <c r="P24" s="3315"/>
      <c r="Q24" s="1808"/>
      <c r="R24" s="774"/>
      <c r="S24" s="775"/>
      <c r="T24" s="774"/>
      <c r="U24" s="775"/>
      <c r="V24" s="774"/>
      <c r="W24" s="775"/>
      <c r="X24" s="1811"/>
      <c r="Y24" s="3315"/>
      <c r="Z24" s="1812"/>
      <c r="AA24" s="1809"/>
      <c r="AB24" s="1809"/>
      <c r="AC24" s="1809"/>
    </row>
    <row r="25" spans="1:29" ht="57">
      <c r="A25" s="404"/>
      <c r="B25" s="1384"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315"/>
      <c r="Q25" s="1808" t="str">
        <f t="shared" si="8"/>
        <v>自然及人文环境状况</v>
      </c>
      <c r="R25" s="774" t="s">
        <v>17</v>
      </c>
      <c r="S25" s="775">
        <f>F25</f>
        <v>100</v>
      </c>
      <c r="T25" s="774" t="s">
        <v>17</v>
      </c>
      <c r="U25" s="775">
        <f>H25</f>
        <v>100</v>
      </c>
      <c r="V25" s="774" t="s">
        <v>17</v>
      </c>
      <c r="W25" s="775">
        <f>J25</f>
        <v>100</v>
      </c>
      <c r="X25" s="1811"/>
      <c r="Y25" s="3315"/>
      <c r="Z25" s="1812" t="str">
        <f>Q25</f>
        <v>自然及人文环境状况</v>
      </c>
      <c r="AA25" s="1809">
        <f t="shared" si="3"/>
        <v>1</v>
      </c>
      <c r="AB25" s="1809">
        <f t="shared" si="4"/>
        <v>1</v>
      </c>
      <c r="AC25" s="1809">
        <f t="shared" si="5"/>
        <v>1</v>
      </c>
    </row>
    <row r="26" spans="1:29" ht="15">
      <c r="A26" s="404"/>
      <c r="B26" s="456"/>
      <c r="C26" s="447" t="s">
        <v>3254</v>
      </c>
      <c r="D26" s="448"/>
      <c r="E26" s="447" t="s">
        <v>3254</v>
      </c>
      <c r="F26" s="448"/>
      <c r="G26" s="447" t="s">
        <v>3254</v>
      </c>
      <c r="H26" s="448"/>
      <c r="I26" s="447" t="s">
        <v>3254</v>
      </c>
      <c r="J26" s="448"/>
      <c r="K26" s="672"/>
      <c r="L26" s="1140"/>
      <c r="M26" s="1131"/>
      <c r="N26" s="1131"/>
      <c r="O26" s="1139"/>
      <c r="P26" s="3315"/>
      <c r="Q26" s="1808"/>
      <c r="R26" s="774"/>
      <c r="S26" s="775"/>
      <c r="T26" s="774"/>
      <c r="U26" s="775"/>
      <c r="V26" s="774"/>
      <c r="W26" s="775"/>
      <c r="X26" s="1811"/>
      <c r="Y26" s="3315"/>
      <c r="Z26" s="1812"/>
      <c r="AA26" s="1809">
        <v>1</v>
      </c>
      <c r="AB26" s="1809">
        <v>1</v>
      </c>
      <c r="AC26" s="1809">
        <v>1</v>
      </c>
    </row>
    <row r="27" spans="1:29" s="117" customFormat="1" ht="42.75">
      <c r="A27" s="649"/>
      <c r="B27" s="1384" t="s">
        <v>2647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2"/>
      <c r="M27" s="1133"/>
      <c r="N27" s="1133"/>
      <c r="O27" s="1134"/>
      <c r="P27" s="3315"/>
      <c r="Q27" s="1793" t="str">
        <f t="shared" si="8"/>
        <v>公共配套设施</v>
      </c>
      <c r="R27" s="770" t="s">
        <v>17</v>
      </c>
      <c r="S27" s="771">
        <f>F27</f>
        <v>100</v>
      </c>
      <c r="T27" s="770" t="s">
        <v>17</v>
      </c>
      <c r="U27" s="771">
        <f>H27</f>
        <v>100</v>
      </c>
      <c r="V27" s="770" t="s">
        <v>17</v>
      </c>
      <c r="W27" s="771">
        <f>J27</f>
        <v>100</v>
      </c>
      <c r="X27" s="772"/>
      <c r="Y27" s="3315"/>
      <c r="Z27" s="55" t="str">
        <f>Q27</f>
        <v>公共配套设施</v>
      </c>
      <c r="AA27" s="1809">
        <f>D27/F27</f>
        <v>1</v>
      </c>
      <c r="AB27" s="1809">
        <f>D27/H27</f>
        <v>1</v>
      </c>
      <c r="AC27" s="1809">
        <f>D27/J27</f>
        <v>1</v>
      </c>
    </row>
    <row r="28" spans="1:29" s="117" customFormat="1" ht="15">
      <c r="A28" s="649"/>
      <c r="B28" s="456"/>
      <c r="C28" s="2698" t="s">
        <v>3254</v>
      </c>
      <c r="D28" s="448"/>
      <c r="E28" s="2698" t="s">
        <v>3254</v>
      </c>
      <c r="F28" s="448"/>
      <c r="G28" s="2698" t="s">
        <v>3254</v>
      </c>
      <c r="H28" s="448"/>
      <c r="I28" s="2698" t="s">
        <v>3254</v>
      </c>
      <c r="J28" s="448"/>
      <c r="K28" s="672"/>
      <c r="L28" s="1132"/>
      <c r="M28" s="1133"/>
      <c r="N28" s="1133"/>
      <c r="O28" s="1134"/>
      <c r="P28" s="3315"/>
      <c r="Q28" s="1793"/>
      <c r="R28" s="770"/>
      <c r="S28" s="771"/>
      <c r="T28" s="770"/>
      <c r="U28" s="771"/>
      <c r="V28" s="770"/>
      <c r="W28" s="771"/>
      <c r="X28" s="772"/>
      <c r="Y28" s="3315"/>
      <c r="Z28" s="55"/>
      <c r="AA28" s="1809">
        <v>1</v>
      </c>
      <c r="AB28" s="1809">
        <v>1</v>
      </c>
      <c r="AC28" s="1809">
        <v>1</v>
      </c>
    </row>
    <row r="29" spans="1:29" s="117" customFormat="1" ht="28.5">
      <c r="A29" s="649"/>
      <c r="B29" s="1384" t="s">
        <v>2648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315"/>
      <c r="Q29" s="1793" t="str">
        <f t="shared" ref="Q29" si="9">B29</f>
        <v>基础设施水平</v>
      </c>
      <c r="R29" s="770" t="s">
        <v>17</v>
      </c>
      <c r="S29" s="771">
        <f>F29</f>
        <v>100</v>
      </c>
      <c r="T29" s="770" t="s">
        <v>17</v>
      </c>
      <c r="U29" s="771">
        <f>H29</f>
        <v>100</v>
      </c>
      <c r="V29" s="770" t="s">
        <v>17</v>
      </c>
      <c r="W29" s="771">
        <f>J29</f>
        <v>100</v>
      </c>
      <c r="X29" s="772"/>
      <c r="Y29" s="3315"/>
      <c r="Z29" s="55" t="str">
        <f>Q29</f>
        <v>基础设施水平</v>
      </c>
      <c r="AA29" s="1809">
        <f>D29/F29</f>
        <v>1</v>
      </c>
      <c r="AB29" s="1809">
        <f>D29/H29</f>
        <v>1</v>
      </c>
      <c r="AC29" s="1809">
        <f>D29/J29</f>
        <v>1</v>
      </c>
    </row>
    <row r="30" spans="1:29" s="117" customFormat="1" ht="15.75" thickBot="1">
      <c r="A30" s="649"/>
      <c r="B30" s="456"/>
      <c r="C30" s="2698" t="s">
        <v>3384</v>
      </c>
      <c r="D30" s="448"/>
      <c r="E30" s="2698" t="s">
        <v>3384</v>
      </c>
      <c r="F30" s="448"/>
      <c r="G30" s="2698" t="s">
        <v>3384</v>
      </c>
      <c r="H30" s="448"/>
      <c r="I30" s="2698" t="s">
        <v>3384</v>
      </c>
      <c r="J30" s="448"/>
      <c r="K30" s="672"/>
      <c r="L30" s="1132"/>
      <c r="M30" s="1133"/>
      <c r="N30" s="1133"/>
      <c r="O30" s="1134"/>
      <c r="P30" s="3315"/>
      <c r="Q30" s="1793"/>
      <c r="R30" s="770"/>
      <c r="S30" s="771"/>
      <c r="T30" s="770"/>
      <c r="U30" s="771"/>
      <c r="V30" s="770"/>
      <c r="W30" s="771"/>
      <c r="X30" s="772"/>
      <c r="Y30" s="3315"/>
      <c r="Z30" s="55"/>
      <c r="AA30" s="1809">
        <v>1</v>
      </c>
      <c r="AB30" s="1809">
        <v>1</v>
      </c>
      <c r="AC30" s="1809">
        <v>1</v>
      </c>
    </row>
    <row r="31" spans="1:29" ht="15" hidden="1">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15"/>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315"/>
      <c r="Z31" s="1812" t="str">
        <f t="shared" ref="Z31:Z45" si="13">Q31</f>
        <v>临街状况</v>
      </c>
      <c r="AA31" s="1809">
        <f t="shared" si="3"/>
        <v>1</v>
      </c>
      <c r="AB31" s="1809">
        <f t="shared" si="4"/>
        <v>1</v>
      </c>
      <c r="AC31" s="1809">
        <f t="shared" si="5"/>
        <v>1</v>
      </c>
    </row>
    <row r="32" spans="1:29" ht="27" hidden="1">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15"/>
      <c r="Q32" s="1808" t="str">
        <f t="shared" si="8"/>
        <v>毗邻道路的类型与等级</v>
      </c>
      <c r="R32" s="774" t="s">
        <v>17</v>
      </c>
      <c r="S32" s="775">
        <f t="shared" si="10"/>
        <v>100</v>
      </c>
      <c r="T32" s="774" t="s">
        <v>17</v>
      </c>
      <c r="U32" s="775">
        <f t="shared" si="11"/>
        <v>100</v>
      </c>
      <c r="V32" s="774" t="s">
        <v>17</v>
      </c>
      <c r="W32" s="775">
        <f t="shared" si="12"/>
        <v>100</v>
      </c>
      <c r="X32" s="1811"/>
      <c r="Y32" s="3315"/>
      <c r="Z32" s="1812" t="str">
        <f t="shared" si="13"/>
        <v>毗邻道路的类型与等级</v>
      </c>
      <c r="AA32" s="1809">
        <f t="shared" si="3"/>
        <v>1</v>
      </c>
      <c r="AB32" s="1809">
        <f t="shared" si="4"/>
        <v>1</v>
      </c>
      <c r="AC32" s="1809">
        <f t="shared" si="5"/>
        <v>1</v>
      </c>
    </row>
    <row r="33" spans="1:29" ht="15" hidden="1">
      <c r="A33" s="428"/>
      <c r="B33" s="456"/>
      <c r="C33" s="447"/>
      <c r="D33" s="448"/>
      <c r="E33" s="2609"/>
      <c r="F33" s="448"/>
      <c r="G33" s="2609"/>
      <c r="H33" s="448"/>
      <c r="I33" s="447"/>
      <c r="J33" s="448"/>
      <c r="K33" s="613"/>
      <c r="L33" s="1140"/>
      <c r="M33" s="1131"/>
      <c r="N33" s="1131"/>
      <c r="O33" s="1139"/>
      <c r="P33" s="3315"/>
      <c r="Q33" s="1808"/>
      <c r="R33" s="774"/>
      <c r="S33" s="775"/>
      <c r="T33" s="774"/>
      <c r="U33" s="775"/>
      <c r="V33" s="774"/>
      <c r="W33" s="775"/>
      <c r="X33" s="1811"/>
      <c r="Y33" s="3315"/>
      <c r="Z33" s="1812"/>
      <c r="AA33" s="1809">
        <v>1</v>
      </c>
      <c r="AB33" s="1809">
        <v>1</v>
      </c>
      <c r="AC33" s="1809">
        <v>1</v>
      </c>
    </row>
    <row r="34" spans="1:29" ht="15" hidden="1">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15"/>
      <c r="Q34" s="1808" t="str">
        <f t="shared" si="8"/>
        <v>土地级别</v>
      </c>
      <c r="R34" s="774" t="s">
        <v>17</v>
      </c>
      <c r="S34" s="775">
        <f t="shared" si="10"/>
        <v>100</v>
      </c>
      <c r="T34" s="774" t="s">
        <v>17</v>
      </c>
      <c r="U34" s="775">
        <f t="shared" si="11"/>
        <v>100</v>
      </c>
      <c r="V34" s="774" t="s">
        <v>17</v>
      </c>
      <c r="W34" s="775">
        <f t="shared" si="12"/>
        <v>100</v>
      </c>
      <c r="X34" s="1811"/>
      <c r="Y34" s="3315"/>
      <c r="Z34" s="1812" t="str">
        <f t="shared" si="13"/>
        <v>土地级别</v>
      </c>
      <c r="AA34" s="1809">
        <f t="shared" si="3"/>
        <v>1</v>
      </c>
      <c r="AB34" s="1809">
        <f t="shared" si="4"/>
        <v>1</v>
      </c>
      <c r="AC34" s="1809">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15"/>
      <c r="Q35" s="1808">
        <f t="shared" si="8"/>
        <v>0</v>
      </c>
      <c r="R35" s="774" t="s">
        <v>17</v>
      </c>
      <c r="S35" s="775">
        <f t="shared" si="10"/>
        <v>100</v>
      </c>
      <c r="T35" s="774" t="s">
        <v>17</v>
      </c>
      <c r="U35" s="775">
        <f t="shared" si="11"/>
        <v>100</v>
      </c>
      <c r="V35" s="774" t="s">
        <v>17</v>
      </c>
      <c r="W35" s="775">
        <f t="shared" si="12"/>
        <v>100</v>
      </c>
      <c r="X35" s="1811"/>
      <c r="Y35" s="3315"/>
      <c r="Z35" s="1812">
        <f t="shared" si="13"/>
        <v>0</v>
      </c>
      <c r="AA35" s="1809">
        <f t="shared" si="3"/>
        <v>1</v>
      </c>
      <c r="AB35" s="1809">
        <f t="shared" si="4"/>
        <v>1</v>
      </c>
      <c r="AC35" s="1809">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38" t="s">
        <v>2558</v>
      </c>
      <c r="Q36" s="1808">
        <f t="shared" si="8"/>
        <v>0</v>
      </c>
      <c r="R36" s="774" t="s">
        <v>17</v>
      </c>
      <c r="S36" s="775">
        <f t="shared" si="10"/>
        <v>100</v>
      </c>
      <c r="T36" s="774" t="s">
        <v>17</v>
      </c>
      <c r="U36" s="775">
        <f t="shared" si="11"/>
        <v>100</v>
      </c>
      <c r="V36" s="774" t="s">
        <v>17</v>
      </c>
      <c r="W36" s="775">
        <f t="shared" si="12"/>
        <v>100</v>
      </c>
      <c r="X36" s="1811"/>
      <c r="Y36" s="3319" t="s">
        <v>2558</v>
      </c>
      <c r="Z36" s="1812">
        <f t="shared" si="13"/>
        <v>0</v>
      </c>
      <c r="AA36" s="1809">
        <f t="shared" si="3"/>
        <v>1</v>
      </c>
      <c r="AB36" s="1809">
        <f t="shared" si="4"/>
        <v>1</v>
      </c>
      <c r="AC36" s="1809">
        <f t="shared" si="5"/>
        <v>1</v>
      </c>
    </row>
    <row r="37" spans="1:29" s="471" customFormat="1" ht="15.75" hidden="1"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19"/>
      <c r="Q37" s="1808">
        <f t="shared" si="8"/>
        <v>0</v>
      </c>
      <c r="R37" s="777" t="s">
        <v>17</v>
      </c>
      <c r="S37" s="778">
        <f t="shared" si="10"/>
        <v>100</v>
      </c>
      <c r="T37" s="777" t="s">
        <v>17</v>
      </c>
      <c r="U37" s="778">
        <f t="shared" si="11"/>
        <v>100</v>
      </c>
      <c r="V37" s="777" t="s">
        <v>17</v>
      </c>
      <c r="W37" s="778">
        <f t="shared" si="12"/>
        <v>100</v>
      </c>
      <c r="X37" s="779"/>
      <c r="Y37" s="3319"/>
      <c r="Z37" s="780">
        <f t="shared" si="13"/>
        <v>0</v>
      </c>
      <c r="AA37" s="1809">
        <f t="shared" si="3"/>
        <v>1</v>
      </c>
      <c r="AB37" s="1809">
        <f t="shared" si="4"/>
        <v>1</v>
      </c>
      <c r="AC37" s="1809">
        <f t="shared" si="5"/>
        <v>1</v>
      </c>
    </row>
    <row r="38" spans="1:29" ht="15">
      <c r="A38" s="472" t="s">
        <v>2556</v>
      </c>
      <c r="B38" s="456" t="s">
        <v>2744</v>
      </c>
      <c r="C38" s="679">
        <f>抵押物清单!D24</f>
        <v>103234.42</v>
      </c>
      <c r="D38" s="467">
        <v>100</v>
      </c>
      <c r="E38" s="679">
        <f>土地案例!I6</f>
        <v>15093.97</v>
      </c>
      <c r="F38" s="467">
        <f>LOOKUP(E38,117:117,118:118)-LOOKUP(C38,117:117,118:118)+100</f>
        <v>99.5</v>
      </c>
      <c r="G38" s="679">
        <f>土地案例!I9</f>
        <v>7089.94</v>
      </c>
      <c r="H38" s="467">
        <f>LOOKUP(G38,117:117,118:118)-LOOKUP(C38,117:117,118:118)+100</f>
        <v>99.5</v>
      </c>
      <c r="I38" s="530">
        <f>土地案例!I12</f>
        <v>6377.48</v>
      </c>
      <c r="J38" s="467">
        <f>LOOKUP(I38,117:117,118:118)-LOOKUP(C38,117:117,118:118)+100</f>
        <v>99.5</v>
      </c>
      <c r="K38" s="613"/>
      <c r="L38" s="1140"/>
      <c r="M38" s="1131"/>
      <c r="N38" s="1131"/>
      <c r="O38" s="1139"/>
      <c r="P38" s="3319"/>
      <c r="Q38" s="1808" t="str">
        <f>B38</f>
        <v>宗地面积</v>
      </c>
      <c r="R38" s="774" t="s">
        <v>17</v>
      </c>
      <c r="S38" s="775">
        <f t="shared" si="10"/>
        <v>99.5</v>
      </c>
      <c r="T38" s="774" t="s">
        <v>17</v>
      </c>
      <c r="U38" s="775">
        <f t="shared" si="11"/>
        <v>99.5</v>
      </c>
      <c r="V38" s="774" t="s">
        <v>17</v>
      </c>
      <c r="W38" s="775">
        <f t="shared" si="12"/>
        <v>99.5</v>
      </c>
      <c r="X38" s="1811"/>
      <c r="Y38" s="3319"/>
      <c r="Z38" s="1812" t="str">
        <f t="shared" si="13"/>
        <v>宗地面积</v>
      </c>
      <c r="AA38" s="1809">
        <f t="shared" si="3"/>
        <v>1.0050251256281406</v>
      </c>
      <c r="AB38" s="1809">
        <f t="shared" si="4"/>
        <v>1.0050251256281406</v>
      </c>
      <c r="AC38" s="1809">
        <f t="shared" si="5"/>
        <v>1.0050251256281406</v>
      </c>
    </row>
    <row r="39" spans="1:29" ht="15">
      <c r="A39" s="472"/>
      <c r="B39" s="422" t="s">
        <v>2745</v>
      </c>
      <c r="C39" s="2611" t="s">
        <v>3250</v>
      </c>
      <c r="D39" s="435">
        <v>100</v>
      </c>
      <c r="E39" s="2611" t="s">
        <v>3250</v>
      </c>
      <c r="F39" s="435">
        <f>SUMIF(119:119,E39,120:120)-SUMIF(119:119,C39,120:120)+100</f>
        <v>100</v>
      </c>
      <c r="G39" s="2611" t="s">
        <v>3250</v>
      </c>
      <c r="H39" s="435">
        <f>SUMIF(119:119,G39,120:120)-SUMIF(119:119,C39,120:120)+100</f>
        <v>100</v>
      </c>
      <c r="I39" s="2611" t="s">
        <v>3250</v>
      </c>
      <c r="J39" s="435">
        <f>SUMIF(119:119,I39,120:120)-SUMIF(119:119,C39,120:120)+100</f>
        <v>100</v>
      </c>
      <c r="K39" s="612">
        <v>2</v>
      </c>
      <c r="L39" s="1140"/>
      <c r="M39" s="1131"/>
      <c r="N39" s="1131"/>
      <c r="O39" s="1139"/>
      <c r="P39" s="3319"/>
      <c r="Q39" s="1808" t="str">
        <f t="shared" ref="Q39:Q45" si="14">B39</f>
        <v>宗地形状</v>
      </c>
      <c r="R39" s="774" t="s">
        <v>17</v>
      </c>
      <c r="S39" s="775">
        <f t="shared" si="10"/>
        <v>100</v>
      </c>
      <c r="T39" s="774" t="s">
        <v>17</v>
      </c>
      <c r="U39" s="775">
        <f t="shared" si="11"/>
        <v>100</v>
      </c>
      <c r="V39" s="774" t="s">
        <v>17</v>
      </c>
      <c r="W39" s="775">
        <f t="shared" si="12"/>
        <v>100</v>
      </c>
      <c r="X39" s="1811"/>
      <c r="Y39" s="3319"/>
      <c r="Z39" s="1812" t="str">
        <f t="shared" si="13"/>
        <v>宗地形状</v>
      </c>
      <c r="AA39" s="1809">
        <f t="shared" si="3"/>
        <v>1</v>
      </c>
      <c r="AB39" s="1809">
        <f t="shared" si="4"/>
        <v>1</v>
      </c>
      <c r="AC39" s="1809">
        <f t="shared" si="5"/>
        <v>1</v>
      </c>
    </row>
    <row r="40" spans="1:29" ht="15">
      <c r="A40" s="472"/>
      <c r="B40" s="422" t="s">
        <v>2746</v>
      </c>
      <c r="C40" s="2611" t="s">
        <v>3378</v>
      </c>
      <c r="D40" s="435">
        <v>100</v>
      </c>
      <c r="E40" s="2611" t="s">
        <v>3378</v>
      </c>
      <c r="F40" s="435">
        <f>SUMIF(121:121,E40,122:122)-SUMIF(121:121,C40,122:122)+100</f>
        <v>100</v>
      </c>
      <c r="G40" s="2611" t="s">
        <v>3378</v>
      </c>
      <c r="H40" s="435">
        <f>SUMIF(121:121,G40,122:122)-SUMIF(121:121,C40,122:122)+100</f>
        <v>100</v>
      </c>
      <c r="I40" s="2611" t="s">
        <v>3378</v>
      </c>
      <c r="J40" s="435">
        <f>SUMIF(121:121,I40,122:122)-SUMIF(121:121,C40,122:122)+100</f>
        <v>100</v>
      </c>
      <c r="K40" s="612">
        <v>2</v>
      </c>
      <c r="L40" s="1140"/>
      <c r="M40" s="1131"/>
      <c r="N40" s="1131"/>
      <c r="O40" s="1139"/>
      <c r="P40" s="3319"/>
      <c r="Q40" s="1808" t="str">
        <f t="shared" si="14"/>
        <v>临街宽度及深度</v>
      </c>
      <c r="R40" s="774" t="s">
        <v>17</v>
      </c>
      <c r="S40" s="775">
        <f t="shared" si="10"/>
        <v>100</v>
      </c>
      <c r="T40" s="774" t="s">
        <v>17</v>
      </c>
      <c r="U40" s="775">
        <f t="shared" si="11"/>
        <v>100</v>
      </c>
      <c r="V40" s="774" t="s">
        <v>17</v>
      </c>
      <c r="W40" s="775">
        <f t="shared" si="12"/>
        <v>100</v>
      </c>
      <c r="X40" s="1811"/>
      <c r="Y40" s="3319"/>
      <c r="Z40" s="1812" t="str">
        <f t="shared" si="13"/>
        <v>临街宽度及深度</v>
      </c>
      <c r="AA40" s="1809">
        <f t="shared" si="3"/>
        <v>1</v>
      </c>
      <c r="AB40" s="1809">
        <f t="shared" si="4"/>
        <v>1</v>
      </c>
      <c r="AC40" s="1809">
        <f t="shared" si="5"/>
        <v>1</v>
      </c>
    </row>
    <row r="41" spans="1:29" s="117" customFormat="1" ht="15">
      <c r="A41" s="473"/>
      <c r="B41" s="422" t="s">
        <v>2747</v>
      </c>
      <c r="C41" s="2700" t="s">
        <v>3252</v>
      </c>
      <c r="D41" s="136">
        <v>100</v>
      </c>
      <c r="E41" s="2700" t="s">
        <v>3252</v>
      </c>
      <c r="F41" s="435">
        <f>SUMIF(123:123,E41,124:124)-SUMIF(123:123,C41,124:124)+100</f>
        <v>100</v>
      </c>
      <c r="G41" s="2700" t="s">
        <v>3252</v>
      </c>
      <c r="H41" s="435">
        <f>SUMIF(123:123,G41,124:124)-SUMIF(123:123,C41,124:124)+100</f>
        <v>100</v>
      </c>
      <c r="I41" s="2700" t="s">
        <v>3252</v>
      </c>
      <c r="J41" s="435">
        <f>SUMIF(123:123,I41,124:124)-SUMIF(123:123,C41,124:124)+100</f>
        <v>100</v>
      </c>
      <c r="K41" s="612">
        <v>2</v>
      </c>
      <c r="L41" s="1132"/>
      <c r="M41" s="1133"/>
      <c r="N41" s="1133"/>
      <c r="O41" s="1134"/>
      <c r="P41" s="3319"/>
      <c r="Q41" s="1808" t="str">
        <f t="shared" si="14"/>
        <v>宗地开发程度</v>
      </c>
      <c r="R41" s="770" t="s">
        <v>17</v>
      </c>
      <c r="S41" s="771">
        <f t="shared" si="10"/>
        <v>100</v>
      </c>
      <c r="T41" s="770" t="s">
        <v>17</v>
      </c>
      <c r="U41" s="771">
        <f t="shared" si="11"/>
        <v>100</v>
      </c>
      <c r="V41" s="770" t="s">
        <v>17</v>
      </c>
      <c r="W41" s="771">
        <f t="shared" si="12"/>
        <v>100</v>
      </c>
      <c r="X41" s="772"/>
      <c r="Y41" s="3319"/>
      <c r="Z41" s="55" t="str">
        <f t="shared" si="13"/>
        <v>宗地开发程度</v>
      </c>
      <c r="AA41" s="773">
        <f t="shared" si="3"/>
        <v>1</v>
      </c>
      <c r="AB41" s="773">
        <f t="shared" si="4"/>
        <v>1</v>
      </c>
      <c r="AC41" s="773">
        <f t="shared" si="5"/>
        <v>1</v>
      </c>
    </row>
    <row r="42" spans="1:29" ht="15.75" thickBot="1">
      <c r="A42" s="472"/>
      <c r="B42" s="422" t="s">
        <v>2748</v>
      </c>
      <c r="C42" s="2611" t="s">
        <v>3254</v>
      </c>
      <c r="D42" s="435">
        <v>100</v>
      </c>
      <c r="E42" s="2611" t="s">
        <v>3254</v>
      </c>
      <c r="F42" s="435">
        <f>SUMIF(125:125,E42,126:126)-SUMIF(125:125,C42,126:126)+100</f>
        <v>100</v>
      </c>
      <c r="G42" s="2611" t="s">
        <v>3254</v>
      </c>
      <c r="H42" s="435">
        <f>SUMIF(125:125,G42,126:126)-SUMIF(125:125,C42,126:126)+100</f>
        <v>100</v>
      </c>
      <c r="I42" s="2611" t="s">
        <v>3254</v>
      </c>
      <c r="J42" s="435">
        <f>SUMIF(125:125,I42,126:126)-SUMIF(125:125,C42,126:126)+100</f>
        <v>100</v>
      </c>
      <c r="K42" s="612">
        <v>2</v>
      </c>
      <c r="L42" s="1140"/>
      <c r="M42" s="1131"/>
      <c r="N42" s="1131"/>
      <c r="O42" s="1139"/>
      <c r="P42" s="3319" t="s">
        <v>2558</v>
      </c>
      <c r="Q42" s="1808" t="str">
        <f t="shared" si="14"/>
        <v>工程地质条件</v>
      </c>
      <c r="R42" s="774" t="s">
        <v>17</v>
      </c>
      <c r="S42" s="775">
        <f t="shared" si="10"/>
        <v>100</v>
      </c>
      <c r="T42" s="774" t="s">
        <v>17</v>
      </c>
      <c r="U42" s="775">
        <f t="shared" si="11"/>
        <v>100</v>
      </c>
      <c r="V42" s="774" t="s">
        <v>17</v>
      </c>
      <c r="W42" s="775">
        <f t="shared" si="12"/>
        <v>100</v>
      </c>
      <c r="X42" s="1811"/>
      <c r="Y42" s="3319" t="s">
        <v>2558</v>
      </c>
      <c r="Z42" s="1812" t="str">
        <f t="shared" si="13"/>
        <v>工程地质条件</v>
      </c>
      <c r="AA42" s="1809">
        <f t="shared" si="3"/>
        <v>1</v>
      </c>
      <c r="AB42" s="1809">
        <f t="shared" si="4"/>
        <v>1</v>
      </c>
      <c r="AC42" s="1809">
        <f t="shared" si="5"/>
        <v>1</v>
      </c>
    </row>
    <row r="43" spans="1:29" ht="15" hidden="1">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19"/>
      <c r="Q43" s="1808">
        <f t="shared" si="14"/>
        <v>0</v>
      </c>
      <c r="R43" s="774" t="s">
        <v>17</v>
      </c>
      <c r="S43" s="775">
        <f t="shared" si="10"/>
        <v>100</v>
      </c>
      <c r="T43" s="774" t="s">
        <v>17</v>
      </c>
      <c r="U43" s="775">
        <f t="shared" si="11"/>
        <v>100</v>
      </c>
      <c r="V43" s="774" t="s">
        <v>17</v>
      </c>
      <c r="W43" s="775">
        <f t="shared" si="12"/>
        <v>100</v>
      </c>
      <c r="X43" s="1811"/>
      <c r="Y43" s="3319"/>
      <c r="Z43" s="1812">
        <f t="shared" si="13"/>
        <v>0</v>
      </c>
      <c r="AA43" s="1809">
        <f t="shared" si="3"/>
        <v>1</v>
      </c>
      <c r="AB43" s="1809">
        <f t="shared" si="4"/>
        <v>1</v>
      </c>
      <c r="AC43" s="1809">
        <f t="shared" si="5"/>
        <v>1</v>
      </c>
    </row>
    <row r="44" spans="1:29" ht="15" hidden="1">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19"/>
      <c r="Q44" s="1808">
        <f t="shared" si="14"/>
        <v>0</v>
      </c>
      <c r="R44" s="774" t="s">
        <v>17</v>
      </c>
      <c r="S44" s="775">
        <f t="shared" si="10"/>
        <v>100</v>
      </c>
      <c r="T44" s="774" t="s">
        <v>17</v>
      </c>
      <c r="U44" s="775">
        <f t="shared" si="11"/>
        <v>100</v>
      </c>
      <c r="V44" s="774" t="s">
        <v>17</v>
      </c>
      <c r="W44" s="775">
        <f t="shared" si="12"/>
        <v>100</v>
      </c>
      <c r="X44" s="1811"/>
      <c r="Y44" s="3319"/>
      <c r="Z44" s="1812">
        <f t="shared" si="13"/>
        <v>0</v>
      </c>
      <c r="AA44" s="1809">
        <f t="shared" si="3"/>
        <v>1</v>
      </c>
      <c r="AB44" s="1809">
        <f t="shared" si="4"/>
        <v>1</v>
      </c>
      <c r="AC44" s="1809">
        <f t="shared" si="5"/>
        <v>1</v>
      </c>
    </row>
    <row r="45" spans="1:29" s="471" customFormat="1" ht="15.75" hidden="1"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19"/>
      <c r="Q45" s="1808">
        <f t="shared" si="14"/>
        <v>0</v>
      </c>
      <c r="R45" s="777" t="s">
        <v>17</v>
      </c>
      <c r="S45" s="778">
        <f t="shared" si="10"/>
        <v>100</v>
      </c>
      <c r="T45" s="777" t="s">
        <v>17</v>
      </c>
      <c r="U45" s="778">
        <f t="shared" si="11"/>
        <v>100</v>
      </c>
      <c r="V45" s="777" t="s">
        <v>17</v>
      </c>
      <c r="W45" s="778">
        <f t="shared" si="12"/>
        <v>100</v>
      </c>
      <c r="X45" s="779"/>
      <c r="Y45" s="3319"/>
      <c r="Z45" s="780">
        <f t="shared" si="13"/>
        <v>0</v>
      </c>
      <c r="AA45" s="1809">
        <f t="shared" si="3"/>
        <v>1</v>
      </c>
      <c r="AB45" s="1809">
        <f t="shared" si="4"/>
        <v>1</v>
      </c>
      <c r="AC45" s="1809">
        <f t="shared" si="5"/>
        <v>1</v>
      </c>
    </row>
    <row r="46" spans="1:29" ht="15">
      <c r="A46" s="479" t="s">
        <v>2713</v>
      </c>
      <c r="B46" s="2702" t="s">
        <v>2749</v>
      </c>
      <c r="C46" s="682" t="s">
        <v>1</v>
      </c>
      <c r="D46" s="481"/>
      <c r="E46" s="482">
        <f>ROUNDDOWN(土地案例!Q6,0)</f>
        <v>1822</v>
      </c>
      <c r="F46" s="483"/>
      <c r="G46" s="484">
        <f>ROUNDDOWN(土地案例!Q9,0)</f>
        <v>2048</v>
      </c>
      <c r="H46" s="485"/>
      <c r="I46" s="482">
        <f>ROUNDDOWN(土地案例!Q12,0)</f>
        <v>2153</v>
      </c>
      <c r="J46" s="485"/>
      <c r="K46" s="783"/>
      <c r="L46" s="1143"/>
      <c r="M46" s="1144"/>
      <c r="N46" s="1131"/>
      <c r="O46" s="1144"/>
      <c r="P46" s="3312" t="str">
        <f>A46</f>
        <v>成交单价</v>
      </c>
      <c r="Q46" s="3312"/>
      <c r="R46" s="3307">
        <f>E46</f>
        <v>1822</v>
      </c>
      <c r="S46" s="3307"/>
      <c r="T46" s="3307">
        <f>G46</f>
        <v>2048</v>
      </c>
      <c r="U46" s="3307"/>
      <c r="V46" s="3307">
        <f>I46</f>
        <v>2153</v>
      </c>
      <c r="W46" s="3307"/>
      <c r="X46" s="759"/>
      <c r="Y46" s="781"/>
      <c r="Z46" s="759"/>
      <c r="AA46" s="759"/>
      <c r="AB46" s="759"/>
      <c r="AC46" s="759"/>
    </row>
    <row r="47" spans="1:29" ht="15.75" thickBot="1">
      <c r="A47" s="486" t="s">
        <v>2662</v>
      </c>
      <c r="B47" s="683"/>
      <c r="C47" s="490">
        <f>R48</f>
        <v>1851</v>
      </c>
      <c r="D47" s="489"/>
      <c r="E47" s="490">
        <f>R47</f>
        <v>1736</v>
      </c>
      <c r="F47" s="491"/>
      <c r="G47" s="488">
        <f>T47</f>
        <v>1858</v>
      </c>
      <c r="H47" s="489"/>
      <c r="I47" s="490">
        <f>V47</f>
        <v>1958</v>
      </c>
      <c r="J47" s="489"/>
      <c r="K47" s="784"/>
      <c r="L47" s="1143"/>
      <c r="M47" s="1144"/>
      <c r="N47" s="1144"/>
      <c r="O47" s="1144"/>
      <c r="P47" s="3312" t="str">
        <f>A47</f>
        <v>比较价值（元/平方米）</v>
      </c>
      <c r="Q47" s="3312"/>
      <c r="R47" s="3339">
        <f>ROUND(PRODUCT(R46,AA7:AA45),0)</f>
        <v>1736</v>
      </c>
      <c r="S47" s="3339"/>
      <c r="T47" s="3339">
        <f>ROUND(PRODUCT(T46,AB7:AB45),0)</f>
        <v>1858</v>
      </c>
      <c r="U47" s="3339"/>
      <c r="V47" s="3339">
        <f>ROUND(PRODUCT(V46,AC7:AC45),0)</f>
        <v>1958</v>
      </c>
      <c r="W47" s="3339"/>
      <c r="X47" s="759"/>
      <c r="Y47" s="759"/>
      <c r="Z47" s="759"/>
      <c r="AA47" s="759"/>
      <c r="AB47" s="759"/>
      <c r="AC47" s="759"/>
    </row>
    <row r="48" spans="1:29" ht="15.75" thickBot="1">
      <c r="A48" s="492" t="s">
        <v>2750</v>
      </c>
      <c r="B48" s="493"/>
      <c r="C48" s="494">
        <f>R48</f>
        <v>1851</v>
      </c>
      <c r="D48" s="494"/>
      <c r="E48" s="494"/>
      <c r="F48" s="494"/>
      <c r="G48" s="494"/>
      <c r="H48" s="494"/>
      <c r="I48" s="494"/>
      <c r="J48" s="494"/>
      <c r="K48" s="785"/>
      <c r="L48" s="1143"/>
      <c r="M48" s="1144"/>
      <c r="N48" s="1144"/>
      <c r="O48" s="1144"/>
      <c r="P48" s="3309" t="str">
        <f>A48</f>
        <v>估价对象XX用房的比较价值（楼面单价，元/平方米）</v>
      </c>
      <c r="Q48" s="3310"/>
      <c r="R48" s="3340">
        <f>ROUND(AVERAGE(R47:V47),0)</f>
        <v>1851</v>
      </c>
      <c r="S48" s="3340"/>
      <c r="T48" s="3340"/>
      <c r="U48" s="3340"/>
      <c r="V48" s="3340"/>
      <c r="W48" s="33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f>IF(E46&lt;E47,E47/E46-1,E46/E47-1)</f>
        <v>4.9539170506912367E-2</v>
      </c>
      <c r="F51" s="500" t="str">
        <f>IF(OR(E51&gt;=0.3,E51&lt;=-0.3),"超过30%","")</f>
        <v/>
      </c>
      <c r="G51" s="499">
        <f>IF(G46&lt;G47,G47/G46-1,G46/G47-1)</f>
        <v>0.10226049515608171</v>
      </c>
      <c r="H51" s="500" t="str">
        <f>IF(OR(G51&gt;=0.3,G51&lt;=-0.3),"超过30%","")</f>
        <v/>
      </c>
      <c r="I51" s="499">
        <f>IF(I46&lt;I47,I47/I46-1,I46/I47-1)</f>
        <v>9.9591419816138949E-2</v>
      </c>
      <c r="J51" s="500" t="str">
        <f>IF(OR(I51&gt;=0.3,I51&lt;=-0.3),"超过30%","")</f>
        <v/>
      </c>
      <c r="K51" s="1105"/>
      <c r="L51" s="1106"/>
      <c r="M51" s="1144"/>
      <c r="N51" s="1144"/>
      <c r="O51" s="1144"/>
    </row>
    <row r="52" spans="1:15" ht="13.5" customHeight="1">
      <c r="A52" s="1144"/>
      <c r="B52" s="1144"/>
      <c r="C52" s="497" t="s">
        <v>2665</v>
      </c>
      <c r="D52" s="501"/>
      <c r="E52" s="499">
        <f>IF(E47&lt;G47,G47/E47-1,E47/G47-1)</f>
        <v>7.0276497695852536E-2</v>
      </c>
      <c r="F52" s="500" t="str">
        <f>IF(OR(E52&gt;=0.2,E52&lt;=-0.2),"超过20%","")</f>
        <v/>
      </c>
      <c r="G52" s="499">
        <f>IF(G47&lt;I47,I47/G47-1,G47/I47-1)</f>
        <v>5.3821313240043134E-2</v>
      </c>
      <c r="H52" s="500" t="str">
        <f>IF(OR(G52&gt;=0.2,G52&lt;=-0.2),"超过20%","")</f>
        <v/>
      </c>
      <c r="I52" s="499">
        <f>IF(I47&lt;E47,E47/I47-1,I47/E47-1)</f>
        <v>0.12788018433179715</v>
      </c>
      <c r="J52" s="500" t="str">
        <f>IF(OR(I52&gt;=0.2,I52&lt;=-0.2),"超过20%","")</f>
        <v/>
      </c>
      <c r="K52" s="1105"/>
      <c r="L52" s="1106"/>
      <c r="M52" s="1144"/>
      <c r="N52" s="1144"/>
      <c r="O52" s="1144"/>
    </row>
    <row r="53" spans="1:15" s="502" customFormat="1" ht="13.5" customHeight="1">
      <c r="A53" s="1145"/>
      <c r="B53" s="1145"/>
      <c r="C53" s="497" t="s">
        <v>2666</v>
      </c>
      <c r="D53" s="501"/>
      <c r="E53" s="499">
        <f>IF(E46&lt;G46,G46/E46-1,E46/G46-1)</f>
        <v>0.12403951701427007</v>
      </c>
      <c r="F53" s="500" t="str">
        <f>IF(OR(E53&gt;=0.3,E53&lt;=-0.3),"超过30%","")</f>
        <v/>
      </c>
      <c r="G53" s="499">
        <f>IF(G46&lt;I46,I46/G46-1,G46/I46-1)</f>
        <v>5.126953125E-2</v>
      </c>
      <c r="H53" s="500" t="str">
        <f>IF(OR(G53&gt;=0.3,G53&lt;=-0.3),"超过30%","")</f>
        <v/>
      </c>
      <c r="I53" s="499">
        <f>IF(I46&lt;E46,E46/I46-1,I46/E46-1)</f>
        <v>0.18166849615806813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3" t="s">
        <v>2753</v>
      </c>
      <c r="D55" s="2704" t="s">
        <v>2754</v>
      </c>
      <c r="E55" s="686" t="s">
        <v>2755</v>
      </c>
      <c r="F55" s="1107" t="s">
        <v>2756</v>
      </c>
      <c r="G55" s="3295" t="s">
        <v>2757</v>
      </c>
      <c r="H55" s="3341"/>
      <c r="I55" s="144" t="s">
        <v>2758</v>
      </c>
      <c r="J55" s="2705" t="str">
        <f>项目基本情况!F35</f>
        <v>贵州省遵义市</v>
      </c>
      <c r="K55" s="2706" t="s">
        <v>2759</v>
      </c>
      <c r="L55" s="1106"/>
      <c r="M55" s="1144"/>
      <c r="N55" s="1144"/>
      <c r="O55" s="1144"/>
    </row>
    <row r="56" spans="1:15" s="692" customFormat="1">
      <c r="A56" s="688" t="s">
        <v>2760</v>
      </c>
      <c r="B56" s="689">
        <f>C48</f>
        <v>1851</v>
      </c>
      <c r="C56" s="690">
        <v>1</v>
      </c>
      <c r="D56" s="1163">
        <v>1</v>
      </c>
      <c r="E56" s="690">
        <f>'数据-汇总表'!E8+'数据-汇总表'!E9</f>
        <v>10771.04</v>
      </c>
      <c r="F56" s="1103">
        <f t="shared" ref="F56:F65" si="15">ROUND(B56*E56/10000,0)</f>
        <v>1994</v>
      </c>
      <c r="G56" s="3294"/>
      <c r="H56" s="3312"/>
      <c r="I56" s="1108">
        <v>1</v>
      </c>
      <c r="J56" s="1111">
        <v>1</v>
      </c>
      <c r="K56" s="1145"/>
      <c r="L56" s="941"/>
      <c r="M56" s="941"/>
      <c r="N56" s="941"/>
      <c r="O56" s="941"/>
    </row>
    <row r="57" spans="1:15" s="692" customFormat="1">
      <c r="A57" s="693" t="s">
        <v>2761</v>
      </c>
      <c r="B57" s="262">
        <f>ROUND($C$48*C57*D57,0)</f>
        <v>0</v>
      </c>
      <c r="C57" s="200">
        <f t="shared" ref="C57:C65" si="16">IF($C$55="北京市系数",I57,J57)</f>
        <v>0</v>
      </c>
      <c r="D57" s="1164">
        <v>0.25</v>
      </c>
      <c r="E57" s="694"/>
      <c r="F57" s="1103">
        <f t="shared" si="15"/>
        <v>0</v>
      </c>
      <c r="G57" s="3342" t="s">
        <v>2762</v>
      </c>
      <c r="H57" s="1104">
        <f>项目基本情况!B37</f>
        <v>0</v>
      </c>
      <c r="I57" s="1108">
        <f>SUMIF(修正!A45:A56,H57,修正!B45:B56)</f>
        <v>0</v>
      </c>
      <c r="J57" s="1112"/>
      <c r="K57" s="1144"/>
      <c r="L57" s="941"/>
      <c r="M57" s="941"/>
      <c r="N57" s="941"/>
      <c r="O57" s="941"/>
    </row>
    <row r="58" spans="1:15" s="692" customFormat="1">
      <c r="A58" s="693" t="s">
        <v>2763</v>
      </c>
      <c r="B58" s="262">
        <f t="shared" ref="B58:B65" si="17">ROUND($C$48*C58*D58,0)</f>
        <v>0</v>
      </c>
      <c r="C58" s="200">
        <f t="shared" si="16"/>
        <v>0</v>
      </c>
      <c r="D58" s="1164">
        <v>0.25</v>
      </c>
      <c r="E58" s="694"/>
      <c r="F58" s="1103">
        <f t="shared" si="15"/>
        <v>0</v>
      </c>
      <c r="G58" s="3342"/>
      <c r="H58" s="1104">
        <f>项目基本情况!B37</f>
        <v>0</v>
      </c>
      <c r="I58" s="1108">
        <f>SUMIF(修正!A45:A56,H58,修正!C45:C56)</f>
        <v>0</v>
      </c>
      <c r="J58" s="1112"/>
      <c r="K58" s="1145"/>
      <c r="L58" s="941"/>
      <c r="M58" s="941"/>
      <c r="N58" s="941"/>
      <c r="O58" s="941"/>
    </row>
    <row r="59" spans="1:15" s="692" customFormat="1">
      <c r="A59" s="693" t="s">
        <v>2764</v>
      </c>
      <c r="B59" s="262">
        <f t="shared" si="17"/>
        <v>0</v>
      </c>
      <c r="C59" s="200">
        <f t="shared" si="16"/>
        <v>0</v>
      </c>
      <c r="D59" s="1164">
        <v>0.25</v>
      </c>
      <c r="E59" s="694"/>
      <c r="F59" s="1103">
        <f t="shared" si="15"/>
        <v>0</v>
      </c>
      <c r="G59" s="3342"/>
      <c r="H59" s="1104">
        <f>项目基本情况!B37</f>
        <v>0</v>
      </c>
      <c r="I59" s="1108">
        <f>SUMIF(修正!A45:A56,H59,修正!D45:D56)</f>
        <v>0</v>
      </c>
      <c r="J59" s="1112"/>
      <c r="K59" s="1144"/>
      <c r="L59" s="941"/>
      <c r="M59" s="941"/>
      <c r="N59" s="941"/>
      <c r="O59" s="941"/>
    </row>
    <row r="60" spans="1:15" s="692" customFormat="1">
      <c r="A60" s="693" t="s">
        <v>2765</v>
      </c>
      <c r="B60" s="262">
        <f t="shared" si="17"/>
        <v>0</v>
      </c>
      <c r="C60" s="200">
        <f t="shared" si="16"/>
        <v>0</v>
      </c>
      <c r="D60" s="1164">
        <v>0.25</v>
      </c>
      <c r="E60" s="694"/>
      <c r="F60" s="1103">
        <f t="shared" si="15"/>
        <v>0</v>
      </c>
      <c r="G60" s="3342"/>
      <c r="H60" s="1104">
        <f>项目基本情况!B37</f>
        <v>0</v>
      </c>
      <c r="I60" s="1108">
        <f>SUMIF(修正!A45:A56,H60,修正!E45:E56)</f>
        <v>0</v>
      </c>
      <c r="J60" s="1112"/>
      <c r="K60" s="1145"/>
      <c r="L60" s="941"/>
      <c r="M60" s="941"/>
      <c r="N60" s="941"/>
      <c r="O60" s="941"/>
    </row>
    <row r="61" spans="1:15" s="692" customFormat="1">
      <c r="A61" s="693" t="s">
        <v>2766</v>
      </c>
      <c r="B61" s="262">
        <f t="shared" si="17"/>
        <v>0</v>
      </c>
      <c r="C61" s="200">
        <f t="shared" si="16"/>
        <v>0</v>
      </c>
      <c r="D61" s="1164">
        <v>0.25</v>
      </c>
      <c r="E61" s="261">
        <f>'数据-汇总表'!E11</f>
        <v>0</v>
      </c>
      <c r="F61" s="1103">
        <f t="shared" si="15"/>
        <v>0</v>
      </c>
      <c r="G61" s="2707" t="s">
        <v>2767</v>
      </c>
      <c r="H61" s="1104">
        <f>项目基本情况!C37</f>
        <v>0</v>
      </c>
      <c r="I61" s="1108">
        <f>SUMIF(修正!A45:A56,H61,修正!F45:F56)</f>
        <v>0</v>
      </c>
      <c r="J61" s="1112"/>
      <c r="K61" s="1144"/>
      <c r="L61" s="941"/>
      <c r="M61" s="941"/>
      <c r="N61" s="941"/>
      <c r="O61" s="941"/>
    </row>
    <row r="62" spans="1:15" s="692" customFormat="1">
      <c r="A62" s="693" t="s">
        <v>2768</v>
      </c>
      <c r="B62" s="262">
        <f t="shared" si="17"/>
        <v>0</v>
      </c>
      <c r="C62" s="200">
        <f t="shared" si="16"/>
        <v>0</v>
      </c>
      <c r="D62" s="1164">
        <v>0.25</v>
      </c>
      <c r="E62" s="261">
        <f>'数据-汇总表'!E12</f>
        <v>0</v>
      </c>
      <c r="F62" s="1103">
        <f t="shared" si="15"/>
        <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0</v>
      </c>
      <c r="C64" s="200">
        <f t="shared" si="16"/>
        <v>0</v>
      </c>
      <c r="D64" s="1164">
        <v>0.25</v>
      </c>
      <c r="E64" s="261">
        <f>'数据-汇总表'!E14</f>
        <v>0</v>
      </c>
      <c r="F64" s="1103">
        <f t="shared" si="15"/>
        <v>0</v>
      </c>
      <c r="G64" s="2707" t="s">
        <v>2762</v>
      </c>
      <c r="H64" s="1104">
        <f>项目基本情况!B37</f>
        <v>0</v>
      </c>
      <c r="I64" s="1108">
        <f>SUMIF(修正!A45:A56,H64,修正!H45:H56)</f>
        <v>0</v>
      </c>
      <c r="J64" s="1112"/>
      <c r="K64" s="1145"/>
      <c r="L64" s="941"/>
      <c r="M64" s="941"/>
      <c r="N64" s="941"/>
      <c r="O64" s="941"/>
    </row>
    <row r="65" spans="1:17" s="692" customFormat="1" ht="15" thickBot="1">
      <c r="A65" s="693" t="s">
        <v>2773</v>
      </c>
      <c r="B65" s="262">
        <f t="shared" si="17"/>
        <v>0</v>
      </c>
      <c r="C65" s="200">
        <f t="shared" si="16"/>
        <v>0</v>
      </c>
      <c r="D65" s="1164">
        <v>0.25</v>
      </c>
      <c r="E65" s="261">
        <f>'数据-汇总表'!E15</f>
        <v>0</v>
      </c>
      <c r="F65" s="1103">
        <f t="shared" si="15"/>
        <v>0</v>
      </c>
      <c r="G65" s="2708"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10771.04</v>
      </c>
      <c r="F66" s="697">
        <f>IF(B46="楼面地价",SUM(F56:F65),ROUND(C48*E66/10000,0))</f>
        <v>1994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09" t="s">
        <v>2775</v>
      </c>
      <c r="B70" s="1359"/>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0" t="s">
        <v>1373</v>
      </c>
      <c r="B71" s="332" t="str">
        <f>"北京市平均增长率"&amp;TEXT(SUMIF(基准地价修正!N21:N25,A71,基准地价修正!P21:P25),"0.00%")</f>
        <v>北京市平均增长率1.44%</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2578</v>
      </c>
      <c r="B72" s="516"/>
      <c r="C72" s="517">
        <v>0.5</v>
      </c>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2986" t="s">
        <v>3244</v>
      </c>
      <c r="D75" s="530" t="str">
        <f>土地案例!H6</f>
        <v>其他商服用地</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1（含）-1.5</v>
      </c>
      <c r="D79" s="547" t="str">
        <f t="shared" ref="D79:L79" si="21">D80&amp;"（含）"&amp;"-"&amp;E80</f>
        <v>1.5（含）-2</v>
      </c>
      <c r="E79" s="547" t="str">
        <f t="shared" si="21"/>
        <v>2（含）-2.5</v>
      </c>
      <c r="F79" s="547" t="str">
        <f t="shared" si="21"/>
        <v>2.5（含）-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1</v>
      </c>
      <c r="D80" s="549">
        <v>1.5</v>
      </c>
      <c r="E80" s="549">
        <v>2</v>
      </c>
      <c r="F80" s="549">
        <v>2.5</v>
      </c>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2777</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2778</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2783</v>
      </c>
      <c r="C116" s="529" t="str">
        <f>C117&amp;"(含)"&amp;"-"&amp;D117</f>
        <v>0(含)-100000</v>
      </c>
      <c r="D116" s="529" t="str">
        <f t="shared" ref="D116:M116" si="26">D117&amp;"(含)"&amp;"-"&amp;E117</f>
        <v>100000(含)-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v>
      </c>
      <c r="E117" s="595"/>
      <c r="F117" s="595"/>
      <c r="G117" s="595"/>
      <c r="H117" s="595"/>
      <c r="I117" s="595"/>
      <c r="J117" s="596"/>
      <c r="K117" s="596"/>
      <c r="L117" s="597"/>
      <c r="M117" s="598"/>
      <c r="N117" s="1152"/>
      <c r="O117" s="1152"/>
      <c r="P117" s="45"/>
      <c r="Q117" s="504"/>
    </row>
    <row r="118" spans="1:17" ht="15.75" thickBot="1">
      <c r="A118" s="534"/>
      <c r="B118" s="543"/>
      <c r="C118" s="570">
        <v>100</v>
      </c>
      <c r="D118" s="591">
        <v>100.5</v>
      </c>
      <c r="E118" s="591"/>
      <c r="F118" s="591"/>
      <c r="G118" s="591"/>
      <c r="H118" s="591"/>
      <c r="I118" s="591"/>
      <c r="J118" s="591"/>
      <c r="K118" s="591"/>
      <c r="L118" s="591"/>
      <c r="M118" s="592"/>
      <c r="N118" s="1153"/>
      <c r="O118" s="1153"/>
      <c r="P118" s="45"/>
      <c r="Q118" s="504"/>
    </row>
    <row r="119" spans="1:17" ht="15" thickTop="1">
      <c r="A119" s="599"/>
      <c r="B119" s="538" t="s">
        <v>2784</v>
      </c>
      <c r="C119" s="2993" t="s">
        <v>3251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2785</v>
      </c>
      <c r="C121" s="2994" t="s">
        <v>3379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2786</v>
      </c>
      <c r="C123" s="2994" t="s">
        <v>3253</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2787</v>
      </c>
      <c r="C125" s="2994" t="s">
        <v>3255</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295" t="s">
        <v>2639</v>
      </c>
      <c r="D4" s="3296"/>
      <c r="E4" s="3297" t="s">
        <v>2640</v>
      </c>
      <c r="F4" s="3298"/>
      <c r="G4" s="3295" t="s">
        <v>2641</v>
      </c>
      <c r="H4" s="3296"/>
      <c r="I4" s="3295" t="s">
        <v>2642</v>
      </c>
      <c r="J4" s="3296"/>
      <c r="K4" s="610" t="s">
        <v>2643</v>
      </c>
      <c r="L4" s="1130"/>
      <c r="M4" s="1131"/>
      <c r="N4" s="1131"/>
      <c r="O4" s="1131"/>
      <c r="P4" s="3299" t="s">
        <v>2644</v>
      </c>
      <c r="Q4" s="3300"/>
      <c r="R4" s="3282" t="s">
        <v>2640</v>
      </c>
      <c r="S4" s="3283"/>
      <c r="T4" s="3282" t="s">
        <v>2641</v>
      </c>
      <c r="U4" s="3283"/>
      <c r="V4" s="3307" t="s">
        <v>2642</v>
      </c>
      <c r="W4" s="3307"/>
      <c r="X4" s="1811"/>
      <c r="Y4" s="3282" t="s">
        <v>2644</v>
      </c>
      <c r="Z4" s="3283"/>
      <c r="AA4" s="3277" t="s">
        <v>2640</v>
      </c>
      <c r="AB4" s="3278" t="s">
        <v>2641</v>
      </c>
      <c r="AC4" s="3277" t="s">
        <v>2642</v>
      </c>
    </row>
    <row r="5" spans="1:29" ht="15">
      <c r="A5" s="404"/>
      <c r="B5" s="405"/>
      <c r="C5" s="3288" t="s">
        <v>2535</v>
      </c>
      <c r="D5" s="3289"/>
      <c r="E5" s="3286" t="s">
        <v>2536</v>
      </c>
      <c r="F5" s="3287"/>
      <c r="G5" s="3288" t="s">
        <v>2537</v>
      </c>
      <c r="H5" s="3289"/>
      <c r="I5" s="3288" t="s">
        <v>2538</v>
      </c>
      <c r="J5" s="3289"/>
      <c r="K5" s="610"/>
      <c r="L5" s="1130"/>
      <c r="M5" s="1131"/>
      <c r="N5" s="1131"/>
      <c r="O5" s="1131"/>
      <c r="P5" s="3301"/>
      <c r="Q5" s="3302"/>
      <c r="R5" s="3284"/>
      <c r="S5" s="3285"/>
      <c r="T5" s="3284"/>
      <c r="U5" s="3285"/>
      <c r="V5" s="3307"/>
      <c r="W5" s="3307"/>
      <c r="X5" s="1811"/>
      <c r="Y5" s="3284"/>
      <c r="Z5" s="3285"/>
      <c r="AA5" s="3278"/>
      <c r="AB5" s="3278"/>
      <c r="AC5" s="3278"/>
    </row>
    <row r="6" spans="1:29" ht="15.75" thickBot="1">
      <c r="A6" s="406"/>
      <c r="B6" s="407"/>
      <c r="C6" s="3343" t="s">
        <v>2789</v>
      </c>
      <c r="D6" s="3344"/>
      <c r="E6" s="3345" t="s">
        <v>2789</v>
      </c>
      <c r="F6" s="3346"/>
      <c r="G6" s="3343" t="s">
        <v>2789</v>
      </c>
      <c r="H6" s="3344"/>
      <c r="I6" s="3343" t="s">
        <v>2789</v>
      </c>
      <c r="J6" s="3344"/>
      <c r="K6" s="610" t="s">
        <v>2540</v>
      </c>
      <c r="L6" s="1130"/>
      <c r="M6" s="1131"/>
      <c r="N6" s="1131"/>
      <c r="O6" s="1131"/>
      <c r="P6" s="3303"/>
      <c r="Q6" s="3304"/>
      <c r="R6" s="3284"/>
      <c r="S6" s="3285"/>
      <c r="T6" s="3305"/>
      <c r="U6" s="3306"/>
      <c r="V6" s="3307"/>
      <c r="W6" s="3307"/>
      <c r="X6" s="1811"/>
      <c r="Y6" s="3305"/>
      <c r="Z6" s="3306"/>
      <c r="AA6" s="3279"/>
      <c r="AB6" s="3279"/>
      <c r="AC6" s="3279"/>
    </row>
    <row r="7" spans="1:29" s="117" customFormat="1" ht="15.75" thickBot="1">
      <c r="A7" s="408" t="s">
        <v>2541</v>
      </c>
      <c r="B7" s="409"/>
      <c r="C7" s="410">
        <f>'数据-取费表'!B2</f>
        <v>43671</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80" t="s">
        <v>2542</v>
      </c>
      <c r="Q7" s="3308"/>
      <c r="R7" s="770" t="s">
        <v>17</v>
      </c>
      <c r="S7" s="771">
        <f t="shared" ref="S7:S15" si="0">F7</f>
        <v>0</v>
      </c>
      <c r="T7" s="770" t="s">
        <v>17</v>
      </c>
      <c r="U7" s="771">
        <f t="shared" ref="U7:U15" si="1">H7</f>
        <v>0</v>
      </c>
      <c r="V7" s="770" t="s">
        <v>17</v>
      </c>
      <c r="W7" s="771">
        <f t="shared" ref="W7:W15" si="2">J7</f>
        <v>0</v>
      </c>
      <c r="X7" s="772"/>
      <c r="Y7" s="3280" t="s">
        <v>2542</v>
      </c>
      <c r="Z7" s="328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0" t="s">
        <v>2545</v>
      </c>
      <c r="Q8" s="3281"/>
      <c r="R8" s="770" t="s">
        <v>17</v>
      </c>
      <c r="S8" s="771">
        <f t="shared" si="0"/>
        <v>0</v>
      </c>
      <c r="T8" s="770" t="s">
        <v>17</v>
      </c>
      <c r="U8" s="771">
        <f t="shared" si="1"/>
        <v>0</v>
      </c>
      <c r="V8" s="770" t="s">
        <v>17</v>
      </c>
      <c r="W8" s="771">
        <f t="shared" si="2"/>
        <v>0</v>
      </c>
      <c r="X8" s="772"/>
      <c r="Y8" s="3280" t="s">
        <v>2545</v>
      </c>
      <c r="Z8" s="3281"/>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312" t="s">
        <v>2548</v>
      </c>
      <c r="Q9" s="1793" t="str">
        <f t="shared" ref="Q9:Q15" si="6">B9</f>
        <v>用途</v>
      </c>
      <c r="R9" s="770" t="s">
        <v>17</v>
      </c>
      <c r="S9" s="771">
        <f t="shared" si="0"/>
        <v>100</v>
      </c>
      <c r="T9" s="770" t="s">
        <v>17</v>
      </c>
      <c r="U9" s="771">
        <f t="shared" si="1"/>
        <v>100</v>
      </c>
      <c r="V9" s="770" t="s">
        <v>17</v>
      </c>
      <c r="W9" s="771">
        <f t="shared" si="2"/>
        <v>100</v>
      </c>
      <c r="X9" s="772"/>
      <c r="Y9" s="3115"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312"/>
      <c r="Q10" s="1793" t="str">
        <f t="shared" si="6"/>
        <v>土地使用年限（年）</v>
      </c>
      <c r="R10" s="770" t="s">
        <v>17</v>
      </c>
      <c r="S10" s="771">
        <f t="shared" si="0"/>
        <v>102</v>
      </c>
      <c r="T10" s="770" t="s">
        <v>17</v>
      </c>
      <c r="U10" s="771">
        <f t="shared" si="1"/>
        <v>102</v>
      </c>
      <c r="V10" s="770" t="s">
        <v>17</v>
      </c>
      <c r="W10" s="771">
        <f t="shared" si="2"/>
        <v>102</v>
      </c>
      <c r="X10" s="772"/>
      <c r="Y10" s="3115"/>
      <c r="Z10" s="55" t="str">
        <f t="shared" si="7"/>
        <v>土地使用年限（年）</v>
      </c>
      <c r="AA10" s="773">
        <f t="shared" si="3"/>
        <v>0.98039215686274506</v>
      </c>
      <c r="AB10" s="773">
        <f t="shared" si="4"/>
        <v>0.98039215686274506</v>
      </c>
      <c r="AC10" s="773">
        <f t="shared" si="5"/>
        <v>0.98039215686274506</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12"/>
      <c r="Q11" s="1793" t="str">
        <f t="shared" si="6"/>
        <v>容积率</v>
      </c>
      <c r="R11" s="770" t="s">
        <v>17</v>
      </c>
      <c r="S11" s="771" t="e">
        <f t="shared" si="0"/>
        <v>#N/A</v>
      </c>
      <c r="T11" s="770" t="s">
        <v>17</v>
      </c>
      <c r="U11" s="771" t="e">
        <f t="shared" si="1"/>
        <v>#N/A</v>
      </c>
      <c r="V11" s="770" t="s">
        <v>17</v>
      </c>
      <c r="W11" s="771" t="e">
        <f t="shared" si="2"/>
        <v>#N/A</v>
      </c>
      <c r="X11" s="772"/>
      <c r="Y11" s="311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12"/>
      <c r="Q12" s="1793">
        <f t="shared" si="6"/>
        <v>111</v>
      </c>
      <c r="R12" s="770" t="s">
        <v>17</v>
      </c>
      <c r="S12" s="771">
        <f t="shared" si="0"/>
        <v>100</v>
      </c>
      <c r="T12" s="770" t="s">
        <v>17</v>
      </c>
      <c r="U12" s="771">
        <f t="shared" si="1"/>
        <v>100</v>
      </c>
      <c r="V12" s="770" t="s">
        <v>17</v>
      </c>
      <c r="W12" s="771">
        <f t="shared" si="2"/>
        <v>100</v>
      </c>
      <c r="X12" s="772"/>
      <c r="Y12" s="311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12"/>
      <c r="Q13" s="1793">
        <f t="shared" si="6"/>
        <v>111</v>
      </c>
      <c r="R13" s="770" t="s">
        <v>17</v>
      </c>
      <c r="S13" s="771">
        <f t="shared" si="0"/>
        <v>100</v>
      </c>
      <c r="T13" s="770" t="s">
        <v>17</v>
      </c>
      <c r="U13" s="771">
        <f t="shared" si="1"/>
        <v>100</v>
      </c>
      <c r="V13" s="770" t="s">
        <v>17</v>
      </c>
      <c r="W13" s="771">
        <f t="shared" si="2"/>
        <v>100</v>
      </c>
      <c r="X13" s="772"/>
      <c r="Y13" s="311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12"/>
      <c r="Q14" s="1793">
        <f t="shared" si="6"/>
        <v>111</v>
      </c>
      <c r="R14" s="770" t="s">
        <v>17</v>
      </c>
      <c r="S14" s="771">
        <f t="shared" si="0"/>
        <v>100</v>
      </c>
      <c r="T14" s="770" t="s">
        <v>17</v>
      </c>
      <c r="U14" s="771">
        <f t="shared" si="1"/>
        <v>100</v>
      </c>
      <c r="V14" s="770" t="s">
        <v>17</v>
      </c>
      <c r="W14" s="771">
        <f t="shared" si="2"/>
        <v>100</v>
      </c>
      <c r="X14" s="772"/>
      <c r="Y14" s="3115"/>
      <c r="Z14" s="55">
        <f t="shared" si="7"/>
        <v>111</v>
      </c>
      <c r="AA14" s="773">
        <f t="shared" si="3"/>
        <v>1</v>
      </c>
      <c r="AB14" s="773">
        <f t="shared" si="4"/>
        <v>1</v>
      </c>
      <c r="AC14" s="773">
        <f t="shared" si="5"/>
        <v>1</v>
      </c>
    </row>
    <row r="15" spans="1:29" ht="57">
      <c r="A15" s="440" t="s">
        <v>2552</v>
      </c>
      <c r="B15" s="629" t="s">
        <v>2790</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14" t="s">
        <v>2553</v>
      </c>
      <c r="Q15" s="1808" t="str">
        <f t="shared" si="6"/>
        <v>产业集聚程度</v>
      </c>
      <c r="R15" s="774" t="s">
        <v>17</v>
      </c>
      <c r="S15" s="775">
        <f t="shared" si="0"/>
        <v>100</v>
      </c>
      <c r="T15" s="774" t="s">
        <v>17</v>
      </c>
      <c r="U15" s="775">
        <f t="shared" si="1"/>
        <v>100</v>
      </c>
      <c r="V15" s="774" t="s">
        <v>17</v>
      </c>
      <c r="W15" s="775">
        <f t="shared" si="2"/>
        <v>100</v>
      </c>
      <c r="X15" s="1811"/>
      <c r="Y15" s="3314" t="s">
        <v>2553</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40"/>
      <c r="M16" s="1131"/>
      <c r="N16" s="1131"/>
      <c r="O16" s="1139"/>
      <c r="P16" s="3315"/>
      <c r="Q16" s="1808"/>
      <c r="R16" s="774"/>
      <c r="S16" s="775"/>
      <c r="T16" s="774"/>
      <c r="U16" s="775"/>
      <c r="V16" s="774"/>
      <c r="W16" s="775"/>
      <c r="X16" s="1811"/>
      <c r="Y16" s="3315"/>
      <c r="Z16" s="1812"/>
      <c r="AA16" s="1809">
        <v>1</v>
      </c>
      <c r="AB16" s="1809">
        <v>1</v>
      </c>
      <c r="AC16" s="1809">
        <v>1</v>
      </c>
    </row>
    <row r="17" spans="1:29" ht="85.5">
      <c r="A17" s="428"/>
      <c r="B17" s="631" t="s">
        <v>2702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15"/>
      <c r="Q17" s="1808" t="str">
        <f>B17</f>
        <v>交通便捷度</v>
      </c>
      <c r="R17" s="774" t="s">
        <v>17</v>
      </c>
      <c r="S17" s="775">
        <f>F17</f>
        <v>100</v>
      </c>
      <c r="T17" s="774" t="s">
        <v>17</v>
      </c>
      <c r="U17" s="775">
        <f>H17</f>
        <v>100</v>
      </c>
      <c r="V17" s="774" t="s">
        <v>17</v>
      </c>
      <c r="W17" s="775">
        <f>J17</f>
        <v>100</v>
      </c>
      <c r="X17" s="1811"/>
      <c r="Y17" s="3315"/>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40"/>
      <c r="M18" s="1131"/>
      <c r="N18" s="1131"/>
      <c r="O18" s="1139"/>
      <c r="P18" s="3315"/>
      <c r="Q18" s="1808"/>
      <c r="R18" s="774"/>
      <c r="S18" s="775"/>
      <c r="T18" s="774"/>
      <c r="U18" s="775"/>
      <c r="V18" s="774"/>
      <c r="W18" s="775"/>
      <c r="X18" s="1811"/>
      <c r="Y18" s="3315"/>
      <c r="Z18" s="1812"/>
      <c r="AA18" s="1809">
        <v>1</v>
      </c>
      <c r="AB18" s="1809">
        <v>1</v>
      </c>
      <c r="AC18" s="1809">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15"/>
      <c r="Q19" s="1808" t="str">
        <f t="shared" ref="Q19:Q33" si="8">B19</f>
        <v>区域土地利用方向</v>
      </c>
      <c r="R19" s="774" t="s">
        <v>17</v>
      </c>
      <c r="S19" s="775">
        <f>F19</f>
        <v>100</v>
      </c>
      <c r="T19" s="774" t="s">
        <v>17</v>
      </c>
      <c r="U19" s="775">
        <f>H19</f>
        <v>100</v>
      </c>
      <c r="V19" s="774" t="s">
        <v>17</v>
      </c>
      <c r="W19" s="775">
        <f>J19</f>
        <v>100</v>
      </c>
      <c r="X19" s="1811"/>
      <c r="Y19" s="3315"/>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12"/>
      <c r="L20" s="1140"/>
      <c r="M20" s="1131"/>
      <c r="N20" s="1131"/>
      <c r="O20" s="1139"/>
      <c r="P20" s="3315"/>
      <c r="Q20" s="1808"/>
      <c r="R20" s="774"/>
      <c r="S20" s="775"/>
      <c r="T20" s="774"/>
      <c r="U20" s="775"/>
      <c r="V20" s="774"/>
      <c r="W20" s="775"/>
      <c r="X20" s="1811"/>
      <c r="Y20" s="3315"/>
      <c r="Z20" s="1812"/>
      <c r="AA20" s="1809"/>
      <c r="AB20" s="1809"/>
      <c r="AC20" s="1809"/>
    </row>
    <row r="21" spans="1:29" ht="71.25">
      <c r="A21" s="404"/>
      <c r="B21" s="631" t="s">
        <v>2791</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15"/>
      <c r="Q21" s="1808" t="str">
        <f t="shared" si="8"/>
        <v>环境状况</v>
      </c>
      <c r="R21" s="774" t="s">
        <v>17</v>
      </c>
      <c r="S21" s="775">
        <f>F21</f>
        <v>100</v>
      </c>
      <c r="T21" s="774" t="s">
        <v>17</v>
      </c>
      <c r="U21" s="775">
        <f>H21</f>
        <v>100</v>
      </c>
      <c r="V21" s="774" t="s">
        <v>17</v>
      </c>
      <c r="W21" s="775">
        <f>J21</f>
        <v>100</v>
      </c>
      <c r="X21" s="1811"/>
      <c r="Y21" s="3315"/>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40"/>
      <c r="M22" s="1131"/>
      <c r="N22" s="1131"/>
      <c r="O22" s="1139"/>
      <c r="P22" s="3315"/>
      <c r="Q22" s="1808"/>
      <c r="R22" s="774"/>
      <c r="S22" s="775"/>
      <c r="T22" s="774"/>
      <c r="U22" s="775"/>
      <c r="V22" s="774"/>
      <c r="W22" s="775"/>
      <c r="X22" s="1811"/>
      <c r="Y22" s="3315"/>
      <c r="Z22" s="1812"/>
      <c r="AA22" s="1809">
        <v>1</v>
      </c>
      <c r="AB22" s="1809">
        <v>1</v>
      </c>
      <c r="AC22" s="1809">
        <v>1</v>
      </c>
    </row>
    <row r="23" spans="1:29" s="117" customFormat="1" ht="42.75">
      <c r="A23" s="649"/>
      <c r="B23" s="633" t="s">
        <v>2647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15"/>
      <c r="Q23" s="1793" t="str">
        <f t="shared" si="8"/>
        <v>公共配套设施</v>
      </c>
      <c r="R23" s="770" t="s">
        <v>17</v>
      </c>
      <c r="S23" s="771">
        <f>F23</f>
        <v>100</v>
      </c>
      <c r="T23" s="770" t="s">
        <v>17</v>
      </c>
      <c r="U23" s="771">
        <f>H23</f>
        <v>100</v>
      </c>
      <c r="V23" s="770" t="s">
        <v>17</v>
      </c>
      <c r="W23" s="771">
        <f>J23</f>
        <v>100</v>
      </c>
      <c r="X23" s="772"/>
      <c r="Y23" s="3315"/>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2"/>
      <c r="M24" s="1133"/>
      <c r="N24" s="1133"/>
      <c r="O24" s="1134"/>
      <c r="P24" s="3315"/>
      <c r="Q24" s="1793"/>
      <c r="R24" s="770"/>
      <c r="S24" s="771"/>
      <c r="T24" s="770"/>
      <c r="U24" s="771"/>
      <c r="V24" s="770"/>
      <c r="W24" s="771"/>
      <c r="X24" s="772"/>
      <c r="Y24" s="3315"/>
      <c r="Z24" s="55"/>
      <c r="AA24" s="773">
        <v>1</v>
      </c>
      <c r="AB24" s="773">
        <v>1</v>
      </c>
      <c r="AC24" s="773">
        <v>1</v>
      </c>
    </row>
    <row r="25" spans="1:29" s="117" customFormat="1" ht="28.5">
      <c r="A25" s="649"/>
      <c r="B25" s="633" t="s">
        <v>2648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15"/>
      <c r="Q25" s="1793" t="str">
        <f t="shared" ref="Q25" si="9">B25</f>
        <v>基础设施水平</v>
      </c>
      <c r="R25" s="770" t="s">
        <v>17</v>
      </c>
      <c r="S25" s="771">
        <f>F25</f>
        <v>100</v>
      </c>
      <c r="T25" s="770" t="s">
        <v>17</v>
      </c>
      <c r="U25" s="771">
        <f>H25</f>
        <v>100</v>
      </c>
      <c r="V25" s="770" t="s">
        <v>17</v>
      </c>
      <c r="W25" s="771">
        <f>J25</f>
        <v>100</v>
      </c>
      <c r="X25" s="772"/>
      <c r="Y25" s="3315"/>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2"/>
      <c r="M26" s="1133"/>
      <c r="N26" s="1133"/>
      <c r="O26" s="1134"/>
      <c r="P26" s="3315"/>
      <c r="Q26" s="1793"/>
      <c r="R26" s="770"/>
      <c r="S26" s="771"/>
      <c r="T26" s="770"/>
      <c r="U26" s="771"/>
      <c r="V26" s="770"/>
      <c r="W26" s="771"/>
      <c r="X26" s="772"/>
      <c r="Y26" s="3315"/>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15"/>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15"/>
      <c r="Z27" s="1812" t="str">
        <f t="shared" ref="Z27:Z40" si="13">Q27</f>
        <v>临街状况</v>
      </c>
      <c r="AA27" s="1809">
        <f t="shared" si="3"/>
        <v>1</v>
      </c>
      <c r="AB27" s="1809">
        <f t="shared" si="4"/>
        <v>1</v>
      </c>
      <c r="AC27" s="1809">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15"/>
      <c r="Q28" s="1808" t="str">
        <f t="shared" si="8"/>
        <v>毗邻道路的类型与等级</v>
      </c>
      <c r="R28" s="774" t="s">
        <v>17</v>
      </c>
      <c r="S28" s="775">
        <f t="shared" si="10"/>
        <v>100</v>
      </c>
      <c r="T28" s="774" t="s">
        <v>17</v>
      </c>
      <c r="U28" s="775">
        <f t="shared" si="11"/>
        <v>100</v>
      </c>
      <c r="V28" s="774" t="s">
        <v>17</v>
      </c>
      <c r="W28" s="775">
        <f t="shared" si="12"/>
        <v>100</v>
      </c>
      <c r="X28" s="1811"/>
      <c r="Y28" s="3315"/>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40"/>
      <c r="M29" s="1131"/>
      <c r="N29" s="1131"/>
      <c r="O29" s="1139"/>
      <c r="P29" s="3315"/>
      <c r="Q29" s="1808"/>
      <c r="R29" s="774"/>
      <c r="S29" s="775"/>
      <c r="T29" s="774"/>
      <c r="U29" s="775"/>
      <c r="V29" s="774"/>
      <c r="W29" s="775"/>
      <c r="X29" s="1811"/>
      <c r="Y29" s="3315"/>
      <c r="Z29" s="1812"/>
      <c r="AA29" s="1809">
        <v>1</v>
      </c>
      <c r="AB29" s="1809">
        <v>1</v>
      </c>
      <c r="AC29" s="1809">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15"/>
      <c r="Q30" s="1808" t="str">
        <f t="shared" si="8"/>
        <v>土地级别</v>
      </c>
      <c r="R30" s="774" t="s">
        <v>17</v>
      </c>
      <c r="S30" s="775">
        <f t="shared" si="10"/>
        <v>100</v>
      </c>
      <c r="T30" s="774" t="s">
        <v>17</v>
      </c>
      <c r="U30" s="775">
        <f t="shared" si="11"/>
        <v>100</v>
      </c>
      <c r="V30" s="774" t="s">
        <v>17</v>
      </c>
      <c r="W30" s="775">
        <f t="shared" si="12"/>
        <v>100</v>
      </c>
      <c r="X30" s="1811"/>
      <c r="Y30" s="3315"/>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15"/>
      <c r="Q31" s="1808">
        <f t="shared" si="8"/>
        <v>111</v>
      </c>
      <c r="R31" s="774" t="s">
        <v>17</v>
      </c>
      <c r="S31" s="775">
        <f t="shared" si="10"/>
        <v>100</v>
      </c>
      <c r="T31" s="774" t="s">
        <v>17</v>
      </c>
      <c r="U31" s="775">
        <f t="shared" si="11"/>
        <v>100</v>
      </c>
      <c r="V31" s="774" t="s">
        <v>17</v>
      </c>
      <c r="W31" s="775">
        <f t="shared" si="12"/>
        <v>100</v>
      </c>
      <c r="X31" s="1811"/>
      <c r="Y31" s="3315"/>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38" t="s">
        <v>2558</v>
      </c>
      <c r="Q32" s="1808">
        <f t="shared" si="8"/>
        <v>111</v>
      </c>
      <c r="R32" s="774" t="s">
        <v>17</v>
      </c>
      <c r="S32" s="775">
        <f t="shared" si="10"/>
        <v>100</v>
      </c>
      <c r="T32" s="774" t="s">
        <v>17</v>
      </c>
      <c r="U32" s="775">
        <f t="shared" si="11"/>
        <v>100</v>
      </c>
      <c r="V32" s="774" t="s">
        <v>17</v>
      </c>
      <c r="W32" s="775">
        <f t="shared" si="12"/>
        <v>100</v>
      </c>
      <c r="X32" s="1811"/>
      <c r="Y32" s="3319" t="s">
        <v>2558</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19"/>
      <c r="Q33" s="1808">
        <f t="shared" si="8"/>
        <v>111</v>
      </c>
      <c r="R33" s="777" t="s">
        <v>17</v>
      </c>
      <c r="S33" s="778">
        <f t="shared" si="10"/>
        <v>100</v>
      </c>
      <c r="T33" s="777" t="s">
        <v>17</v>
      </c>
      <c r="U33" s="778">
        <f t="shared" si="11"/>
        <v>100</v>
      </c>
      <c r="V33" s="777" t="s">
        <v>17</v>
      </c>
      <c r="W33" s="778">
        <f t="shared" si="12"/>
        <v>100</v>
      </c>
      <c r="X33" s="779"/>
      <c r="Y33" s="3319"/>
      <c r="Z33" s="780">
        <f t="shared" si="13"/>
        <v>111</v>
      </c>
      <c r="AA33" s="1809">
        <f t="shared" si="3"/>
        <v>1</v>
      </c>
      <c r="AB33" s="1809">
        <f t="shared" si="4"/>
        <v>1</v>
      </c>
      <c r="AC33" s="1809">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19"/>
      <c r="Q34" s="1808" t="str">
        <f>B34</f>
        <v>宗地面积</v>
      </c>
      <c r="R34" s="774" t="s">
        <v>17</v>
      </c>
      <c r="S34" s="775" t="e">
        <f t="shared" si="10"/>
        <v>#N/A</v>
      </c>
      <c r="T34" s="774" t="s">
        <v>17</v>
      </c>
      <c r="U34" s="775" t="e">
        <f t="shared" si="11"/>
        <v>#N/A</v>
      </c>
      <c r="V34" s="774" t="s">
        <v>17</v>
      </c>
      <c r="W34" s="775" t="e">
        <f t="shared" si="12"/>
        <v>#N/A</v>
      </c>
      <c r="X34" s="1811"/>
      <c r="Y34" s="3319"/>
      <c r="Z34" s="1812" t="str">
        <f t="shared" si="13"/>
        <v>宗地面积</v>
      </c>
      <c r="AA34" s="1809" t="e">
        <f t="shared" si="3"/>
        <v>#N/A</v>
      </c>
      <c r="AB34" s="1809" t="e">
        <f t="shared" si="4"/>
        <v>#N/A</v>
      </c>
      <c r="AC34" s="1809"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319"/>
      <c r="Q35" s="1808" t="str">
        <f t="shared" ref="Q35:Q40" si="14">B35</f>
        <v>宗地形状</v>
      </c>
      <c r="R35" s="774" t="s">
        <v>17</v>
      </c>
      <c r="S35" s="775">
        <f t="shared" si="10"/>
        <v>100</v>
      </c>
      <c r="T35" s="774" t="s">
        <v>17</v>
      </c>
      <c r="U35" s="775">
        <f t="shared" si="11"/>
        <v>100</v>
      </c>
      <c r="V35" s="774" t="s">
        <v>17</v>
      </c>
      <c r="W35" s="775">
        <f t="shared" si="12"/>
        <v>100</v>
      </c>
      <c r="X35" s="1811"/>
      <c r="Y35" s="3319"/>
      <c r="Z35" s="1812" t="str">
        <f t="shared" si="13"/>
        <v>宗地形状</v>
      </c>
      <c r="AA35" s="1809">
        <f t="shared" si="3"/>
        <v>1</v>
      </c>
      <c r="AB35" s="1809">
        <f t="shared" si="4"/>
        <v>1</v>
      </c>
      <c r="AC35" s="1809">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319"/>
      <c r="Q36" s="1808" t="str">
        <f t="shared" si="14"/>
        <v>宗地开发程度</v>
      </c>
      <c r="R36" s="770" t="s">
        <v>17</v>
      </c>
      <c r="S36" s="771">
        <f t="shared" si="10"/>
        <v>100</v>
      </c>
      <c r="T36" s="770" t="s">
        <v>17</v>
      </c>
      <c r="U36" s="771">
        <f t="shared" si="11"/>
        <v>100</v>
      </c>
      <c r="V36" s="770" t="s">
        <v>17</v>
      </c>
      <c r="W36" s="771">
        <f t="shared" si="12"/>
        <v>100</v>
      </c>
      <c r="X36" s="772"/>
      <c r="Y36" s="3319"/>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319" t="s">
        <v>2558</v>
      </c>
      <c r="Q37" s="1808" t="str">
        <f t="shared" si="14"/>
        <v>工程地质条件</v>
      </c>
      <c r="R37" s="774" t="s">
        <v>17</v>
      </c>
      <c r="S37" s="775">
        <f t="shared" si="10"/>
        <v>100</v>
      </c>
      <c r="T37" s="774" t="s">
        <v>17</v>
      </c>
      <c r="U37" s="775">
        <f t="shared" si="11"/>
        <v>100</v>
      </c>
      <c r="V37" s="774" t="s">
        <v>17</v>
      </c>
      <c r="W37" s="775">
        <f t="shared" si="12"/>
        <v>100</v>
      </c>
      <c r="X37" s="1811"/>
      <c r="Y37" s="3319" t="s">
        <v>2558</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19"/>
      <c r="Q38" s="1808">
        <f t="shared" si="14"/>
        <v>111</v>
      </c>
      <c r="R38" s="774" t="s">
        <v>17</v>
      </c>
      <c r="S38" s="775">
        <f t="shared" si="10"/>
        <v>100</v>
      </c>
      <c r="T38" s="774" t="s">
        <v>17</v>
      </c>
      <c r="U38" s="775">
        <f t="shared" si="11"/>
        <v>100</v>
      </c>
      <c r="V38" s="774" t="s">
        <v>17</v>
      </c>
      <c r="W38" s="775">
        <f t="shared" si="12"/>
        <v>100</v>
      </c>
      <c r="X38" s="1811"/>
      <c r="Y38" s="3319"/>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19"/>
      <c r="Q39" s="1808">
        <f t="shared" si="14"/>
        <v>111</v>
      </c>
      <c r="R39" s="774" t="s">
        <v>17</v>
      </c>
      <c r="S39" s="775">
        <f t="shared" si="10"/>
        <v>100</v>
      </c>
      <c r="T39" s="774" t="s">
        <v>17</v>
      </c>
      <c r="U39" s="775">
        <f t="shared" si="11"/>
        <v>100</v>
      </c>
      <c r="V39" s="774" t="s">
        <v>17</v>
      </c>
      <c r="W39" s="775">
        <f t="shared" si="12"/>
        <v>100</v>
      </c>
      <c r="X39" s="1811"/>
      <c r="Y39" s="3319"/>
      <c r="Z39" s="1812">
        <f t="shared" si="13"/>
        <v>111</v>
      </c>
      <c r="AA39" s="1809">
        <f t="shared" si="3"/>
        <v>1</v>
      </c>
      <c r="AB39" s="1809">
        <f t="shared" si="4"/>
        <v>1</v>
      </c>
      <c r="AC39" s="1809">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19"/>
      <c r="Q40" s="1808">
        <f t="shared" si="14"/>
        <v>111</v>
      </c>
      <c r="R40" s="777" t="s">
        <v>17</v>
      </c>
      <c r="S40" s="778">
        <f t="shared" si="10"/>
        <v>100</v>
      </c>
      <c r="T40" s="777" t="s">
        <v>17</v>
      </c>
      <c r="U40" s="778">
        <f t="shared" si="11"/>
        <v>100</v>
      </c>
      <c r="V40" s="777" t="s">
        <v>17</v>
      </c>
      <c r="W40" s="778">
        <f t="shared" si="12"/>
        <v>100</v>
      </c>
      <c r="X40" s="779"/>
      <c r="Y40" s="3319"/>
      <c r="Z40" s="780">
        <f t="shared" si="13"/>
        <v>111</v>
      </c>
      <c r="AA40" s="1809">
        <f t="shared" si="3"/>
        <v>1</v>
      </c>
      <c r="AB40" s="1809">
        <f t="shared" si="4"/>
        <v>1</v>
      </c>
      <c r="AC40" s="1809">
        <f t="shared" si="5"/>
        <v>1</v>
      </c>
    </row>
    <row r="41" spans="1:29" ht="15">
      <c r="A41" s="479" t="s">
        <v>2713</v>
      </c>
      <c r="B41" s="2702" t="s">
        <v>2792</v>
      </c>
      <c r="C41" s="682" t="s">
        <v>1</v>
      </c>
      <c r="D41" s="481"/>
      <c r="E41" s="482"/>
      <c r="F41" s="483"/>
      <c r="G41" s="484"/>
      <c r="H41" s="485"/>
      <c r="I41" s="482"/>
      <c r="J41" s="485"/>
      <c r="K41" s="783"/>
      <c r="L41" s="1143"/>
      <c r="M41" s="1131"/>
      <c r="N41" s="1131"/>
      <c r="O41" s="1144"/>
      <c r="P41" s="3312" t="str">
        <f>A41</f>
        <v>成交单价</v>
      </c>
      <c r="Q41" s="3312"/>
      <c r="R41" s="3307">
        <f>E41</f>
        <v>0</v>
      </c>
      <c r="S41" s="3307"/>
      <c r="T41" s="3307">
        <f>G41</f>
        <v>0</v>
      </c>
      <c r="U41" s="3307"/>
      <c r="V41" s="3307">
        <f>I41</f>
        <v>0</v>
      </c>
      <c r="W41" s="3307"/>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312" t="str">
        <f>A42</f>
        <v>比较价值（元/平方米）</v>
      </c>
      <c r="Q42" s="3312"/>
      <c r="R42" s="3339" t="e">
        <f>ROUND(PRODUCT(R41,AA7:AA40),0)</f>
        <v>#DIV/0!</v>
      </c>
      <c r="S42" s="3339"/>
      <c r="T42" s="3339" t="e">
        <f>ROUND(PRODUCT(T41,AB7:AB40),0)</f>
        <v>#DIV/0!</v>
      </c>
      <c r="U42" s="3339"/>
      <c r="V42" s="3339" t="e">
        <f>ROUND(PRODUCT(V41,AC7:AC40),0)</f>
        <v>#DIV/0!</v>
      </c>
      <c r="W42" s="3339"/>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309" t="str">
        <f>A43</f>
        <v>估价对象XX用房的比较价值（楼面单价，元/平方米）</v>
      </c>
      <c r="Q43" s="3310"/>
      <c r="R43" s="3340" t="e">
        <f>ROUND(AVERAGE(R42:V42),0)</f>
        <v>#DIV/0!</v>
      </c>
      <c r="S43" s="3340"/>
      <c r="T43" s="3340"/>
      <c r="U43" s="3340"/>
      <c r="V43" s="3340"/>
      <c r="W43" s="33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3" t="s">
        <v>2753</v>
      </c>
      <c r="D50" s="2704" t="s">
        <v>2754</v>
      </c>
      <c r="E50" s="686" t="s">
        <v>2755</v>
      </c>
      <c r="F50" s="687" t="s">
        <v>2756</v>
      </c>
      <c r="G50" s="3295" t="s">
        <v>2757</v>
      </c>
      <c r="H50" s="3341"/>
      <c r="I50" s="1812" t="s">
        <v>2793</v>
      </c>
      <c r="J50" s="1812" t="str">
        <f>项目基本情况!F35</f>
        <v>贵州省遵义市</v>
      </c>
      <c r="K50" s="2706" t="s">
        <v>2759</v>
      </c>
      <c r="L50" s="1106"/>
      <c r="M50" s="1144"/>
      <c r="N50" s="1144"/>
      <c r="O50" s="1144"/>
    </row>
    <row r="51" spans="1:17" s="692" customFormat="1">
      <c r="A51" s="688" t="s">
        <v>2760</v>
      </c>
      <c r="B51" s="689" t="e">
        <f>C43</f>
        <v>#DIV/0!</v>
      </c>
      <c r="C51" s="690">
        <v>1</v>
      </c>
      <c r="D51" s="1163">
        <v>1</v>
      </c>
      <c r="E51" s="690">
        <f>'数据-汇总表'!E8+'数据-汇总表'!E9</f>
        <v>10771.04</v>
      </c>
      <c r="F51" s="691" t="e">
        <f t="shared" ref="F51:F60" si="15">ROUND(B51*E51/10000,0)</f>
        <v>#DIV/0!</v>
      </c>
      <c r="G51" s="3294"/>
      <c r="H51" s="3312"/>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342"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342"/>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342"/>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342"/>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7"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7"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08"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09" t="s">
        <v>2775</v>
      </c>
      <c r="B65" s="1359"/>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4" t="s">
        <v>2794</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2796</v>
      </c>
      <c r="B1" s="241"/>
      <c r="C1" s="245" t="s">
        <v>2797</v>
      </c>
      <c r="D1" s="388">
        <f>SUM(D29:D30,D33:D39)</f>
        <v>0</v>
      </c>
      <c r="E1" s="2715"/>
      <c r="F1" s="2715"/>
      <c r="G1" s="2715"/>
      <c r="H1" s="2715"/>
      <c r="I1" s="2715"/>
      <c r="J1" s="2715"/>
      <c r="K1" s="1370"/>
      <c r="L1" s="2716" t="s">
        <v>2798</v>
      </c>
      <c r="M1" s="1080">
        <f>SUMPRODUCT((区片价!B5:B9=I2)*(区片价!C3:F3=E2)*(区片价!C5:F9))</f>
        <v>0</v>
      </c>
      <c r="N1" s="1083">
        <f>SUMPRODUCT((因素修正幅度!B5:B9=I2)*(因素修正幅度!C3:F3=E2)*(因素修正幅度!C5:F9))</f>
        <v>0</v>
      </c>
      <c r="O1" s="2717"/>
      <c r="P1" s="2717"/>
      <c r="Q1" s="1370"/>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5" t="s">
        <v>2804</v>
      </c>
      <c r="B2" s="248" t="e">
        <f>C26</f>
        <v>#DIV/0!</v>
      </c>
      <c r="C2" s="2719" t="s">
        <v>2805</v>
      </c>
      <c r="D2" s="2720" t="s">
        <v>2806</v>
      </c>
      <c r="E2" s="2721"/>
      <c r="F2" s="2720" t="s">
        <v>2807</v>
      </c>
      <c r="G2" s="2722">
        <f>IF(E2="商业",项目基本情况!B37,IF(E2="办公",项目基本情况!C37,IF(E2="住宅",项目基本情况!D37,项目基本情况!E37)))</f>
        <v>0</v>
      </c>
      <c r="H2" s="2720" t="s">
        <v>2808</v>
      </c>
      <c r="I2" s="2722">
        <f>IF(E2="商业",项目基本情况!B38,IF(E2="办公",项目基本情况!C38,IF(E2="住宅",项目基本情况!D38,项目基本情况!E38)))</f>
        <v>0</v>
      </c>
      <c r="J2" s="2723"/>
      <c r="K2" s="1370"/>
      <c r="L2" s="2724" t="s">
        <v>2809</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2810</v>
      </c>
      <c r="B3" s="248" t="e">
        <f>ROUND(B2*10000/D1,0)</f>
        <v>#DIV/0!</v>
      </c>
      <c r="C3" s="2719" t="s">
        <v>2811</v>
      </c>
      <c r="D3" s="2720" t="s">
        <v>2812</v>
      </c>
      <c r="E3" s="2725"/>
      <c r="F3" s="2726" t="s">
        <v>2813</v>
      </c>
      <c r="G3" s="916" t="e">
        <f>IF(F3="宗地容积率",'数据-汇总表'!I4,IF(F3="估价对象容积率",'数据-汇总表'!I6,'数据-汇总表'!I7))</f>
        <v>#DIV/0!</v>
      </c>
      <c r="H3" s="198" t="s">
        <v>2814</v>
      </c>
      <c r="I3" s="944"/>
      <c r="J3" s="2723" t="s">
        <v>2815</v>
      </c>
      <c r="K3" s="1370"/>
      <c r="L3" s="2724" t="s">
        <v>2816</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63"/>
      <c r="B4" s="3364"/>
      <c r="C4" s="3364"/>
      <c r="D4" s="3365"/>
      <c r="E4" s="3365"/>
      <c r="F4" s="3365"/>
      <c r="G4" s="3365"/>
      <c r="H4" s="3365"/>
      <c r="I4" s="3365"/>
      <c r="J4" s="3366"/>
      <c r="K4" s="1370"/>
      <c r="L4" s="2724" t="s">
        <v>2817</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2818</v>
      </c>
      <c r="C5" s="917" t="e">
        <f>ROUND(IF(E2="商业",C6*C7+C16,(IF(E2="住宅",C6*C12+C16,C6+C16))),0)</f>
        <v>#DIV/0!</v>
      </c>
      <c r="D5" s="1785" t="e">
        <f>ROUND(C6+C16,0)</f>
        <v>#DIV/0!</v>
      </c>
      <c r="E5" s="1785"/>
      <c r="F5" s="2729"/>
      <c r="G5" s="2730"/>
      <c r="H5" s="2730"/>
      <c r="I5" s="2730"/>
      <c r="J5" s="2731"/>
      <c r="K5" s="2732"/>
      <c r="L5" s="2724" t="s">
        <v>2819</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2820</v>
      </c>
      <c r="B6" s="2738" t="s">
        <v>2821</v>
      </c>
      <c r="C6" s="918">
        <f>SUMIF(L1:L12,G2,M1:M12)</f>
        <v>0</v>
      </c>
      <c r="D6" s="2739" t="s">
        <v>2822</v>
      </c>
      <c r="E6" s="2740"/>
      <c r="F6" s="2740"/>
      <c r="G6" s="2741"/>
      <c r="H6" s="2741"/>
      <c r="I6" s="2741"/>
      <c r="J6" s="2742"/>
      <c r="K6" s="1840"/>
      <c r="L6" s="2724" t="s">
        <v>2823</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347" t="str">
        <f>IF(E2="商业",IF(C8="不临58条商业街","",2),"")</f>
        <v/>
      </c>
      <c r="B7" s="2743" t="s">
        <v>2824</v>
      </c>
      <c r="C7" s="919" t="e">
        <f>IF(C8="不临58条商业街",1,ROUND(1+(1.6*E8+1.2*E9+0.8*E10+0.4*E11)*C9,4))</f>
        <v>#DIV/0!</v>
      </c>
      <c r="D7" s="2744" t="s">
        <v>2825</v>
      </c>
      <c r="E7" s="945"/>
      <c r="F7" s="2745"/>
      <c r="G7" s="2746"/>
      <c r="H7" s="2746"/>
      <c r="I7" s="2746"/>
      <c r="J7" s="2747"/>
      <c r="K7" s="1840"/>
      <c r="L7" s="2724" t="s">
        <v>2826</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2827</v>
      </c>
      <c r="X7" s="1602">
        <f>G2</f>
        <v>0</v>
      </c>
      <c r="Y7" s="1602" t="s">
        <v>2828</v>
      </c>
      <c r="Z7" s="1603" t="e">
        <f>G3</f>
        <v>#DIV/0!</v>
      </c>
      <c r="AA7" s="1604"/>
      <c r="AB7" s="1604"/>
      <c r="AC7" s="1605"/>
      <c r="AD7" s="1606"/>
      <c r="AE7" s="1606"/>
      <c r="AF7" s="1606"/>
      <c r="AG7" s="1606"/>
      <c r="AH7" s="1606"/>
      <c r="AI7" s="1606"/>
      <c r="AJ7" s="1607"/>
    </row>
    <row r="8" spans="1:36" ht="15">
      <c r="A8" s="3367"/>
      <c r="B8" s="198" t="s">
        <v>2829</v>
      </c>
      <c r="C8" s="2748"/>
      <c r="D8" s="920" t="s">
        <v>139</v>
      </c>
      <c r="E8" s="921" t="e">
        <f>ROUND(C11/E7,4)</f>
        <v>#DIV/0!</v>
      </c>
      <c r="F8" s="2749" t="s">
        <v>2830</v>
      </c>
      <c r="G8" s="2750"/>
      <c r="H8" s="2750"/>
      <c r="I8" s="2750"/>
      <c r="J8" s="2751"/>
      <c r="K8" s="1370"/>
      <c r="L8" s="2724" t="s">
        <v>2831</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360" t="s">
        <v>2832</v>
      </c>
      <c r="X8" s="3361"/>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367"/>
      <c r="B9" s="198" t="s">
        <v>2845</v>
      </c>
      <c r="C9" s="922">
        <f>SUMIF(修正!C59:C119,C8,修正!E59:E119)</f>
        <v>0</v>
      </c>
      <c r="D9" s="200" t="s">
        <v>140</v>
      </c>
      <c r="E9" s="200" t="e">
        <f>ROUND(C11/E7,4)</f>
        <v>#DIV/0!</v>
      </c>
      <c r="F9" s="2749" t="s">
        <v>2846</v>
      </c>
      <c r="G9" s="2750"/>
      <c r="H9" s="2750"/>
      <c r="I9" s="2750"/>
      <c r="J9" s="2751"/>
      <c r="K9" s="1370"/>
      <c r="L9" s="2724" t="s">
        <v>2847</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362"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67"/>
      <c r="B10" s="198" t="s">
        <v>2850</v>
      </c>
      <c r="C10" s="200">
        <f>SUMIF(修正!C59:C119,C8,修正!F59:F119)</f>
        <v>0</v>
      </c>
      <c r="D10" s="200" t="s">
        <v>141</v>
      </c>
      <c r="E10" s="200" t="e">
        <f>ROUND(C11/E7,4)</f>
        <v>#DIV/0!</v>
      </c>
      <c r="F10" s="2749" t="s">
        <v>2851</v>
      </c>
      <c r="G10" s="2750"/>
      <c r="H10" s="2750"/>
      <c r="I10" s="2750"/>
      <c r="J10" s="2751"/>
      <c r="K10" s="1370"/>
      <c r="L10" s="2724" t="s">
        <v>2852</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36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67"/>
      <c r="B11" s="2752" t="s">
        <v>2853</v>
      </c>
      <c r="C11" s="923">
        <f>C10/4</f>
        <v>0</v>
      </c>
      <c r="D11" s="923" t="s">
        <v>142</v>
      </c>
      <c r="E11" s="923" t="e">
        <f>ROUND(C11/E7,4)</f>
        <v>#DIV/0!</v>
      </c>
      <c r="F11" s="2753" t="s">
        <v>2854</v>
      </c>
      <c r="G11" s="2754"/>
      <c r="H11" s="2754"/>
      <c r="I11" s="2754"/>
      <c r="J11" s="2755"/>
      <c r="K11" s="1370"/>
      <c r="L11" s="2724" t="s">
        <v>2855</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362" t="s">
        <v>2856</v>
      </c>
      <c r="X11" s="1612" t="s">
        <v>2857</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347" t="s">
        <v>2858</v>
      </c>
      <c r="B12" s="2756" t="s">
        <v>2859</v>
      </c>
      <c r="C12" s="919">
        <f>ROUND(C15*D15*E15*F15*G15*H15*I15*J15,4)</f>
        <v>1</v>
      </c>
      <c r="D12" s="2757" t="s">
        <v>2860</v>
      </c>
      <c r="E12" s="2758"/>
      <c r="F12" s="2758"/>
      <c r="G12" s="2759"/>
      <c r="H12" s="2759"/>
      <c r="I12" s="2759"/>
      <c r="J12" s="2760"/>
      <c r="K12" s="1370"/>
      <c r="L12" s="2761" t="s">
        <v>2861</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362"/>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68"/>
      <c r="B13" s="2762" t="s">
        <v>2863</v>
      </c>
      <c r="C13" s="2763" t="s">
        <v>2864</v>
      </c>
      <c r="D13" s="1806" t="s">
        <v>2865</v>
      </c>
      <c r="E13" s="1806" t="s">
        <v>2866</v>
      </c>
      <c r="F13" s="30" t="s">
        <v>2867</v>
      </c>
      <c r="G13" s="2764" t="s">
        <v>2868</v>
      </c>
      <c r="H13" s="2764" t="s">
        <v>2868</v>
      </c>
      <c r="I13" s="2764" t="s">
        <v>2868</v>
      </c>
      <c r="J13" s="2765" t="s">
        <v>2868</v>
      </c>
      <c r="K13" s="1370"/>
      <c r="L13" s="1370"/>
      <c r="M13" s="1370"/>
      <c r="N13" s="1370"/>
      <c r="O13" s="1370"/>
      <c r="P13" s="1370"/>
      <c r="Q13" s="1370"/>
      <c r="R13" s="1600">
        <v>12</v>
      </c>
      <c r="S13" s="1601"/>
      <c r="T13" s="1600" t="e">
        <f t="shared" si="0"/>
        <v>#DIV/0!</v>
      </c>
      <c r="U13" s="1601"/>
      <c r="V13" s="1600" t="e">
        <f t="shared" si="1"/>
        <v>#DIV/0!</v>
      </c>
      <c r="W13" s="3362"/>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68"/>
      <c r="B14" s="2766"/>
      <c r="C14" s="2767"/>
      <c r="D14" s="2768"/>
      <c r="E14" s="2768"/>
      <c r="F14" s="2769"/>
      <c r="G14" s="2770" t="s">
        <v>2869</v>
      </c>
      <c r="H14" s="2771"/>
      <c r="I14" s="2772"/>
      <c r="J14" s="2773"/>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69"/>
      <c r="B15" s="2774" t="s">
        <v>2870</v>
      </c>
      <c r="C15" s="229">
        <f>IF(C14="有",1.1,1)</f>
        <v>1</v>
      </c>
      <c r="D15" s="229">
        <f>IF(D14="有",1.1,1)</f>
        <v>1</v>
      </c>
      <c r="E15" s="229">
        <f>IF(E14="有",1.1,1)</f>
        <v>1</v>
      </c>
      <c r="F15" s="229">
        <f>IF(F14="500米范围内",1.2,IF(F14="500-1000米",1.1,1))</f>
        <v>1</v>
      </c>
      <c r="G15" s="946">
        <v>1</v>
      </c>
      <c r="H15" s="946">
        <v>1</v>
      </c>
      <c r="I15" s="946">
        <v>1</v>
      </c>
      <c r="J15" s="947">
        <v>1</v>
      </c>
      <c r="K15" s="1370"/>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47" t="s">
        <v>2875</v>
      </c>
      <c r="B16" s="2743" t="s">
        <v>2876</v>
      </c>
      <c r="C16" s="2930" t="e">
        <f>ROUND(IF(F17="与级别开发程度一致",0,(G17-E17)/C17),0)</f>
        <v>#DIV/0!</v>
      </c>
      <c r="D16" s="3358" t="s">
        <v>2880</v>
      </c>
      <c r="E16" s="3359"/>
      <c r="F16" s="3358" t="s">
        <v>2877</v>
      </c>
      <c r="G16" s="3359"/>
      <c r="H16" s="2777"/>
      <c r="I16" s="2777"/>
      <c r="J16" s="2934"/>
      <c r="K16" s="2777"/>
      <c r="L16" s="2777"/>
      <c r="M16" s="2777"/>
      <c r="N16" s="2777"/>
      <c r="O16" s="2778"/>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48"/>
      <c r="B17" s="2941" t="s">
        <v>2879</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2882</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2883</v>
      </c>
      <c r="C19" s="924" t="e">
        <f>ROUND(IF(H19="按公示增长率计算",SUMPRODUCT((地价!A3:A27=YEAR(G19)&amp;"-"&amp;ROUNDUP(MONTH(G19)/3,0))*(地价!X2:AB2=E2)*(地价!X3:AB27)),IF(H19="地价指数",M20/M19,(1+I19)^O19)),4)</f>
        <v>#VALUE!</v>
      </c>
      <c r="D19" s="2787" t="s">
        <v>2884</v>
      </c>
      <c r="E19" s="925">
        <v>41640</v>
      </c>
      <c r="F19" s="2787" t="s">
        <v>2885</v>
      </c>
      <c r="G19" s="926">
        <f>'数据-取费表'!B2</f>
        <v>43671</v>
      </c>
      <c r="H19" s="2788"/>
      <c r="I19" s="927" t="str">
        <f>IF(H19="季度增幅（自定义）",SUMIF(N21:N24,E2,O21:O24),"")</f>
        <v/>
      </c>
      <c r="J19" s="2785"/>
      <c r="K19" s="1377"/>
      <c r="L19" s="2789" t="s">
        <v>2886</v>
      </c>
      <c r="M19" s="1732">
        <f>ROUND(SUMIF(地价!B2:F2,E2,地价!B27:F27),0)</f>
        <v>0</v>
      </c>
      <c r="N19" s="2790" t="s">
        <v>2887</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2888</v>
      </c>
      <c r="C20" s="929" t="e">
        <f>ROUND(POWER(1+G20,J20-I20)*(POWER(1+G20,I20)-1)/(POWER(1+G20,J20)-1),4)</f>
        <v>#DIV/0!</v>
      </c>
      <c r="D20" s="2796" t="s">
        <v>2889</v>
      </c>
      <c r="E20" s="1766">
        <f ca="1">存贷款利率!D4/100</f>
        <v>4.3499999999999997E-2</v>
      </c>
      <c r="F20" s="2796" t="s">
        <v>2881</v>
      </c>
      <c r="G20" s="934">
        <f>SUMIF(M26:P26,E2,M28:P28)</f>
        <v>0</v>
      </c>
      <c r="H20" s="2796" t="s">
        <v>2890</v>
      </c>
      <c r="I20" s="935" t="e">
        <f>SUMIF('数据-取费表'!C6:C15,E2,'数据-取费表'!F6:F15)/COUNTIF('数据-取费表'!C6:C15,E2)</f>
        <v>#DIV/0!</v>
      </c>
      <c r="J20" s="936">
        <f>IF(E2="住宅",70,IF(E2="商业",40,50))</f>
        <v>50</v>
      </c>
      <c r="K20" s="1377"/>
      <c r="L20" s="2797" t="s">
        <v>2891</v>
      </c>
      <c r="M20" s="1733">
        <f>ROUND(SUMPRODUCT((地价!A4:A27=YEAR(G19)&amp;"-"&amp;ROUNDUP(MONTH(G19)/3,0))*(地价!B2:F2=E2)*(地价!B4:F27)),0)</f>
        <v>0</v>
      </c>
      <c r="N20" s="2798" t="s">
        <v>2892</v>
      </c>
      <c r="O20" s="2799" t="s">
        <v>2893</v>
      </c>
      <c r="P20" s="2800" t="s">
        <v>2894</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2895</v>
      </c>
      <c r="C21" s="937" t="e">
        <f>IF(B21="容积率修正",IF(G3&lt;=10,D22,J22),C23)</f>
        <v>#DIV/0!</v>
      </c>
      <c r="D21" s="2803"/>
      <c r="E21" s="2803"/>
      <c r="F21" s="2803"/>
      <c r="G21" s="2803"/>
      <c r="H21" s="2803"/>
      <c r="I21" s="2803"/>
      <c r="J21" s="2804"/>
      <c r="K21" s="1377"/>
      <c r="N21" s="2805" t="s">
        <v>2896</v>
      </c>
      <c r="O21" s="1560"/>
      <c r="P21" s="1561">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2897</v>
      </c>
      <c r="B22" s="2806" t="s">
        <v>2898</v>
      </c>
      <c r="C22" s="1808" t="s">
        <v>2899</v>
      </c>
      <c r="D22" s="1808" t="e">
        <f>IF(E22=G22,F22,IF(G3&lt;=10,ROUND(F22+(H22-F22)*(G3-E22)/(G22-E22),4),"——"))</f>
        <v>#DIV/0!</v>
      </c>
      <c r="E22" s="916"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05" t="s">
        <v>2900</v>
      </c>
      <c r="O22" s="1560"/>
      <c r="P22" s="1561">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2901</v>
      </c>
      <c r="B23" s="2807" t="s">
        <v>2902</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2903</v>
      </c>
      <c r="O23" s="1560"/>
      <c r="P23" s="1561">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2904</v>
      </c>
      <c r="C24" s="924">
        <f>SUMIF(A45:A88,E2,B45:B88)</f>
        <v>0</v>
      </c>
      <c r="D24" s="2784"/>
      <c r="E24" s="2813"/>
      <c r="F24" s="2813"/>
      <c r="G24" s="2813"/>
      <c r="H24" s="2813"/>
      <c r="I24" s="2813"/>
      <c r="J24" s="2814"/>
      <c r="K24" s="1377"/>
      <c r="N24" s="2815" t="s">
        <v>2905</v>
      </c>
      <c r="O24" s="1562"/>
      <c r="P24" s="1563">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2906</v>
      </c>
      <c r="C25" s="930"/>
      <c r="D25" s="2746"/>
      <c r="E25" s="2746"/>
      <c r="F25" s="2817"/>
      <c r="G25" s="2746"/>
      <c r="H25" s="2746"/>
      <c r="I25" s="2746"/>
      <c r="J25" s="2747"/>
      <c r="K25" s="1370"/>
      <c r="N25" s="2818" t="s">
        <v>2907</v>
      </c>
      <c r="O25" s="1564"/>
      <c r="P25" s="1563">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2908</v>
      </c>
      <c r="C26" s="206" t="e">
        <f>E29+SUM(E33:E39)</f>
        <v>#DIV/0!</v>
      </c>
      <c r="D26" s="2820"/>
      <c r="E26" s="2771"/>
      <c r="F26" s="2821"/>
      <c r="G26" s="2771"/>
      <c r="H26" s="2771"/>
      <c r="I26" s="2771"/>
      <c r="J26" s="2822"/>
      <c r="K26" s="1370"/>
      <c r="L26" s="2775" t="s">
        <v>2806</v>
      </c>
      <c r="M26" s="920" t="s">
        <v>2871</v>
      </c>
      <c r="N26" s="920" t="s">
        <v>2872</v>
      </c>
      <c r="O26" s="920" t="s">
        <v>2873</v>
      </c>
      <c r="P26" s="2776" t="s">
        <v>2874</v>
      </c>
      <c r="R26" s="1376"/>
      <c r="S26" s="1376"/>
      <c r="T26" s="1371"/>
      <c r="U26" s="1371"/>
      <c r="V26" s="1371"/>
      <c r="W26" s="1370"/>
      <c r="X26" s="1370"/>
      <c r="Y26" s="1370"/>
      <c r="Z26" s="1377"/>
      <c r="AA26" s="1378"/>
      <c r="AB26" s="1378"/>
      <c r="AC26" s="1378"/>
      <c r="AD26" s="1378"/>
    </row>
    <row r="27" spans="1:37" ht="15.75" thickBot="1">
      <c r="A27" s="2819"/>
      <c r="B27" s="2823" t="s">
        <v>2909</v>
      </c>
      <c r="C27" s="931" t="e">
        <f>E30+SUM(I33:I39)</f>
        <v>#DIV/0!</v>
      </c>
      <c r="D27" s="2824"/>
      <c r="E27" s="2825"/>
      <c r="F27" s="2826"/>
      <c r="G27" s="2825"/>
      <c r="H27" s="2825"/>
      <c r="I27" s="2825"/>
      <c r="J27" s="2827"/>
      <c r="K27" s="1370"/>
      <c r="L27" s="2779" t="s">
        <v>2878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2910</v>
      </c>
      <c r="C28" s="2830" t="s">
        <v>2911</v>
      </c>
      <c r="D28" s="2830" t="s">
        <v>2912</v>
      </c>
      <c r="E28" s="2831" t="s">
        <v>2913</v>
      </c>
      <c r="F28" s="2832"/>
      <c r="G28" s="2759"/>
      <c r="H28" s="2759"/>
      <c r="I28" s="2759"/>
      <c r="J28" s="2760"/>
      <c r="K28" s="1370"/>
      <c r="L28" s="2780" t="s">
        <v>2881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2914</v>
      </c>
      <c r="C29" s="206" t="e">
        <f>ROUND(C5*C18*C19*C20*C21*C24,0)</f>
        <v>#DIV/0!</v>
      </c>
      <c r="D29" s="2835"/>
      <c r="E29" s="942" t="e">
        <f>ROUND(C29*D29/10000,0)</f>
        <v>#DIV/0!</v>
      </c>
      <c r="F29" s="2836" t="s">
        <v>2915</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2916</v>
      </c>
      <c r="C30" s="229" t="e">
        <f>ROUND(IF(E2="工业",C29*M39,C29*M38),0)</f>
        <v>#DIV/0!</v>
      </c>
      <c r="D30" s="2841"/>
      <c r="E30" s="942" t="e">
        <f>ROUND(C30*D30/10000,0)</f>
        <v>#DIV/0!</v>
      </c>
      <c r="F30" s="2842" t="s">
        <v>2917</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2911</v>
      </c>
      <c r="D32" s="498" t="s">
        <v>2912</v>
      </c>
      <c r="E32" s="498" t="s">
        <v>2913</v>
      </c>
      <c r="F32" s="388" t="s">
        <v>2921</v>
      </c>
      <c r="G32" s="2850" t="s">
        <v>2911</v>
      </c>
      <c r="H32" s="2850" t="s">
        <v>2912</v>
      </c>
      <c r="I32" s="2850"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55" t="s">
        <v>2922</v>
      </c>
      <c r="B33" s="2851" t="s">
        <v>2923</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6"/>
      <c r="B34" s="2763" t="s">
        <v>2924</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6"/>
      <c r="B35" s="2763" t="s">
        <v>2925</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57"/>
      <c r="B36" s="2763" t="s">
        <v>2926</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2927</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2928</v>
      </c>
      <c r="M37" s="2855"/>
      <c r="N37" s="1370"/>
      <c r="O37" s="1370"/>
      <c r="P37" s="1370"/>
      <c r="Q37" s="1370"/>
      <c r="R37" s="1370"/>
      <c r="S37" s="1370"/>
      <c r="T37" s="1370"/>
      <c r="U37" s="1370"/>
      <c r="V37" s="1370"/>
      <c r="W37" s="1370"/>
      <c r="X37" s="1370"/>
      <c r="Y37" s="1370"/>
      <c r="Z37" s="1371"/>
    </row>
    <row r="38" spans="1:37">
      <c r="A38" s="2853"/>
      <c r="B38" s="2763" t="s">
        <v>2929</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5" t="s">
        <v>2930</v>
      </c>
      <c r="M38" s="2856">
        <v>0.25</v>
      </c>
      <c r="N38" s="1370"/>
      <c r="O38" s="1370"/>
      <c r="P38" s="1370"/>
      <c r="Q38" s="1370"/>
      <c r="R38" s="1370"/>
      <c r="S38" s="1370"/>
      <c r="T38" s="1370"/>
      <c r="U38" s="1370"/>
      <c r="V38" s="1370"/>
      <c r="W38" s="1370"/>
      <c r="X38" s="1370"/>
      <c r="Y38" s="1370"/>
      <c r="Z38" s="1371"/>
    </row>
    <row r="39" spans="1:37" ht="13.5" thickBot="1">
      <c r="A39" s="2839"/>
      <c r="B39" s="2857" t="s">
        <v>2931</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2874</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3042</v>
      </c>
      <c r="C41" s="388" t="e">
        <f>ROUND(POWER(1+E41,H41-G41)*(POWER(1+E41,G41)-1)/(POWER(1+E41,H41)-1),4)</f>
        <v>#DIV/0!</v>
      </c>
      <c r="D41" s="200" t="s">
        <v>2881</v>
      </c>
      <c r="E41" s="2927">
        <f>G20</f>
        <v>0</v>
      </c>
      <c r="F41" s="200" t="s">
        <v>2890</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2932</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2933</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2934</v>
      </c>
      <c r="B47" s="1807" t="s">
        <v>2935</v>
      </c>
      <c r="C47" s="1807" t="s">
        <v>2936</v>
      </c>
      <c r="D47" s="1807" t="s">
        <v>2937</v>
      </c>
      <c r="E47" s="819" t="s">
        <v>2938</v>
      </c>
      <c r="F47" s="2869" t="s">
        <v>2939</v>
      </c>
      <c r="G47" s="1807" t="s">
        <v>754</v>
      </c>
      <c r="H47" s="2870" t="s">
        <v>2940</v>
      </c>
      <c r="I47" s="1807"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c r="A48" s="2868" t="s">
        <v>2942</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2943</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2944</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2945</v>
      </c>
      <c r="B51" s="2873" t="s">
        <v>2946</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2947</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2948</v>
      </c>
      <c r="B53" s="2874" t="s">
        <v>2949</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2950</v>
      </c>
      <c r="B54" s="1723"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2951</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2952</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2953</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2934</v>
      </c>
      <c r="B58" s="1807"/>
      <c r="C58" s="1807" t="s">
        <v>2936</v>
      </c>
      <c r="D58" s="1807" t="s">
        <v>2937</v>
      </c>
      <c r="E58" s="819" t="s">
        <v>2938</v>
      </c>
      <c r="F58" s="2869" t="s">
        <v>2954</v>
      </c>
      <c r="G58" s="1807" t="s">
        <v>754</v>
      </c>
      <c r="H58" s="2870" t="s">
        <v>2940</v>
      </c>
      <c r="I58" s="1807"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c r="A59" s="2868" t="s">
        <v>2955</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2943</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2944</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2945</v>
      </c>
      <c r="B62" s="2873" t="s">
        <v>2946</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2947</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2948</v>
      </c>
      <c r="B64" s="2874" t="s">
        <v>2949</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2950</v>
      </c>
      <c r="B65" s="1723"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2951</v>
      </c>
      <c r="B66" s="1723"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2952</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2956</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2934</v>
      </c>
      <c r="B69" s="1807"/>
      <c r="C69" s="1807" t="s">
        <v>2936</v>
      </c>
      <c r="D69" s="1807" t="s">
        <v>2937</v>
      </c>
      <c r="E69" s="819" t="s">
        <v>2938</v>
      </c>
      <c r="F69" s="2869" t="s">
        <v>2954</v>
      </c>
      <c r="G69" s="1807" t="s">
        <v>754</v>
      </c>
      <c r="H69" s="2870" t="s">
        <v>2940</v>
      </c>
      <c r="I69" s="1807"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c r="A70" s="2868" t="s">
        <v>2957</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2943</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2944</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2958</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2950</v>
      </c>
      <c r="B74" s="1723"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2951</v>
      </c>
      <c r="B75" s="1723"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2948</v>
      </c>
      <c r="B76" s="2874" t="s">
        <v>2949</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2952</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2959</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2960</v>
      </c>
      <c r="B79" s="2865">
        <f>1+E81</f>
        <v>1</v>
      </c>
      <c r="C79" s="814"/>
      <c r="D79" s="814"/>
      <c r="E79" s="815"/>
      <c r="F79" s="2867"/>
      <c r="G79" s="6"/>
      <c r="H79" s="6"/>
      <c r="I79" s="6"/>
      <c r="J79" s="7"/>
      <c r="K79" s="7"/>
      <c r="L79" s="7"/>
      <c r="M79" s="7"/>
      <c r="N79" s="7"/>
      <c r="Z79" s="2718"/>
      <c r="AA79" s="2786"/>
      <c r="AG79" s="1372"/>
      <c r="AK79" s="2786"/>
    </row>
    <row r="80" spans="1:37" ht="24.75">
      <c r="A80" s="2868" t="s">
        <v>2934</v>
      </c>
      <c r="B80" s="1807"/>
      <c r="C80" s="1807" t="s">
        <v>2936</v>
      </c>
      <c r="D80" s="1807" t="s">
        <v>2937</v>
      </c>
      <c r="E80" s="819" t="s">
        <v>2938</v>
      </c>
      <c r="F80" s="2869" t="s">
        <v>2954</v>
      </c>
      <c r="G80" s="1807" t="s">
        <v>754</v>
      </c>
      <c r="H80" s="2870" t="s">
        <v>2940</v>
      </c>
      <c r="I80" s="1807" t="s">
        <v>2941</v>
      </c>
      <c r="J80" s="603" t="s">
        <v>2590</v>
      </c>
      <c r="K80" s="603" t="s">
        <v>2591</v>
      </c>
      <c r="L80" s="603" t="s">
        <v>2592</v>
      </c>
      <c r="M80" s="603" t="s">
        <v>2593</v>
      </c>
      <c r="N80" s="603" t="s">
        <v>2594</v>
      </c>
      <c r="Z80" s="2718"/>
      <c r="AA80" s="2786"/>
      <c r="AG80" s="1372"/>
      <c r="AK80" s="2786"/>
    </row>
    <row r="81" spans="1:37" ht="38.25">
      <c r="A81" s="2868" t="s">
        <v>2961</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2943</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2944</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2958</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2950</v>
      </c>
      <c r="B85" s="1723"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2951</v>
      </c>
      <c r="B86" s="1723"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2948</v>
      </c>
      <c r="B87" s="2874" t="s">
        <v>2962</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2963</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49" t="s">
        <v>2964</v>
      </c>
      <c r="B90" s="3349"/>
      <c r="C90" s="3349"/>
      <c r="D90" s="3349"/>
      <c r="E90" s="3349"/>
      <c r="F90" s="3349"/>
      <c r="G90" s="3349"/>
      <c r="H90" s="3349"/>
      <c r="I90" s="3349"/>
      <c r="J90" s="3349"/>
      <c r="K90" s="2882"/>
      <c r="L90" s="2882"/>
      <c r="M90" s="2882"/>
      <c r="N90" s="2882"/>
    </row>
    <row r="91" spans="1:37">
      <c r="A91" s="3351" t="s">
        <v>2965</v>
      </c>
      <c r="B91" s="3351" t="s">
        <v>2966</v>
      </c>
      <c r="C91" s="2836" t="s">
        <v>2967</v>
      </c>
      <c r="D91" s="2837"/>
      <c r="E91" s="2837"/>
      <c r="F91" s="2837"/>
      <c r="G91" s="2837"/>
      <c r="H91" s="2837"/>
      <c r="I91" s="2837"/>
      <c r="J91" s="2883"/>
      <c r="K91" s="2884"/>
      <c r="L91" s="2884"/>
      <c r="M91" s="2884"/>
      <c r="N91" s="2884"/>
    </row>
    <row r="92" spans="1:37">
      <c r="A92" s="3351"/>
      <c r="B92" s="3351"/>
      <c r="C92" s="942" t="s">
        <v>2833</v>
      </c>
      <c r="D92" s="942" t="s">
        <v>2834</v>
      </c>
      <c r="E92" s="942" t="s">
        <v>2835</v>
      </c>
      <c r="F92" s="942" t="s">
        <v>2836</v>
      </c>
      <c r="G92" s="942" t="s">
        <v>2837</v>
      </c>
      <c r="H92" s="942" t="s">
        <v>2838</v>
      </c>
      <c r="I92" s="942" t="s">
        <v>2839</v>
      </c>
      <c r="J92" s="942" t="s">
        <v>2840</v>
      </c>
      <c r="K92" s="942" t="s">
        <v>2841</v>
      </c>
      <c r="L92" s="942" t="s">
        <v>2842</v>
      </c>
      <c r="M92" s="942" t="s">
        <v>2843</v>
      </c>
      <c r="N92" s="942" t="s">
        <v>2844</v>
      </c>
    </row>
    <row r="93" spans="1:37">
      <c r="A93" s="3352"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5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5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5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5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5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53"/>
      <c r="B99" s="2885" t="s">
        <v>2849</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5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52" t="s">
        <v>2969</v>
      </c>
      <c r="B101" s="2889" t="s">
        <v>2970</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53"/>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53"/>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53"/>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53"/>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53"/>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53"/>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53"/>
      <c r="B108" s="3177"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54"/>
      <c r="B109" s="3178"/>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350" t="s">
        <v>2972</v>
      </c>
      <c r="B110" s="3350"/>
      <c r="C110" s="3350"/>
      <c r="D110" s="3350"/>
      <c r="E110" s="3350"/>
      <c r="F110" s="3350"/>
      <c r="G110" s="3350"/>
      <c r="H110" s="3350"/>
      <c r="I110" s="3350"/>
      <c r="J110" s="3350"/>
      <c r="K110" s="2891"/>
      <c r="L110" s="2891"/>
      <c r="M110" s="2891"/>
      <c r="N110" s="2891"/>
    </row>
    <row r="112" spans="1:14" ht="13.5" thickBot="1"/>
    <row r="113" spans="1:13" ht="25.5" thickBot="1">
      <c r="A113" s="903" t="s">
        <v>2973</v>
      </c>
      <c r="B113" s="1287" t="e">
        <f>G3</f>
        <v>#DIV/0!</v>
      </c>
      <c r="C113" s="904" t="s">
        <v>2974</v>
      </c>
      <c r="D113" s="905" t="e">
        <f>SUMPRODUCT((A115:A118=F113)*(B114:M114=H113)*B115:M118)</f>
        <v>#DIV/0!</v>
      </c>
      <c r="E113" s="2722" t="s">
        <v>2806</v>
      </c>
      <c r="F113" s="2893">
        <f>E2</f>
        <v>0</v>
      </c>
      <c r="G113" s="2722" t="s">
        <v>2807</v>
      </c>
      <c r="H113" s="2893">
        <f>G2</f>
        <v>0</v>
      </c>
      <c r="I113" s="2722"/>
      <c r="J113" s="2894"/>
      <c r="K113" s="2894"/>
      <c r="L113" s="2894"/>
      <c r="M113" s="2894"/>
    </row>
    <row r="114" spans="1:13">
      <c r="A114" s="908"/>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9" t="s">
        <v>2871</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2872</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2873</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2874</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70" t="s">
        <v>183</v>
      </c>
      <c r="B18" s="882" t="s">
        <v>560</v>
      </c>
      <c r="C18" s="883" t="s">
        <v>561</v>
      </c>
      <c r="D18" s="884"/>
      <c r="E18" s="882">
        <v>1</v>
      </c>
      <c r="F18" s="885" t="s">
        <v>562</v>
      </c>
      <c r="G18" s="886"/>
      <c r="H18" s="878"/>
      <c r="I18" s="878"/>
    </row>
    <row r="19" spans="1:9" s="887" customFormat="1" ht="19.5" customHeight="1">
      <c r="A19" s="3370"/>
      <c r="B19" s="3370" t="s">
        <v>563</v>
      </c>
      <c r="C19" s="883" t="s">
        <v>564</v>
      </c>
      <c r="D19" s="884"/>
      <c r="E19" s="882">
        <v>0.9</v>
      </c>
      <c r="F19" s="885" t="s">
        <v>565</v>
      </c>
      <c r="G19" s="886"/>
      <c r="H19" s="878"/>
      <c r="I19" s="878"/>
    </row>
    <row r="20" spans="1:9" s="887" customFormat="1" ht="19.5" customHeight="1">
      <c r="A20" s="3370"/>
      <c r="B20" s="3370"/>
      <c r="C20" s="883" t="s">
        <v>566</v>
      </c>
      <c r="D20" s="884"/>
      <c r="E20" s="882">
        <v>1.1000000000000001</v>
      </c>
      <c r="F20" s="885" t="s">
        <v>567</v>
      </c>
      <c r="G20" s="886"/>
      <c r="H20" s="878"/>
      <c r="I20" s="878"/>
    </row>
    <row r="21" spans="1:9" s="887" customFormat="1" ht="19.5" customHeight="1">
      <c r="A21" s="3370"/>
      <c r="B21" s="3370"/>
      <c r="C21" s="883" t="s">
        <v>568</v>
      </c>
      <c r="D21" s="884"/>
      <c r="E21" s="882">
        <v>0.8</v>
      </c>
      <c r="F21" s="885" t="s">
        <v>569</v>
      </c>
      <c r="G21" s="886"/>
      <c r="H21" s="878"/>
      <c r="I21" s="878"/>
    </row>
    <row r="22" spans="1:9" s="887" customFormat="1" ht="19.5" customHeight="1">
      <c r="A22" s="3370"/>
      <c r="B22" s="3370"/>
      <c r="C22" s="883" t="s">
        <v>570</v>
      </c>
      <c r="D22" s="884"/>
      <c r="E22" s="882">
        <v>0.5</v>
      </c>
      <c r="F22" s="885"/>
      <c r="G22" s="886"/>
      <c r="H22" s="878"/>
      <c r="I22" s="878"/>
    </row>
    <row r="23" spans="1:9" s="887" customFormat="1" ht="19.5" customHeight="1">
      <c r="A23" s="3370" t="s">
        <v>184</v>
      </c>
      <c r="B23" s="882" t="s">
        <v>560</v>
      </c>
      <c r="C23" s="883" t="s">
        <v>571</v>
      </c>
      <c r="D23" s="884"/>
      <c r="E23" s="882">
        <v>1</v>
      </c>
      <c r="F23" s="885" t="s">
        <v>572</v>
      </c>
      <c r="G23" s="886"/>
      <c r="H23" s="878"/>
      <c r="I23" s="878"/>
    </row>
    <row r="24" spans="1:9" s="887" customFormat="1" ht="19.5" customHeight="1">
      <c r="A24" s="3370"/>
      <c r="B24" s="3370" t="s">
        <v>563</v>
      </c>
      <c r="C24" s="883" t="s">
        <v>573</v>
      </c>
      <c r="D24" s="884"/>
      <c r="E24" s="882">
        <v>0.5</v>
      </c>
      <c r="F24" s="885"/>
      <c r="G24" s="886"/>
      <c r="H24" s="878"/>
      <c r="I24" s="878"/>
    </row>
    <row r="25" spans="1:9" s="887" customFormat="1" ht="19.5" customHeight="1">
      <c r="A25" s="3370"/>
      <c r="B25" s="3370"/>
      <c r="C25" s="883" t="s">
        <v>574</v>
      </c>
      <c r="D25" s="884"/>
      <c r="E25" s="882">
        <v>1.1000000000000001</v>
      </c>
      <c r="F25" s="885"/>
      <c r="G25" s="886"/>
      <c r="H25" s="878"/>
      <c r="I25" s="878"/>
    </row>
    <row r="26" spans="1:9" s="887" customFormat="1" ht="19.5" customHeight="1">
      <c r="A26" s="3370"/>
      <c r="B26" s="3370"/>
      <c r="C26" s="883" t="s">
        <v>575</v>
      </c>
      <c r="D26" s="884"/>
      <c r="E26" s="882">
        <v>1.1000000000000001</v>
      </c>
      <c r="F26" s="885"/>
      <c r="G26" s="886"/>
      <c r="H26" s="878"/>
      <c r="I26" s="878"/>
    </row>
    <row r="27" spans="1:9" s="887" customFormat="1" ht="19.5" customHeight="1">
      <c r="A27" s="3370"/>
      <c r="B27" s="3370"/>
      <c r="C27" s="883" t="s">
        <v>576</v>
      </c>
      <c r="D27" s="884"/>
      <c r="E27" s="882">
        <v>0.9</v>
      </c>
      <c r="F27" s="885" t="s">
        <v>577</v>
      </c>
      <c r="G27" s="886"/>
      <c r="H27" s="878"/>
      <c r="I27" s="878"/>
    </row>
    <row r="28" spans="1:9" s="887" customFormat="1" ht="19.5" customHeight="1">
      <c r="A28" s="3370"/>
      <c r="B28" s="3370"/>
      <c r="C28" s="883" t="s">
        <v>578</v>
      </c>
      <c r="D28" s="884"/>
      <c r="E28" s="882">
        <v>0.9</v>
      </c>
      <c r="F28" s="885" t="s">
        <v>579</v>
      </c>
      <c r="G28" s="886"/>
      <c r="H28" s="878"/>
      <c r="I28" s="878"/>
    </row>
    <row r="29" spans="1:9" s="887" customFormat="1" ht="19.5" customHeight="1">
      <c r="A29" s="3370"/>
      <c r="B29" s="3370"/>
      <c r="C29" s="883" t="s">
        <v>580</v>
      </c>
      <c r="D29" s="884"/>
      <c r="E29" s="882">
        <v>0.9</v>
      </c>
      <c r="F29" s="885" t="s">
        <v>581</v>
      </c>
      <c r="G29" s="886"/>
      <c r="H29" s="878"/>
      <c r="I29" s="878"/>
    </row>
    <row r="30" spans="1:9" s="887" customFormat="1" ht="19.5" customHeight="1">
      <c r="A30" s="3370"/>
      <c r="B30" s="3370"/>
      <c r="C30" s="883" t="s">
        <v>582</v>
      </c>
      <c r="D30" s="884"/>
      <c r="E30" s="882">
        <v>0.9</v>
      </c>
      <c r="F30" s="885" t="s">
        <v>583</v>
      </c>
      <c r="G30" s="886"/>
      <c r="H30" s="878"/>
      <c r="I30" s="878"/>
    </row>
    <row r="31" spans="1:9" s="887" customFormat="1" ht="19.5" customHeight="1">
      <c r="A31" s="3370"/>
      <c r="B31" s="3370"/>
      <c r="C31" s="883" t="s">
        <v>584</v>
      </c>
      <c r="D31" s="884"/>
      <c r="E31" s="882">
        <v>0.8</v>
      </c>
      <c r="F31" s="885" t="s">
        <v>585</v>
      </c>
      <c r="G31" s="886"/>
      <c r="H31" s="878"/>
      <c r="I31" s="878"/>
    </row>
    <row r="32" spans="1:9" s="887" customFormat="1" ht="19.5" customHeight="1">
      <c r="A32" s="3370"/>
      <c r="B32" s="3370"/>
      <c r="C32" s="883" t="s">
        <v>586</v>
      </c>
      <c r="D32" s="884"/>
      <c r="E32" s="882">
        <v>0.8</v>
      </c>
      <c r="F32" s="885" t="s">
        <v>587</v>
      </c>
      <c r="G32" s="886"/>
      <c r="H32" s="878"/>
      <c r="I32" s="878"/>
    </row>
    <row r="33" spans="1:9" s="887" customFormat="1" ht="19.5" customHeight="1">
      <c r="A33" s="3370" t="s">
        <v>185</v>
      </c>
      <c r="B33" s="882" t="s">
        <v>560</v>
      </c>
      <c r="C33" s="883" t="s">
        <v>588</v>
      </c>
      <c r="D33" s="884"/>
      <c r="E33" s="882">
        <v>1</v>
      </c>
      <c r="F33" s="885" t="s">
        <v>589</v>
      </c>
      <c r="G33" s="886"/>
      <c r="H33" s="878"/>
      <c r="I33" s="878"/>
    </row>
    <row r="34" spans="1:9" s="887" customFormat="1" ht="19.5" customHeight="1">
      <c r="A34" s="3370"/>
      <c r="B34" s="882" t="s">
        <v>563</v>
      </c>
      <c r="C34" s="883" t="s">
        <v>590</v>
      </c>
      <c r="D34" s="884"/>
      <c r="E34" s="882">
        <v>1.5</v>
      </c>
      <c r="F34" s="885" t="s">
        <v>591</v>
      </c>
      <c r="G34" s="886"/>
      <c r="H34" s="878"/>
      <c r="I34" s="878"/>
    </row>
    <row r="35" spans="1:9" s="887" customFormat="1" ht="19.5" customHeight="1">
      <c r="A35" s="3370" t="s">
        <v>186</v>
      </c>
      <c r="B35" s="882" t="s">
        <v>560</v>
      </c>
      <c r="C35" s="883" t="s">
        <v>592</v>
      </c>
      <c r="D35" s="884"/>
      <c r="E35" s="882">
        <v>1</v>
      </c>
      <c r="F35" s="885" t="s">
        <v>593</v>
      </c>
      <c r="G35" s="886"/>
      <c r="H35" s="878"/>
      <c r="I35" s="878"/>
    </row>
    <row r="36" spans="1:9" s="887" customFormat="1" ht="19.5" customHeight="1">
      <c r="A36" s="3370"/>
      <c r="B36" s="3370" t="s">
        <v>563</v>
      </c>
      <c r="C36" s="883" t="s">
        <v>594</v>
      </c>
      <c r="D36" s="884"/>
      <c r="E36" s="882">
        <v>1</v>
      </c>
      <c r="F36" s="885" t="s">
        <v>595</v>
      </c>
      <c r="G36" s="886"/>
      <c r="H36" s="878"/>
      <c r="I36" s="878"/>
    </row>
    <row r="37" spans="1:9" s="887" customFormat="1" ht="19.5" customHeight="1">
      <c r="A37" s="3370"/>
      <c r="B37" s="3370"/>
      <c r="C37" s="883" t="s">
        <v>596</v>
      </c>
      <c r="D37" s="884"/>
      <c r="E37" s="882">
        <v>1.5</v>
      </c>
      <c r="F37" s="885" t="s">
        <v>597</v>
      </c>
      <c r="G37" s="886"/>
      <c r="H37" s="878"/>
      <c r="I37" s="878"/>
    </row>
    <row r="38" spans="1:9" s="887" customFormat="1" ht="19.5" customHeight="1">
      <c r="A38" s="3370"/>
      <c r="B38" s="3370"/>
      <c r="C38" s="883" t="s">
        <v>598</v>
      </c>
      <c r="D38" s="884"/>
      <c r="E38" s="882">
        <v>1</v>
      </c>
      <c r="F38" s="885" t="s">
        <v>599</v>
      </c>
      <c r="G38" s="886"/>
      <c r="H38" s="878"/>
      <c r="I38" s="878"/>
    </row>
    <row r="39" spans="1:9" s="887" customFormat="1" ht="19.5" customHeight="1">
      <c r="A39" s="3370"/>
      <c r="B39" s="33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70" t="s">
        <v>614</v>
      </c>
      <c r="C61" s="818" t="s">
        <v>615</v>
      </c>
      <c r="D61" s="818" t="s">
        <v>616</v>
      </c>
      <c r="E61" s="895">
        <v>0.5</v>
      </c>
      <c r="F61" s="882">
        <v>80</v>
      </c>
    </row>
    <row r="62" spans="1:8" s="878" customFormat="1" ht="24">
      <c r="A62" s="882">
        <v>2</v>
      </c>
      <c r="B62" s="3370"/>
      <c r="C62" s="818" t="s">
        <v>617</v>
      </c>
      <c r="D62" s="818" t="s">
        <v>618</v>
      </c>
      <c r="E62" s="895">
        <v>0.5</v>
      </c>
      <c r="F62" s="882">
        <v>80</v>
      </c>
    </row>
    <row r="63" spans="1:8" s="878" customFormat="1" ht="36">
      <c r="A63" s="882">
        <v>3</v>
      </c>
      <c r="B63" s="3370"/>
      <c r="C63" s="818" t="s">
        <v>619</v>
      </c>
      <c r="D63" s="818" t="s">
        <v>620</v>
      </c>
      <c r="E63" s="895">
        <v>0.5</v>
      </c>
      <c r="F63" s="882">
        <v>80</v>
      </c>
    </row>
    <row r="64" spans="1:8" s="878" customFormat="1" ht="36">
      <c r="A64" s="882">
        <v>4</v>
      </c>
      <c r="B64" s="3370"/>
      <c r="C64" s="818" t="s">
        <v>621</v>
      </c>
      <c r="D64" s="818" t="s">
        <v>622</v>
      </c>
      <c r="E64" s="895">
        <v>0.4</v>
      </c>
      <c r="F64" s="882">
        <v>60</v>
      </c>
    </row>
    <row r="65" spans="1:6" s="878" customFormat="1" ht="36">
      <c r="A65" s="882">
        <v>5</v>
      </c>
      <c r="B65" s="3370"/>
      <c r="C65" s="818" t="s">
        <v>623</v>
      </c>
      <c r="D65" s="818" t="s">
        <v>624</v>
      </c>
      <c r="E65" s="895">
        <v>0.2</v>
      </c>
      <c r="F65" s="882">
        <v>30</v>
      </c>
    </row>
    <row r="66" spans="1:6" s="878" customFormat="1" ht="36">
      <c r="A66" s="882">
        <v>6</v>
      </c>
      <c r="B66" s="3370"/>
      <c r="C66" s="818" t="s">
        <v>625</v>
      </c>
      <c r="D66" s="818" t="s">
        <v>626</v>
      </c>
      <c r="E66" s="895">
        <v>0.3</v>
      </c>
      <c r="F66" s="882">
        <v>50</v>
      </c>
    </row>
    <row r="67" spans="1:6" s="878" customFormat="1" ht="36">
      <c r="A67" s="882">
        <v>7</v>
      </c>
      <c r="B67" s="3370"/>
      <c r="C67" s="818" t="s">
        <v>627</v>
      </c>
      <c r="D67" s="818" t="s">
        <v>628</v>
      </c>
      <c r="E67" s="895">
        <v>0.2</v>
      </c>
      <c r="F67" s="882">
        <v>30</v>
      </c>
    </row>
    <row r="68" spans="1:6" s="878" customFormat="1" ht="36">
      <c r="A68" s="882">
        <v>8</v>
      </c>
      <c r="B68" s="3370"/>
      <c r="C68" s="818" t="s">
        <v>629</v>
      </c>
      <c r="D68" s="818" t="s">
        <v>630</v>
      </c>
      <c r="E68" s="895">
        <v>0.2</v>
      </c>
      <c r="F68" s="882">
        <v>30</v>
      </c>
    </row>
    <row r="69" spans="1:6" s="878" customFormat="1" ht="36">
      <c r="A69" s="882">
        <v>9</v>
      </c>
      <c r="B69" s="3370"/>
      <c r="C69" s="818" t="s">
        <v>631</v>
      </c>
      <c r="D69" s="818" t="s">
        <v>632</v>
      </c>
      <c r="E69" s="895">
        <v>0.2</v>
      </c>
      <c r="F69" s="882">
        <v>30</v>
      </c>
    </row>
    <row r="70" spans="1:6" s="878" customFormat="1" ht="48">
      <c r="A70" s="882">
        <v>10</v>
      </c>
      <c r="B70" s="3370"/>
      <c r="C70" s="818" t="s">
        <v>633</v>
      </c>
      <c r="D70" s="818" t="s">
        <v>634</v>
      </c>
      <c r="E70" s="895">
        <v>0.2</v>
      </c>
      <c r="F70" s="882">
        <v>30</v>
      </c>
    </row>
    <row r="71" spans="1:6" s="878" customFormat="1" ht="48">
      <c r="A71" s="882">
        <v>11</v>
      </c>
      <c r="B71" s="3370"/>
      <c r="C71" s="818" t="s">
        <v>635</v>
      </c>
      <c r="D71" s="818" t="s">
        <v>636</v>
      </c>
      <c r="E71" s="895">
        <v>0.2</v>
      </c>
      <c r="F71" s="882">
        <v>30</v>
      </c>
    </row>
    <row r="72" spans="1:6" s="878" customFormat="1" ht="36">
      <c r="A72" s="882">
        <v>12</v>
      </c>
      <c r="B72" s="3370"/>
      <c r="C72" s="818" t="s">
        <v>637</v>
      </c>
      <c r="D72" s="818" t="s">
        <v>638</v>
      </c>
      <c r="E72" s="895">
        <v>0.5</v>
      </c>
      <c r="F72" s="882">
        <v>80</v>
      </c>
    </row>
    <row r="73" spans="1:6" s="878" customFormat="1" ht="24">
      <c r="A73" s="882">
        <v>13</v>
      </c>
      <c r="B73" s="3370"/>
      <c r="C73" s="818" t="s">
        <v>639</v>
      </c>
      <c r="D73" s="818" t="s">
        <v>640</v>
      </c>
      <c r="E73" s="895">
        <v>0.4</v>
      </c>
      <c r="F73" s="882">
        <v>60</v>
      </c>
    </row>
    <row r="74" spans="1:6" s="878" customFormat="1" ht="24">
      <c r="A74" s="882">
        <v>14</v>
      </c>
      <c r="B74" s="3370"/>
      <c r="C74" s="818" t="s">
        <v>641</v>
      </c>
      <c r="D74" s="818" t="s">
        <v>642</v>
      </c>
      <c r="E74" s="895">
        <v>0.2</v>
      </c>
      <c r="F74" s="882">
        <v>30</v>
      </c>
    </row>
    <row r="75" spans="1:6" s="878" customFormat="1" ht="24">
      <c r="A75" s="882">
        <v>15</v>
      </c>
      <c r="B75" s="3370"/>
      <c r="C75" s="818" t="s">
        <v>643</v>
      </c>
      <c r="D75" s="818" t="s">
        <v>644</v>
      </c>
      <c r="E75" s="895">
        <v>0.2</v>
      </c>
      <c r="F75" s="882">
        <v>30</v>
      </c>
    </row>
    <row r="76" spans="1:6" s="878" customFormat="1" ht="24">
      <c r="A76" s="882">
        <v>16</v>
      </c>
      <c r="B76" s="3370" t="s">
        <v>645</v>
      </c>
      <c r="C76" s="818" t="s">
        <v>646</v>
      </c>
      <c r="D76" s="818" t="s">
        <v>647</v>
      </c>
      <c r="E76" s="895">
        <v>0.5</v>
      </c>
      <c r="F76" s="882">
        <v>80</v>
      </c>
    </row>
    <row r="77" spans="1:6" s="878" customFormat="1" ht="24">
      <c r="A77" s="882">
        <v>17</v>
      </c>
      <c r="B77" s="3370"/>
      <c r="C77" s="818" t="s">
        <v>648</v>
      </c>
      <c r="D77" s="818" t="s">
        <v>649</v>
      </c>
      <c r="E77" s="895">
        <v>0.5</v>
      </c>
      <c r="F77" s="882">
        <v>80</v>
      </c>
    </row>
    <row r="78" spans="1:6" s="878" customFormat="1" ht="24">
      <c r="A78" s="882">
        <v>18</v>
      </c>
      <c r="B78" s="3370"/>
      <c r="C78" s="818" t="s">
        <v>650</v>
      </c>
      <c r="D78" s="818" t="s">
        <v>651</v>
      </c>
      <c r="E78" s="895">
        <v>0.2</v>
      </c>
      <c r="F78" s="882">
        <v>30</v>
      </c>
    </row>
    <row r="79" spans="1:6" s="878" customFormat="1" ht="24">
      <c r="A79" s="882">
        <v>19</v>
      </c>
      <c r="B79" s="3370"/>
      <c r="C79" s="818" t="s">
        <v>652</v>
      </c>
      <c r="D79" s="818" t="s">
        <v>653</v>
      </c>
      <c r="E79" s="895">
        <v>0.5</v>
      </c>
      <c r="F79" s="882">
        <v>80</v>
      </c>
    </row>
    <row r="80" spans="1:6" s="878" customFormat="1" ht="36">
      <c r="A80" s="882">
        <v>20</v>
      </c>
      <c r="B80" s="3370"/>
      <c r="C80" s="818" t="s">
        <v>654</v>
      </c>
      <c r="D80" s="818" t="s">
        <v>655</v>
      </c>
      <c r="E80" s="895">
        <v>0.2</v>
      </c>
      <c r="F80" s="882">
        <v>30</v>
      </c>
    </row>
    <row r="81" spans="1:6" s="878" customFormat="1" ht="36">
      <c r="A81" s="882">
        <v>21</v>
      </c>
      <c r="B81" s="3370"/>
      <c r="C81" s="818" t="s">
        <v>656</v>
      </c>
      <c r="D81" s="818" t="s">
        <v>657</v>
      </c>
      <c r="E81" s="895">
        <v>0.2</v>
      </c>
      <c r="F81" s="882">
        <v>30</v>
      </c>
    </row>
    <row r="82" spans="1:6" s="878" customFormat="1" ht="48">
      <c r="A82" s="882">
        <v>22</v>
      </c>
      <c r="B82" s="3370"/>
      <c r="C82" s="818" t="s">
        <v>658</v>
      </c>
      <c r="D82" s="818" t="s">
        <v>659</v>
      </c>
      <c r="E82" s="895">
        <v>0.2</v>
      </c>
      <c r="F82" s="882">
        <v>30</v>
      </c>
    </row>
    <row r="83" spans="1:6" s="878" customFormat="1" ht="48">
      <c r="A83" s="882">
        <v>23</v>
      </c>
      <c r="B83" s="3370"/>
      <c r="C83" s="818" t="s">
        <v>660</v>
      </c>
      <c r="D83" s="818" t="s">
        <v>661</v>
      </c>
      <c r="E83" s="895">
        <v>0.2</v>
      </c>
      <c r="F83" s="882">
        <v>30</v>
      </c>
    </row>
    <row r="84" spans="1:6" s="878" customFormat="1" ht="36">
      <c r="A84" s="882">
        <v>24</v>
      </c>
      <c r="B84" s="3370"/>
      <c r="C84" s="818" t="s">
        <v>662</v>
      </c>
      <c r="D84" s="818" t="s">
        <v>663</v>
      </c>
      <c r="E84" s="895">
        <v>0.2</v>
      </c>
      <c r="F84" s="882">
        <v>30</v>
      </c>
    </row>
    <row r="85" spans="1:6" s="878" customFormat="1" ht="36">
      <c r="A85" s="882">
        <v>25</v>
      </c>
      <c r="B85" s="3370"/>
      <c r="C85" s="818" t="s">
        <v>664</v>
      </c>
      <c r="D85" s="818" t="s">
        <v>665</v>
      </c>
      <c r="E85" s="895">
        <v>0.5</v>
      </c>
      <c r="F85" s="882">
        <v>80</v>
      </c>
    </row>
    <row r="86" spans="1:6" s="878" customFormat="1" ht="36">
      <c r="A86" s="882">
        <v>26</v>
      </c>
      <c r="B86" s="3370"/>
      <c r="C86" s="818" t="s">
        <v>666</v>
      </c>
      <c r="D86" s="818" t="s">
        <v>667</v>
      </c>
      <c r="E86" s="895">
        <v>0.2</v>
      </c>
      <c r="F86" s="882">
        <v>30</v>
      </c>
    </row>
    <row r="87" spans="1:6" s="878" customFormat="1" ht="36">
      <c r="A87" s="882">
        <v>27</v>
      </c>
      <c r="B87" s="3370"/>
      <c r="C87" s="818" t="s">
        <v>668</v>
      </c>
      <c r="D87" s="818" t="s">
        <v>669</v>
      </c>
      <c r="E87" s="895">
        <v>0.2</v>
      </c>
      <c r="F87" s="882">
        <v>30</v>
      </c>
    </row>
    <row r="88" spans="1:6" s="878" customFormat="1" ht="36">
      <c r="A88" s="882">
        <v>28</v>
      </c>
      <c r="B88" s="3370"/>
      <c r="C88" s="818" t="s">
        <v>670</v>
      </c>
      <c r="D88" s="818" t="s">
        <v>671</v>
      </c>
      <c r="E88" s="895">
        <v>0.2</v>
      </c>
      <c r="F88" s="882">
        <v>30</v>
      </c>
    </row>
    <row r="89" spans="1:6" s="878" customFormat="1" ht="24">
      <c r="A89" s="882">
        <v>29</v>
      </c>
      <c r="B89" s="3370"/>
      <c r="C89" s="818" t="s">
        <v>672</v>
      </c>
      <c r="D89" s="818" t="s">
        <v>673</v>
      </c>
      <c r="E89" s="895">
        <v>0.2</v>
      </c>
      <c r="F89" s="882">
        <v>30</v>
      </c>
    </row>
    <row r="90" spans="1:6" s="878" customFormat="1" ht="24">
      <c r="A90" s="882">
        <v>30</v>
      </c>
      <c r="B90" s="3370"/>
      <c r="C90" s="818" t="s">
        <v>674</v>
      </c>
      <c r="D90" s="818" t="s">
        <v>675</v>
      </c>
      <c r="E90" s="895">
        <v>0.2</v>
      </c>
      <c r="F90" s="882">
        <v>30</v>
      </c>
    </row>
    <row r="91" spans="1:6" s="878" customFormat="1" ht="36">
      <c r="A91" s="882">
        <v>31</v>
      </c>
      <c r="B91" s="3370"/>
      <c r="C91" s="818" t="s">
        <v>676</v>
      </c>
      <c r="D91" s="818" t="s">
        <v>677</v>
      </c>
      <c r="E91" s="895">
        <v>0.2</v>
      </c>
      <c r="F91" s="882">
        <v>30</v>
      </c>
    </row>
    <row r="92" spans="1:6" s="878" customFormat="1" ht="24">
      <c r="A92" s="882">
        <v>32</v>
      </c>
      <c r="B92" s="3370" t="s">
        <v>678</v>
      </c>
      <c r="C92" s="882" t="s">
        <v>679</v>
      </c>
      <c r="D92" s="818" t="s">
        <v>680</v>
      </c>
      <c r="E92" s="895">
        <v>0.2</v>
      </c>
      <c r="F92" s="882">
        <v>30</v>
      </c>
    </row>
    <row r="93" spans="1:6" s="878" customFormat="1" ht="36">
      <c r="A93" s="882">
        <v>33</v>
      </c>
      <c r="B93" s="3370"/>
      <c r="C93" s="882" t="s">
        <v>681</v>
      </c>
      <c r="D93" s="818" t="s">
        <v>682</v>
      </c>
      <c r="E93" s="895">
        <v>0.2</v>
      </c>
      <c r="F93" s="882">
        <v>30</v>
      </c>
    </row>
    <row r="94" spans="1:6" s="878" customFormat="1" ht="48">
      <c r="A94" s="882">
        <v>34</v>
      </c>
      <c r="B94" s="3370"/>
      <c r="C94" s="882" t="s">
        <v>683</v>
      </c>
      <c r="D94" s="818" t="s">
        <v>684</v>
      </c>
      <c r="E94" s="895">
        <v>0.2</v>
      </c>
      <c r="F94" s="882">
        <v>30</v>
      </c>
    </row>
    <row r="95" spans="1:6" s="878" customFormat="1" ht="36">
      <c r="A95" s="882">
        <v>35</v>
      </c>
      <c r="B95" s="3370"/>
      <c r="C95" s="882" t="s">
        <v>685</v>
      </c>
      <c r="D95" s="818" t="s">
        <v>686</v>
      </c>
      <c r="E95" s="895">
        <v>0.2</v>
      </c>
      <c r="F95" s="882">
        <v>30</v>
      </c>
    </row>
    <row r="96" spans="1:6" s="878" customFormat="1" ht="48">
      <c r="A96" s="882">
        <v>36</v>
      </c>
      <c r="B96" s="3370"/>
      <c r="C96" s="818" t="s">
        <v>687</v>
      </c>
      <c r="D96" s="818" t="s">
        <v>688</v>
      </c>
      <c r="E96" s="895">
        <v>0.2</v>
      </c>
      <c r="F96" s="882">
        <v>30</v>
      </c>
    </row>
    <row r="97" spans="1:6" s="878" customFormat="1" ht="36">
      <c r="A97" s="882">
        <v>37</v>
      </c>
      <c r="B97" s="3370"/>
      <c r="C97" s="882" t="s">
        <v>689</v>
      </c>
      <c r="D97" s="818" t="s">
        <v>690</v>
      </c>
      <c r="E97" s="895">
        <v>0.2</v>
      </c>
      <c r="F97" s="882">
        <v>30</v>
      </c>
    </row>
    <row r="98" spans="1:6" s="878" customFormat="1" ht="36">
      <c r="A98" s="882">
        <v>38</v>
      </c>
      <c r="B98" s="3370"/>
      <c r="C98" s="882" t="s">
        <v>691</v>
      </c>
      <c r="D98" s="818" t="s">
        <v>692</v>
      </c>
      <c r="E98" s="895">
        <v>0.2</v>
      </c>
      <c r="F98" s="882">
        <v>30</v>
      </c>
    </row>
    <row r="99" spans="1:6" s="878" customFormat="1" ht="36">
      <c r="A99" s="882">
        <v>39</v>
      </c>
      <c r="B99" s="3370" t="s">
        <v>693</v>
      </c>
      <c r="C99" s="882" t="s">
        <v>694</v>
      </c>
      <c r="D99" s="818" t="s">
        <v>695</v>
      </c>
      <c r="E99" s="895">
        <v>0.3</v>
      </c>
      <c r="F99" s="882">
        <v>50</v>
      </c>
    </row>
    <row r="100" spans="1:6" s="878" customFormat="1" ht="24">
      <c r="A100" s="882">
        <v>40</v>
      </c>
      <c r="B100" s="3370"/>
      <c r="C100" s="882" t="s">
        <v>696</v>
      </c>
      <c r="D100" s="818" t="s">
        <v>697</v>
      </c>
      <c r="E100" s="895">
        <v>0.2</v>
      </c>
      <c r="F100" s="882">
        <v>30</v>
      </c>
    </row>
    <row r="101" spans="1:6" s="878" customFormat="1" ht="36">
      <c r="A101" s="882">
        <v>41</v>
      </c>
      <c r="B101" s="33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0" t="s">
        <v>708</v>
      </c>
      <c r="C105" s="882" t="s">
        <v>709</v>
      </c>
      <c r="D105" s="818" t="s">
        <v>710</v>
      </c>
      <c r="E105" s="895">
        <v>0.2</v>
      </c>
      <c r="F105" s="882">
        <v>30</v>
      </c>
    </row>
    <row r="106" spans="1:6" s="878" customFormat="1" ht="36">
      <c r="A106" s="882">
        <v>46</v>
      </c>
      <c r="B106" s="3370"/>
      <c r="C106" s="882" t="s">
        <v>711</v>
      </c>
      <c r="D106" s="818" t="s">
        <v>712</v>
      </c>
      <c r="E106" s="895">
        <v>0.2</v>
      </c>
      <c r="F106" s="882">
        <v>30</v>
      </c>
    </row>
    <row r="107" spans="1:6" s="878" customFormat="1" ht="36">
      <c r="A107" s="882">
        <v>47</v>
      </c>
      <c r="B107" s="3370" t="s">
        <v>713</v>
      </c>
      <c r="C107" s="882" t="s">
        <v>714</v>
      </c>
      <c r="D107" s="818" t="s">
        <v>715</v>
      </c>
      <c r="E107" s="895">
        <v>0.3</v>
      </c>
      <c r="F107" s="882">
        <v>50</v>
      </c>
    </row>
    <row r="108" spans="1:6" s="878" customFormat="1" ht="36">
      <c r="A108" s="882">
        <v>48</v>
      </c>
      <c r="B108" s="33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0" t="s">
        <v>724</v>
      </c>
      <c r="C111" s="882" t="s">
        <v>725</v>
      </c>
      <c r="D111" s="818" t="s">
        <v>726</v>
      </c>
      <c r="E111" s="895">
        <v>0.2</v>
      </c>
      <c r="F111" s="882">
        <v>30</v>
      </c>
    </row>
    <row r="112" spans="1:6" s="878" customFormat="1" ht="24">
      <c r="A112" s="882">
        <v>52</v>
      </c>
      <c r="B112" s="3370"/>
      <c r="C112" s="882" t="s">
        <v>727</v>
      </c>
      <c r="D112" s="818" t="s">
        <v>728</v>
      </c>
      <c r="E112" s="895">
        <v>0.2</v>
      </c>
      <c r="F112" s="882">
        <v>30</v>
      </c>
    </row>
    <row r="113" spans="1:6" s="878" customFormat="1" ht="24">
      <c r="A113" s="882">
        <v>53</v>
      </c>
      <c r="B113" s="33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0" t="s">
        <v>737</v>
      </c>
      <c r="C116" s="882" t="s">
        <v>738</v>
      </c>
      <c r="D116" s="818" t="s">
        <v>739</v>
      </c>
      <c r="E116" s="895">
        <v>0.2</v>
      </c>
      <c r="F116" s="882">
        <v>30</v>
      </c>
    </row>
    <row r="117" spans="1:6" ht="36">
      <c r="A117" s="882">
        <v>57</v>
      </c>
      <c r="B117" s="33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73">
        <f ca="1">SUMIF(INDIRECT("'"&amp;A6&amp;"'"&amp;"!C:C"),"建筑面积",INDIRECT("'"&amp;A6&amp;"'"&amp;"!D:D"))</f>
        <v>0</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76" t="s">
        <v>1146</v>
      </c>
      <c r="C1" s="3376"/>
      <c r="D1" s="3376"/>
      <c r="E1" s="3376"/>
      <c r="F1" s="3376"/>
      <c r="G1" s="3372" t="s">
        <v>1147</v>
      </c>
      <c r="H1" s="3372"/>
      <c r="I1" s="3372"/>
      <c r="J1" s="3372"/>
      <c r="K1" s="3372"/>
      <c r="L1" s="3372"/>
      <c r="N1" s="3372" t="s">
        <v>1148</v>
      </c>
      <c r="O1" s="3372"/>
      <c r="P1" s="3372"/>
      <c r="Q1" s="3372"/>
      <c r="R1" s="1445"/>
      <c r="S1" s="3372" t="s">
        <v>1149</v>
      </c>
      <c r="T1" s="3372"/>
      <c r="U1" s="3372"/>
      <c r="V1" s="3372"/>
      <c r="X1" s="3371" t="s">
        <v>1150</v>
      </c>
      <c r="Y1" s="3372"/>
      <c r="Z1" s="3372"/>
      <c r="AA1" s="3372"/>
      <c r="AB1" s="3372"/>
      <c r="AD1" s="3371" t="s">
        <v>1151</v>
      </c>
      <c r="AE1" s="3372"/>
      <c r="AF1" s="3372"/>
      <c r="AG1" s="3372"/>
      <c r="AH1" s="337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3030</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3047</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5">
        <v>2019</v>
      </c>
      <c r="H5" s="1728">
        <v>3</v>
      </c>
      <c r="I5" s="2912">
        <v>0</v>
      </c>
      <c r="J5" s="2912">
        <v>0</v>
      </c>
      <c r="K5" s="2912">
        <v>0</v>
      </c>
      <c r="L5" s="2912">
        <v>0</v>
      </c>
      <c r="N5" s="1466">
        <f>I5/100</f>
        <v>0</v>
      </c>
      <c r="O5" s="1466">
        <f t="shared" ref="O5" si="7">J5/100</f>
        <v>0</v>
      </c>
      <c r="P5" s="1466">
        <f t="shared" ref="P5" si="8">K5/100</f>
        <v>0</v>
      </c>
      <c r="Q5" s="1466">
        <f t="shared" ref="Q5" si="9">L5/100</f>
        <v>0</v>
      </c>
      <c r="R5" s="1730"/>
      <c r="S5" s="1731"/>
      <c r="T5" s="1730"/>
      <c r="U5" s="1730"/>
      <c r="V5" s="1730"/>
      <c r="W5" s="2915" t="s">
        <v>3031</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3046</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69">
        <v>1.53</v>
      </c>
      <c r="J6" s="2969">
        <v>1.01</v>
      </c>
      <c r="K6" s="2969">
        <v>1.62</v>
      </c>
      <c r="L6" s="2970">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5" customFormat="1" ht="13.5" thickBot="1">
      <c r="A7" s="1460" t="s">
        <v>3043</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5" customFormat="1">
      <c r="A8" s="1460" t="s">
        <v>3048</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7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5" customFormat="1" ht="14.45" customHeight="1">
      <c r="A9" s="1460" t="s">
        <v>3037</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7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5" customFormat="1" ht="14.45" customHeight="1">
      <c r="A10" s="1460" t="s">
        <v>3036</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7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5" customFormat="1" ht="15" customHeight="1" thickBot="1">
      <c r="A11" s="1460" t="s">
        <v>3029</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81"/>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60" t="s">
        <v>3026</v>
      </c>
      <c r="B12" s="1468">
        <v>439</v>
      </c>
      <c r="C12" s="1468">
        <v>327</v>
      </c>
      <c r="D12" s="1468">
        <f>C12</f>
        <v>327</v>
      </c>
      <c r="E12" s="1468">
        <v>627</v>
      </c>
      <c r="F12" s="1469">
        <v>283</v>
      </c>
      <c r="G12" s="3377">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3027</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7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7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81"/>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C16</f>
        <v>302</v>
      </c>
      <c r="E16" s="1468">
        <v>553</v>
      </c>
      <c r="F16" s="1469">
        <v>266</v>
      </c>
      <c r="G16" s="3377">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7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7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7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37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7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7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7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37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7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7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7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60" t="s">
        <v>1159</v>
      </c>
      <c r="B28" s="1468">
        <v>299</v>
      </c>
      <c r="C28" s="1468">
        <v>252</v>
      </c>
      <c r="D28" s="1468">
        <f t="shared" si="97"/>
        <v>252</v>
      </c>
      <c r="E28" s="1468">
        <v>409</v>
      </c>
      <c r="F28" s="1469">
        <v>227</v>
      </c>
      <c r="G28" s="3378">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79"/>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79"/>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80"/>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37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7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7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37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37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7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7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7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37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7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7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7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37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7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7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7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37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7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7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7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37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7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7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7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37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7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7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7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37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7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7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7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37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7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7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7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373">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74">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74">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375">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373">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74">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74">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375">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383" t="s">
        <v>2998</v>
      </c>
      <c r="D1" s="3384"/>
      <c r="E1" s="3384"/>
      <c r="F1" s="3384"/>
      <c r="G1" s="3384"/>
      <c r="H1" s="3384"/>
      <c r="I1" s="3384"/>
      <c r="J1" s="3384"/>
      <c r="K1" s="3384"/>
      <c r="L1" s="3384"/>
      <c r="M1" s="3384"/>
      <c r="N1" s="3384"/>
      <c r="O1" s="3384"/>
      <c r="P1" s="3384"/>
      <c r="Q1" s="3384"/>
      <c r="R1" s="3384"/>
      <c r="S1" s="3385"/>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3001</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3002</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3003</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3007</v>
      </c>
      <c r="B17" s="2907"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3009</v>
      </c>
      <c r="E19" s="1790"/>
      <c r="F19" s="1790"/>
      <c r="G19" s="1790"/>
      <c r="H19" s="1280"/>
      <c r="I19" s="168"/>
      <c r="J19" s="168"/>
      <c r="K19" s="168"/>
      <c r="L19" s="168"/>
      <c r="M19" s="168"/>
      <c r="N19" s="168"/>
      <c r="O19" s="168"/>
      <c r="P19" s="168"/>
      <c r="Q19" s="168"/>
      <c r="R19" s="788"/>
      <c r="S19" s="138"/>
    </row>
    <row r="20" spans="1:45" ht="16.5" thickBot="1">
      <c r="A20" s="715" t="s">
        <v>3010</v>
      </c>
      <c r="B20" s="338" t="e">
        <f ca="1">IF(D20="——",S22,S22-F20)</f>
        <v>#REF!</v>
      </c>
      <c r="C20" s="168"/>
      <c r="D20" s="2909" t="s">
        <v>3011</v>
      </c>
      <c r="E20" s="1791"/>
      <c r="F20" s="1204" t="e">
        <f ca="1">SUMIF(INDIRECT("'"&amp;H20&amp;"'"&amp;"!A:A"),"承租人权益价值",INDIRECT("'"&amp;H20&amp;"'"&amp;"!c:c"))</f>
        <v>#REF!</v>
      </c>
      <c r="G20" s="1204" t="s">
        <v>3012</v>
      </c>
      <c r="H20" s="2910"/>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58" t="s">
        <v>33</v>
      </c>
      <c r="D22" s="3159"/>
      <c r="E22" s="3159"/>
      <c r="F22" s="3159"/>
      <c r="G22" s="3159"/>
      <c r="H22" s="3159"/>
      <c r="I22" s="3159"/>
      <c r="J22" s="3159"/>
      <c r="K22" s="3159"/>
      <c r="L22" s="3159"/>
      <c r="M22" s="3159"/>
      <c r="N22" s="3159"/>
      <c r="O22" s="3159"/>
      <c r="P22" s="3159"/>
      <c r="Q22" s="338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30"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37091</v>
      </c>
      <c r="C2" s="2" t="s">
        <v>133</v>
      </c>
      <c r="D2" s="243"/>
      <c r="E2" s="243"/>
      <c r="F2" s="243"/>
      <c r="G2" s="243"/>
    </row>
    <row r="3" spans="1:7" s="244" customFormat="1" ht="18" customHeight="1" thickBot="1">
      <c r="A3" s="247" t="s">
        <v>85</v>
      </c>
      <c r="B3" s="248">
        <f ca="1">ROUND(B2*10000/'数据-汇总表'!E3,0)</f>
        <v>34436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30</v>
      </c>
      <c r="F9" s="265"/>
      <c r="G9" s="270"/>
    </row>
    <row r="10" spans="1:7" s="258" customFormat="1" ht="13.5" customHeight="1">
      <c r="A10" s="950" t="s">
        <v>801</v>
      </c>
      <c r="B10" s="268" t="s">
        <v>94</v>
      </c>
      <c r="C10" s="269">
        <f>ROUND(D10*E10/10000,0)</f>
        <v>32</v>
      </c>
      <c r="D10" s="1032">
        <f>'数据-汇总表'!E6</f>
        <v>10771.04</v>
      </c>
      <c r="E10" s="269">
        <f>'数据-取费表'!B28</f>
        <v>30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215</v>
      </c>
      <c r="D19" s="1036">
        <f>'数据-汇总表'!E3</f>
        <v>10771.04</v>
      </c>
      <c r="E19" s="255">
        <f>'数据-取费表'!B31</f>
        <v>200</v>
      </c>
      <c r="F19" s="275"/>
      <c r="G19" s="1" t="s">
        <v>1071</v>
      </c>
    </row>
    <row r="20" spans="1:7" s="258" customFormat="1" ht="13.5" customHeight="1">
      <c r="A20" s="948" t="s">
        <v>1054</v>
      </c>
      <c r="B20" s="254" t="s">
        <v>104</v>
      </c>
      <c r="C20" s="276">
        <f>ROUND((C5+C19)*F20,0)</f>
        <v>417</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2045</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21</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2549</v>
      </c>
      <c r="D27" s="279">
        <f>C29</f>
        <v>3.5999999999999999E-3</v>
      </c>
      <c r="E27" s="280" t="s">
        <v>126</v>
      </c>
      <c r="F27" s="290">
        <f>'数据-取费表'!Q16</f>
        <v>0.12</v>
      </c>
      <c r="G27" s="291" t="s">
        <v>1066</v>
      </c>
    </row>
    <row r="28" spans="1:7" s="258" customFormat="1" ht="13.5" customHeight="1">
      <c r="A28" s="951" t="s">
        <v>794</v>
      </c>
      <c r="B28" s="292" t="s">
        <v>1059</v>
      </c>
      <c r="C28" s="293">
        <f>ROUND((C5+C19+C20)*F27*'数据-取费表'!B21/'数据-取费表'!B20,0)</f>
        <v>2549</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28339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6836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6336</v>
      </c>
      <c r="D34" s="261"/>
      <c r="E34" s="264"/>
      <c r="F34" s="301">
        <f>IF('数据-取费表'!B24=0,1,'数据-取费表'!N16)</f>
        <v>1</v>
      </c>
      <c r="G34" s="263" t="s">
        <v>116</v>
      </c>
    </row>
    <row r="35" spans="1:7" ht="13.5" customHeight="1">
      <c r="A35" s="951" t="s">
        <v>796</v>
      </c>
      <c r="B35" s="259" t="s">
        <v>60</v>
      </c>
      <c r="C35" s="264">
        <f>ROUND(C34*F35,0)</f>
        <v>190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215</v>
      </c>
      <c r="D37" s="261">
        <f>'数据-汇总表'!E3</f>
        <v>10771.04</v>
      </c>
      <c r="E37" s="293">
        <f>'数据-取费表'!B35</f>
        <v>200</v>
      </c>
      <c r="F37" s="303"/>
      <c r="G37" s="305" t="s">
        <v>119</v>
      </c>
    </row>
    <row r="38" spans="1:7" ht="13.5" customHeight="1">
      <c r="A38" s="951" t="s">
        <v>799</v>
      </c>
      <c r="B38" s="259" t="s">
        <v>63</v>
      </c>
      <c r="C38" s="264">
        <f>ROUND(C34*F38,0)</f>
        <v>95</v>
      </c>
      <c r="D38" s="264"/>
      <c r="E38" s="264"/>
      <c r="F38" s="303">
        <f>'数据-取费表'!B36</f>
        <v>1.4999999999999999E-2</v>
      </c>
      <c r="G38" s="263" t="s">
        <v>117</v>
      </c>
    </row>
    <row r="39" spans="1:7" s="258" customFormat="1" ht="13.5" customHeight="1">
      <c r="A39" s="948" t="s">
        <v>783</v>
      </c>
      <c r="B39" s="254" t="s">
        <v>104</v>
      </c>
      <c r="C39" s="276">
        <f>ROUND(C33*F20,0)</f>
        <v>137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332</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325</v>
      </c>
      <c r="D42" s="282"/>
      <c r="E42" s="282"/>
      <c r="F42" s="283"/>
      <c r="G42" s="3247" t="s">
        <v>121</v>
      </c>
    </row>
    <row r="43" spans="1:7" ht="13.5" customHeight="1">
      <c r="A43" s="951" t="s">
        <v>792</v>
      </c>
      <c r="B43" s="259" t="s">
        <v>1061</v>
      </c>
      <c r="C43" s="282">
        <f ca="1">ROUND(IF('数据-取费表'!B22&lt;=1,C39*F22*'数据-取费表'!B21/2,C39*(POWER((1+F22),'数据-取费表'!B21/2)-1)),0)</f>
        <v>7</v>
      </c>
      <c r="D43" s="282"/>
      <c r="E43" s="282"/>
      <c r="F43" s="283"/>
      <c r="G43" s="3248"/>
    </row>
    <row r="44" spans="1:7" ht="13.5" customHeight="1">
      <c r="A44" s="951" t="s">
        <v>793</v>
      </c>
      <c r="B44" s="259" t="s">
        <v>1063</v>
      </c>
      <c r="C44" s="282">
        <f ca="1">ROUND(IF('数据-取费表'!B22&lt;=1,C40*F22*'数据-取费表'!B21/2,C40*(POWER((1+F22),'数据-取费表'!B21/2)-1)),4)</f>
        <v>1.4E-3</v>
      </c>
      <c r="D44" s="282"/>
      <c r="E44" s="282"/>
      <c r="F44" s="283"/>
      <c r="G44" s="3249"/>
    </row>
    <row r="45" spans="1:7" s="258" customFormat="1" ht="13.5" customHeight="1">
      <c r="A45" s="948" t="s">
        <v>786</v>
      </c>
      <c r="B45" s="288" t="s">
        <v>112</v>
      </c>
      <c r="C45" s="289">
        <f>C46</f>
        <v>837</v>
      </c>
      <c r="D45" s="279">
        <f>C47</f>
        <v>3.5999999999999999E-3</v>
      </c>
      <c r="E45" s="280" t="s">
        <v>129</v>
      </c>
      <c r="F45" s="290"/>
      <c r="G45" s="291" t="s">
        <v>1069</v>
      </c>
    </row>
    <row r="46" spans="1:7" s="258" customFormat="1" ht="13.5" customHeight="1">
      <c r="A46" s="951" t="s">
        <v>794</v>
      </c>
      <c r="B46" s="292" t="s">
        <v>1062</v>
      </c>
      <c r="C46" s="293">
        <f>ROUND((C33+C39)*F27,0)</f>
        <v>837</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8931</v>
      </c>
      <c r="D49" s="276"/>
      <c r="E49" s="276"/>
      <c r="F49" s="308"/>
      <c r="G49" s="278" t="s">
        <v>1070</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8752</v>
      </c>
      <c r="D51" s="276"/>
      <c r="E51" s="276"/>
      <c r="F51" s="308"/>
      <c r="G51" s="278" t="s">
        <v>64</v>
      </c>
    </row>
    <row r="52" spans="1:7" s="252" customFormat="1" ht="16.5" thickBot="1">
      <c r="A52" s="309" t="s">
        <v>65</v>
      </c>
      <c r="B52" s="310"/>
      <c r="C52" s="311">
        <f ca="1">C31+C51</f>
        <v>37091</v>
      </c>
      <c r="D52" s="310"/>
      <c r="E52" s="310"/>
      <c r="F52" s="310"/>
      <c r="G52" s="312"/>
    </row>
    <row r="55" spans="1:7" ht="15">
      <c r="B55" s="314" t="s">
        <v>66</v>
      </c>
      <c r="C55" s="315"/>
    </row>
    <row r="56" spans="1:7">
      <c r="B56" s="317" t="s">
        <v>67</v>
      </c>
      <c r="C56" s="318">
        <f ca="1">ROUND(C51/C52,3)</f>
        <v>0.23599999999999999</v>
      </c>
    </row>
    <row r="57" spans="1:7">
      <c r="B57" s="317" t="s">
        <v>68</v>
      </c>
      <c r="C57" s="319">
        <f ca="1">1-C56</f>
        <v>0.76400000000000001</v>
      </c>
    </row>
  </sheetData>
  <mergeCells count="1">
    <mergeCell ref="G42:G44"/>
  </mergeCells>
  <phoneticPr fontId="23"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1636</v>
      </c>
      <c r="B2" s="3061" t="s">
        <v>1637</v>
      </c>
      <c r="C2" s="3061" t="s">
        <v>1638</v>
      </c>
      <c r="D2" s="3061" t="str">
        <f>'结果表（四羊方尊）'!D116</f>
        <v>出让国有建设用地使用权价值</v>
      </c>
      <c r="E2" s="3061"/>
      <c r="F2" s="3061" t="str">
        <f>'结果表（四羊方尊）'!F116</f>
        <v>建筑物价值</v>
      </c>
      <c r="G2" s="3061"/>
      <c r="H2" s="3061" t="str">
        <f>IF(项目基本情况!B9="房地产市场价值","房地产市场价值","房地产价值")</f>
        <v>房地产价值</v>
      </c>
      <c r="I2" s="3061"/>
    </row>
    <row r="3" spans="1:9" ht="15">
      <c r="A3" s="3062"/>
      <c r="B3" s="3062"/>
      <c r="C3" s="3062"/>
      <c r="D3" s="1044" t="s">
        <v>1633</v>
      </c>
      <c r="E3" s="1044" t="s">
        <v>1639</v>
      </c>
      <c r="F3" s="1044" t="s">
        <v>1633</v>
      </c>
      <c r="G3" s="1044" t="s">
        <v>1634</v>
      </c>
      <c r="H3" s="1044" t="s">
        <v>1633</v>
      </c>
      <c r="I3" s="1044" t="s">
        <v>1634</v>
      </c>
    </row>
    <row r="4" spans="1:9" ht="45">
      <c r="A4" s="1970" t="str">
        <f>项目基本情况!S2</f>
        <v>贵州省遵义市仁怀市盐津街道办事处城南社区酒都广场局部房地产房地产</v>
      </c>
      <c r="B4" s="1044">
        <f>项目基本情况!C17</f>
        <v>10771.04</v>
      </c>
      <c r="C4" s="1044">
        <f>项目基本情况!C18</f>
        <v>0</v>
      </c>
      <c r="D4" s="1044">
        <f ca="1">'结果表（四羊方尊）'!D118</f>
        <v>1161</v>
      </c>
      <c r="E4" s="1044">
        <f ca="1">'结果表（四羊方尊）'!E118</f>
        <v>2071</v>
      </c>
      <c r="F4" s="1044">
        <f ca="1">'结果表（四羊方尊）'!F118</f>
        <v>5400</v>
      </c>
      <c r="G4" s="1044">
        <f ca="1">'结果表（四羊方尊）'!G118</f>
        <v>9633</v>
      </c>
      <c r="H4" s="1044">
        <f ca="1">'结果表（四羊方尊）'!H118</f>
        <v>6561</v>
      </c>
      <c r="I4" s="1044">
        <f ca="1">'结果表（四羊方尊）'!I118</f>
        <v>11704</v>
      </c>
    </row>
    <row r="5" spans="1:9" ht="30" customHeight="1">
      <c r="A5" s="3062" t="s">
        <v>1635</v>
      </c>
      <c r="B5" s="3062"/>
      <c r="C5" s="3062"/>
      <c r="D5" s="3063" t="str">
        <f ca="1">'结果表（四羊方尊）'!D119</f>
        <v>壹仟壹佰陆拾壹万元整</v>
      </c>
      <c r="E5" s="3063"/>
      <c r="F5" s="3063" t="str">
        <f ca="1">'结果表（四羊方尊）'!F119</f>
        <v>伍仟肆佰万元整</v>
      </c>
      <c r="G5" s="3063"/>
      <c r="H5" s="3063" t="str">
        <f ca="1">'结果表（四羊方尊）'!H119</f>
        <v>陆仟伍佰陆拾壹万元整</v>
      </c>
      <c r="I5" s="3063"/>
    </row>
    <row r="6" spans="1:9" ht="15.75">
      <c r="A6" s="3064" t="str">
        <f>'结果表（四羊方尊）'!A120</f>
        <v>估价师知悉的法定优先受偿款</v>
      </c>
      <c r="B6" s="3064"/>
      <c r="C6" s="3064"/>
      <c r="D6" s="3064">
        <f>'结果表（四羊方尊）'!D120</f>
        <v>0</v>
      </c>
      <c r="E6" s="3064"/>
      <c r="F6" s="3064"/>
      <c r="G6" s="3064"/>
      <c r="H6" s="3064"/>
      <c r="I6" s="3064"/>
    </row>
    <row r="7" spans="1:9" ht="15">
      <c r="A7" s="3062" t="s">
        <v>1635</v>
      </c>
      <c r="B7" s="3062"/>
      <c r="C7" s="3062"/>
      <c r="D7" s="3065" t="str">
        <f>'结果表（四羊方尊）'!D121</f>
        <v>零元整</v>
      </c>
      <c r="E7" s="3066"/>
      <c r="F7" s="3066"/>
      <c r="G7" s="3066"/>
      <c r="H7" s="3066"/>
      <c r="I7" s="3067"/>
    </row>
    <row r="8" spans="1:9" ht="15.75">
      <c r="A8" s="3064" t="str">
        <f>'结果表（四羊方尊）'!A122</f>
        <v>房地产抵押价值</v>
      </c>
      <c r="B8" s="3064"/>
      <c r="C8" s="3064"/>
      <c r="D8" s="3064">
        <f ca="1">'结果表（四羊方尊）'!D122</f>
        <v>6561</v>
      </c>
      <c r="E8" s="3064"/>
      <c r="F8" s="3064"/>
      <c r="G8" s="3064"/>
      <c r="H8" s="3064"/>
      <c r="I8" s="3064"/>
    </row>
    <row r="9" spans="1:9" ht="15">
      <c r="A9" s="3062" t="s">
        <v>1635</v>
      </c>
      <c r="B9" s="3062"/>
      <c r="C9" s="3062"/>
      <c r="D9" s="3063" t="str">
        <f ca="1">'结果表（四羊方尊）'!D123</f>
        <v>陆仟伍佰陆拾壹万元整</v>
      </c>
      <c r="E9" s="3063"/>
      <c r="F9" s="3063"/>
      <c r="G9" s="3063"/>
      <c r="H9" s="3063"/>
      <c r="I9" s="3063"/>
    </row>
    <row r="10" spans="1:9" ht="15.75">
      <c r="A10" s="3064" t="str">
        <f>'结果表（四羊方尊）'!A124</f>
        <v/>
      </c>
      <c r="B10" s="3064"/>
      <c r="C10" s="3064"/>
      <c r="D10" s="3064" t="str">
        <f>'结果表（四羊方尊）'!D124</f>
        <v>——</v>
      </c>
      <c r="E10" s="3064"/>
      <c r="F10" s="3064"/>
      <c r="G10" s="3064"/>
      <c r="H10" s="3064"/>
      <c r="I10" s="3064"/>
    </row>
    <row r="11" spans="1:9" ht="15">
      <c r="A11" s="3062" t="s">
        <v>1635</v>
      </c>
      <c r="B11" s="3062"/>
      <c r="C11" s="3062"/>
      <c r="D11" s="3063" t="e">
        <f>'结果表（四羊方尊）'!D125</f>
        <v>#VALUE!</v>
      </c>
      <c r="E11" s="3063"/>
      <c r="F11" s="3063"/>
      <c r="G11" s="3063"/>
      <c r="H11" s="3063"/>
      <c r="I11" s="3063"/>
    </row>
    <row r="12" spans="1:9" ht="15.75">
      <c r="A12" s="3064" t="str">
        <f>'结果表（四羊方尊）'!A126</f>
        <v/>
      </c>
      <c r="B12" s="3064"/>
      <c r="C12" s="3064"/>
      <c r="D12" s="3064" t="str">
        <f>'结果表（四羊方尊）'!D126</f>
        <v>——</v>
      </c>
      <c r="E12" s="3064"/>
      <c r="F12" s="3064"/>
      <c r="G12" s="3064"/>
      <c r="H12" s="3064"/>
      <c r="I12" s="3064"/>
    </row>
    <row r="13" spans="1:9" ht="15.75" thickBot="1">
      <c r="A13" s="3068" t="s">
        <v>1635</v>
      </c>
      <c r="B13" s="3068"/>
      <c r="C13" s="3068"/>
      <c r="D13" s="3069" t="e">
        <f>'结果表（四羊方尊）'!D127</f>
        <v>#VALUE!</v>
      </c>
      <c r="E13" s="3069"/>
      <c r="F13" s="3069"/>
      <c r="G13" s="3069"/>
      <c r="H13" s="3069"/>
      <c r="I13" s="3069"/>
    </row>
    <row r="14" spans="1:9" ht="15" thickTop="1">
      <c r="A14" s="3070" t="s">
        <v>1640</v>
      </c>
      <c r="B14" s="3070"/>
      <c r="C14" s="3070"/>
      <c r="D14" s="3070"/>
      <c r="E14" s="3070"/>
      <c r="F14" s="3070"/>
      <c r="G14" s="3070"/>
      <c r="H14" s="3070"/>
      <c r="I14" s="3070"/>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6" t="s">
        <v>156</v>
      </c>
      <c r="B1" s="3386"/>
      <c r="C1" s="3386"/>
      <c r="D1" s="3386"/>
      <c r="E1" s="3386"/>
      <c r="F1" s="33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7" t="s">
        <v>169</v>
      </c>
      <c r="B2" s="3387"/>
      <c r="C2" s="3387"/>
      <c r="D2" s="3387"/>
      <c r="E2" s="3387"/>
      <c r="F2" s="33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6" t="s">
        <v>868</v>
      </c>
      <c r="B1" s="33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10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E1" workbookViewId="0">
      <selection activeCell="I16" sqref="I16"/>
    </sheetView>
  </sheetViews>
  <sheetFormatPr defaultRowHeight="13.5"/>
  <cols>
    <col min="1" max="4" width="0" hidden="1" customWidth="1"/>
    <col min="5" max="5" width="26.75" customWidth="1"/>
    <col min="6" max="6" width="0" hidden="1" customWidth="1"/>
    <col min="7" max="7" width="33" customWidth="1"/>
    <col min="8" max="8" width="13.625" customWidth="1"/>
    <col min="9" max="11" width="18" customWidth="1"/>
    <col min="12" max="12" width="11.125" customWidth="1"/>
    <col min="13" max="13" width="0" hidden="1" customWidth="1"/>
    <col min="14" max="14" width="40.25" customWidth="1"/>
    <col min="15" max="17" width="16.875" customWidth="1"/>
    <col min="21" max="21" width="23.5" customWidth="1"/>
  </cols>
  <sheetData>
    <row r="1" spans="1:23">
      <c r="A1" s="2985" t="s">
        <v>3126</v>
      </c>
      <c r="B1" s="2985" t="s">
        <v>3127</v>
      </c>
      <c r="C1" s="2985" t="s">
        <v>3128</v>
      </c>
      <c r="D1" s="2985" t="s">
        <v>3129</v>
      </c>
      <c r="E1" s="2985" t="s">
        <v>3130</v>
      </c>
      <c r="F1" s="2985" t="s">
        <v>3131</v>
      </c>
      <c r="G1" s="2985" t="s">
        <v>3132</v>
      </c>
      <c r="H1" s="2985" t="s">
        <v>3133</v>
      </c>
      <c r="I1" s="2985" t="s">
        <v>3134</v>
      </c>
      <c r="J1" s="2985" t="s">
        <v>3135</v>
      </c>
      <c r="K1" s="2985" t="s">
        <v>3136</v>
      </c>
      <c r="L1" s="2985" t="s">
        <v>3137</v>
      </c>
      <c r="M1" s="2985" t="s">
        <v>3138</v>
      </c>
      <c r="N1" s="2985" t="s">
        <v>3139</v>
      </c>
      <c r="O1" s="2985" t="s">
        <v>3140</v>
      </c>
      <c r="P1" s="2985" t="s">
        <v>3141</v>
      </c>
      <c r="Q1" s="2985" t="s">
        <v>3142</v>
      </c>
      <c r="R1" s="2985" t="s">
        <v>3143</v>
      </c>
      <c r="S1" s="2985" t="s">
        <v>3144</v>
      </c>
      <c r="T1" s="2985" t="s">
        <v>3145</v>
      </c>
      <c r="U1" s="3023" t="s">
        <v>3382</v>
      </c>
    </row>
    <row r="2" spans="1:23">
      <c r="A2" s="2985" t="s">
        <v>3146</v>
      </c>
      <c r="B2" s="2985" t="s">
        <v>3147</v>
      </c>
      <c r="C2" s="2985" t="s">
        <v>3148</v>
      </c>
      <c r="D2" s="2985" t="s">
        <v>1327</v>
      </c>
      <c r="E2" s="2985" t="s">
        <v>3146</v>
      </c>
      <c r="F2" s="2985" t="s">
        <v>3149</v>
      </c>
      <c r="G2" s="2985" t="s">
        <v>3150</v>
      </c>
      <c r="H2" s="2985" t="s">
        <v>3151</v>
      </c>
      <c r="I2" s="2985">
        <v>52010</v>
      </c>
      <c r="J2" s="2985">
        <v>83216</v>
      </c>
      <c r="K2" s="2985" t="s">
        <v>3152</v>
      </c>
      <c r="L2" s="2985" t="s">
        <v>3153</v>
      </c>
      <c r="M2" s="2985" t="s">
        <v>3154</v>
      </c>
      <c r="N2" s="2985" t="s">
        <v>3155</v>
      </c>
      <c r="O2" s="2985">
        <v>8015</v>
      </c>
      <c r="P2" s="2985">
        <v>102.74</v>
      </c>
      <c r="Q2" s="2985">
        <v>963.15</v>
      </c>
      <c r="R2" s="2985">
        <v>0</v>
      </c>
      <c r="S2" s="2985" t="s">
        <v>3156</v>
      </c>
      <c r="T2" s="2985" t="s">
        <v>3157</v>
      </c>
    </row>
    <row r="3" spans="1:23">
      <c r="A3" s="2985" t="s">
        <v>3146</v>
      </c>
      <c r="B3" s="2985" t="s">
        <v>3147</v>
      </c>
      <c r="C3" s="2985" t="s">
        <v>3148</v>
      </c>
      <c r="D3" s="2985" t="s">
        <v>1327</v>
      </c>
      <c r="E3" s="2985" t="s">
        <v>3146</v>
      </c>
      <c r="F3" s="2985" t="s">
        <v>3149</v>
      </c>
      <c r="G3" s="2985" t="s">
        <v>3158</v>
      </c>
      <c r="H3" s="2985" t="s">
        <v>3151</v>
      </c>
      <c r="I3" s="2985">
        <v>46708</v>
      </c>
      <c r="J3" s="2985">
        <v>102757.6</v>
      </c>
      <c r="K3" s="2985" t="s">
        <v>3159</v>
      </c>
      <c r="L3" s="2985" t="s">
        <v>3153</v>
      </c>
      <c r="M3" s="2985" t="s">
        <v>3154</v>
      </c>
      <c r="N3" s="2985" t="s">
        <v>3155</v>
      </c>
      <c r="O3" s="2985">
        <v>10061</v>
      </c>
      <c r="P3" s="2985">
        <v>143.6</v>
      </c>
      <c r="Q3" s="2985">
        <v>979.1</v>
      </c>
      <c r="R3" s="2985">
        <v>0</v>
      </c>
      <c r="S3" s="2985" t="s">
        <v>3156</v>
      </c>
      <c r="T3" s="2985" t="s">
        <v>3157</v>
      </c>
    </row>
    <row r="4" spans="1:23">
      <c r="A4" s="2985" t="s">
        <v>3146</v>
      </c>
      <c r="B4" s="2985" t="s">
        <v>3147</v>
      </c>
      <c r="C4" s="2985" t="s">
        <v>3148</v>
      </c>
      <c r="D4" s="2985" t="s">
        <v>1327</v>
      </c>
      <c r="E4" s="2985" t="s">
        <v>3146</v>
      </c>
      <c r="F4" s="2985" t="s">
        <v>3149</v>
      </c>
      <c r="G4" s="2985" t="s">
        <v>3160</v>
      </c>
      <c r="H4" s="2985" t="s">
        <v>3151</v>
      </c>
      <c r="I4" s="2985">
        <v>11239.5</v>
      </c>
      <c r="J4" s="2985">
        <v>28098.75</v>
      </c>
      <c r="K4" s="2985" t="s">
        <v>3161</v>
      </c>
      <c r="L4" s="2985" t="s">
        <v>3162</v>
      </c>
      <c r="M4" s="2985" t="s">
        <v>3163</v>
      </c>
      <c r="N4" s="2985" t="s">
        <v>3164</v>
      </c>
      <c r="O4" s="2985">
        <v>1981</v>
      </c>
      <c r="P4" s="2985">
        <v>117.5</v>
      </c>
      <c r="Q4" s="2985">
        <v>705</v>
      </c>
      <c r="R4" s="2985">
        <v>0</v>
      </c>
      <c r="S4" s="2985" t="s">
        <v>3156</v>
      </c>
      <c r="T4" s="2985" t="s">
        <v>3157</v>
      </c>
    </row>
    <row r="5" spans="1:23">
      <c r="A5" s="2985" t="s">
        <v>3165</v>
      </c>
      <c r="B5" s="2985" t="s">
        <v>3147</v>
      </c>
      <c r="C5" s="2985" t="s">
        <v>3148</v>
      </c>
      <c r="D5" s="2985" t="s">
        <v>1327</v>
      </c>
      <c r="E5" s="2985" t="s">
        <v>3165</v>
      </c>
      <c r="F5" s="2985" t="s">
        <v>3149</v>
      </c>
      <c r="G5" s="2985" t="s">
        <v>3166</v>
      </c>
      <c r="H5" s="2985" t="s">
        <v>3167</v>
      </c>
      <c r="I5" s="2985">
        <v>29616.02</v>
      </c>
      <c r="J5" s="2985">
        <v>44424.03</v>
      </c>
      <c r="K5" s="2985" t="s">
        <v>3168</v>
      </c>
      <c r="L5" s="2985" t="s">
        <v>3169</v>
      </c>
      <c r="M5" s="2985" t="s">
        <v>3170</v>
      </c>
      <c r="N5" s="2985" t="s">
        <v>3171</v>
      </c>
      <c r="O5" s="2985">
        <v>3584</v>
      </c>
      <c r="P5" s="2985">
        <v>80.680000000000007</v>
      </c>
      <c r="Q5" s="2985">
        <v>806.76</v>
      </c>
      <c r="R5" s="2985">
        <v>0</v>
      </c>
      <c r="S5" s="2985" t="s">
        <v>3156</v>
      </c>
      <c r="T5" s="2985" t="s">
        <v>3172</v>
      </c>
    </row>
    <row r="6" spans="1:23" s="2991" customFormat="1">
      <c r="A6" s="2990" t="s">
        <v>3173</v>
      </c>
      <c r="B6" s="2990" t="s">
        <v>3147</v>
      </c>
      <c r="C6" s="2990" t="s">
        <v>3148</v>
      </c>
      <c r="D6" s="2990" t="s">
        <v>1327</v>
      </c>
      <c r="E6" s="2992" t="s">
        <v>3381</v>
      </c>
      <c r="F6" s="2990" t="s">
        <v>3149</v>
      </c>
      <c r="G6" s="2990" t="s">
        <v>3174</v>
      </c>
      <c r="H6" s="2990" t="s">
        <v>3151</v>
      </c>
      <c r="I6" s="2990">
        <v>15093.97</v>
      </c>
      <c r="J6" s="2990">
        <v>33055.79</v>
      </c>
      <c r="K6" s="2990" t="s">
        <v>3175</v>
      </c>
      <c r="L6" s="2990" t="s">
        <v>3176</v>
      </c>
      <c r="M6" s="2990" t="s">
        <v>3177</v>
      </c>
      <c r="N6" s="2992" t="s">
        <v>3380</v>
      </c>
      <c r="O6" s="2990">
        <v>6026</v>
      </c>
      <c r="P6" s="2990">
        <v>266.14999999999998</v>
      </c>
      <c r="Q6" s="2990">
        <v>1822.98</v>
      </c>
      <c r="R6" s="2990">
        <v>0</v>
      </c>
      <c r="S6" s="2990" t="s">
        <v>3156</v>
      </c>
      <c r="T6" s="2990" t="s">
        <v>3179</v>
      </c>
      <c r="U6" s="2991">
        <v>14597</v>
      </c>
      <c r="V6" s="2991">
        <f t="shared" ref="V6:V12" si="0">O6+U6</f>
        <v>20623</v>
      </c>
      <c r="W6" s="2991">
        <f t="shared" ref="W6:W12" si="1">ROUNDDOWN(V6*10000/J6,0)</f>
        <v>6238</v>
      </c>
    </row>
    <row r="7" spans="1:23" s="2989" customFormat="1">
      <c r="A7" s="2988" t="s">
        <v>3180</v>
      </c>
      <c r="B7" s="2988" t="s">
        <v>3147</v>
      </c>
      <c r="C7" s="2988" t="s">
        <v>3148</v>
      </c>
      <c r="D7" s="2988" t="s">
        <v>1327</v>
      </c>
      <c r="E7" s="2988" t="s">
        <v>3180</v>
      </c>
      <c r="F7" s="2988" t="s">
        <v>3149</v>
      </c>
      <c r="G7" s="2988" t="s">
        <v>3181</v>
      </c>
      <c r="H7" s="2988" t="s">
        <v>3151</v>
      </c>
      <c r="I7" s="2988">
        <v>2213.12</v>
      </c>
      <c r="J7" s="2988">
        <v>3341.81</v>
      </c>
      <c r="K7" s="2988" t="s">
        <v>3182</v>
      </c>
      <c r="L7" s="2988" t="s">
        <v>3176</v>
      </c>
      <c r="M7" s="2988" t="s">
        <v>3183</v>
      </c>
      <c r="N7" s="2988" t="s">
        <v>3184</v>
      </c>
      <c r="O7" s="2988">
        <v>1378</v>
      </c>
      <c r="P7" s="2988">
        <v>415.1</v>
      </c>
      <c r="Q7" s="2988">
        <v>4123.51</v>
      </c>
      <c r="R7" s="2988">
        <v>0</v>
      </c>
      <c r="S7" s="2988" t="s">
        <v>3156</v>
      </c>
      <c r="T7" s="2988" t="s">
        <v>3179</v>
      </c>
      <c r="U7" s="2989">
        <v>1375</v>
      </c>
      <c r="V7" s="3022">
        <f t="shared" si="0"/>
        <v>2753</v>
      </c>
      <c r="W7" s="3022">
        <f t="shared" si="1"/>
        <v>8238</v>
      </c>
    </row>
    <row r="8" spans="1:23">
      <c r="A8" s="2985" t="s">
        <v>3185</v>
      </c>
      <c r="B8" s="2985" t="s">
        <v>3147</v>
      </c>
      <c r="C8" s="2985" t="s">
        <v>3148</v>
      </c>
      <c r="D8" s="2985" t="s">
        <v>1327</v>
      </c>
      <c r="E8" s="2985" t="s">
        <v>3185</v>
      </c>
      <c r="F8" s="2985" t="s">
        <v>3149</v>
      </c>
      <c r="G8" s="2985" t="s">
        <v>3186</v>
      </c>
      <c r="H8" s="2985" t="s">
        <v>3151</v>
      </c>
      <c r="I8" s="2985">
        <v>973.39</v>
      </c>
      <c r="J8" s="2985">
        <v>1479.55</v>
      </c>
      <c r="K8" s="2985" t="s">
        <v>3187</v>
      </c>
      <c r="L8" s="2985" t="s">
        <v>3176</v>
      </c>
      <c r="M8" s="2985" t="s">
        <v>3183</v>
      </c>
      <c r="N8" s="2985" t="s">
        <v>3184</v>
      </c>
      <c r="O8" s="2985">
        <v>426</v>
      </c>
      <c r="P8" s="2985">
        <v>291.76</v>
      </c>
      <c r="Q8" s="2985">
        <v>2879.25</v>
      </c>
      <c r="R8" s="2985">
        <v>0</v>
      </c>
      <c r="S8" s="2985" t="s">
        <v>3156</v>
      </c>
      <c r="T8" s="2985" t="s">
        <v>3179</v>
      </c>
      <c r="U8" s="3023">
        <v>493</v>
      </c>
      <c r="V8" s="3022">
        <f t="shared" si="0"/>
        <v>919</v>
      </c>
      <c r="W8" s="3022">
        <f t="shared" si="1"/>
        <v>6211</v>
      </c>
    </row>
    <row r="9" spans="1:23" s="2991" customFormat="1">
      <c r="A9" s="2990" t="s">
        <v>3188</v>
      </c>
      <c r="B9" s="2990" t="s">
        <v>3147</v>
      </c>
      <c r="C9" s="2990" t="s">
        <v>3148</v>
      </c>
      <c r="D9" s="2990" t="s">
        <v>1327</v>
      </c>
      <c r="E9" s="2990" t="s">
        <v>3188</v>
      </c>
      <c r="F9" s="2990" t="s">
        <v>3149</v>
      </c>
      <c r="G9" s="2990" t="s">
        <v>3248</v>
      </c>
      <c r="H9" s="2990" t="s">
        <v>3151</v>
      </c>
      <c r="I9" s="2990">
        <v>7089.94</v>
      </c>
      <c r="J9" s="2990">
        <v>12690.99</v>
      </c>
      <c r="K9" s="2990" t="s">
        <v>3189</v>
      </c>
      <c r="L9" s="2990" t="s">
        <v>3176</v>
      </c>
      <c r="M9" s="2990" t="s">
        <v>3177</v>
      </c>
      <c r="N9" s="2992" t="s">
        <v>3249</v>
      </c>
      <c r="O9" s="2990">
        <v>2600</v>
      </c>
      <c r="P9" s="2990">
        <v>244.48</v>
      </c>
      <c r="Q9" s="2990">
        <v>2048.69</v>
      </c>
      <c r="R9" s="2990">
        <v>0</v>
      </c>
      <c r="S9" s="2990" t="s">
        <v>3156</v>
      </c>
      <c r="T9" s="2990" t="s">
        <v>3179</v>
      </c>
      <c r="U9" s="2991">
        <v>6755</v>
      </c>
      <c r="V9" s="2991">
        <f t="shared" si="0"/>
        <v>9355</v>
      </c>
      <c r="W9" s="2991">
        <f t="shared" si="1"/>
        <v>7371</v>
      </c>
    </row>
    <row r="10" spans="1:23">
      <c r="A10" s="2985" t="s">
        <v>3190</v>
      </c>
      <c r="B10" s="2985" t="s">
        <v>3147</v>
      </c>
      <c r="C10" s="2985" t="s">
        <v>3148</v>
      </c>
      <c r="D10" s="2985" t="s">
        <v>1327</v>
      </c>
      <c r="E10" s="2985" t="s">
        <v>3190</v>
      </c>
      <c r="F10" s="2985" t="s">
        <v>3149</v>
      </c>
      <c r="G10" s="2985" t="s">
        <v>3191</v>
      </c>
      <c r="H10" s="2985" t="s">
        <v>3151</v>
      </c>
      <c r="I10" s="2985">
        <v>566.70000000000005</v>
      </c>
      <c r="J10" s="2985">
        <v>2856.17</v>
      </c>
      <c r="K10" s="2985" t="s">
        <v>3192</v>
      </c>
      <c r="L10" s="2985" t="s">
        <v>3176</v>
      </c>
      <c r="M10" s="2985" t="s">
        <v>3177</v>
      </c>
      <c r="N10" s="2985" t="s">
        <v>3178</v>
      </c>
      <c r="O10" s="2985">
        <v>529</v>
      </c>
      <c r="P10" s="2985">
        <v>622.32000000000005</v>
      </c>
      <c r="Q10" s="2985">
        <v>1852.13</v>
      </c>
      <c r="R10" s="2985">
        <v>0</v>
      </c>
      <c r="S10" s="2985" t="s">
        <v>3156</v>
      </c>
      <c r="T10" s="2985" t="s">
        <v>3179</v>
      </c>
      <c r="U10" s="3023">
        <v>1210</v>
      </c>
      <c r="V10" s="3022">
        <f t="shared" si="0"/>
        <v>1739</v>
      </c>
      <c r="W10" s="3022">
        <f t="shared" si="1"/>
        <v>6088</v>
      </c>
    </row>
    <row r="11" spans="1:23" s="2989" customFormat="1">
      <c r="A11" s="2988" t="s">
        <v>3180</v>
      </c>
      <c r="B11" s="2988" t="s">
        <v>3147</v>
      </c>
      <c r="C11" s="2988" t="s">
        <v>3148</v>
      </c>
      <c r="D11" s="2988" t="s">
        <v>1327</v>
      </c>
      <c r="E11" s="2988" t="s">
        <v>3180</v>
      </c>
      <c r="F11" s="2988" t="s">
        <v>3149</v>
      </c>
      <c r="G11" s="2988" t="s">
        <v>3193</v>
      </c>
      <c r="H11" s="2988" t="s">
        <v>3151</v>
      </c>
      <c r="I11" s="2988">
        <v>2673.53</v>
      </c>
      <c r="J11" s="2988">
        <v>2700.27</v>
      </c>
      <c r="K11" s="2988" t="s">
        <v>3194</v>
      </c>
      <c r="L11" s="2988" t="s">
        <v>3176</v>
      </c>
      <c r="M11" s="2988" t="s">
        <v>3183</v>
      </c>
      <c r="N11" s="2988" t="s">
        <v>3184</v>
      </c>
      <c r="O11" s="2988">
        <v>820</v>
      </c>
      <c r="P11" s="2988">
        <v>204.47</v>
      </c>
      <c r="Q11" s="2988">
        <v>3036.73</v>
      </c>
      <c r="R11" s="2988">
        <v>0</v>
      </c>
      <c r="S11" s="2988" t="s">
        <v>3156</v>
      </c>
      <c r="T11" s="2988" t="s">
        <v>3179</v>
      </c>
      <c r="U11" s="2989">
        <v>917</v>
      </c>
      <c r="V11" s="3022">
        <f t="shared" si="0"/>
        <v>1737</v>
      </c>
      <c r="W11" s="3022">
        <f t="shared" si="1"/>
        <v>6432</v>
      </c>
    </row>
    <row r="12" spans="1:23" s="2991" customFormat="1">
      <c r="A12" s="2990" t="s">
        <v>3180</v>
      </c>
      <c r="B12" s="2990" t="s">
        <v>3147</v>
      </c>
      <c r="C12" s="2990" t="s">
        <v>3148</v>
      </c>
      <c r="D12" s="2990" t="s">
        <v>1327</v>
      </c>
      <c r="E12" s="2990" t="s">
        <v>3180</v>
      </c>
      <c r="F12" s="2990" t="s">
        <v>3149</v>
      </c>
      <c r="G12" s="2990" t="s">
        <v>3195</v>
      </c>
      <c r="H12" s="2990" t="s">
        <v>3151</v>
      </c>
      <c r="I12" s="2990">
        <v>6377.48</v>
      </c>
      <c r="J12" s="2990">
        <v>8354.5</v>
      </c>
      <c r="K12" s="2990" t="s">
        <v>3196</v>
      </c>
      <c r="L12" s="2990" t="s">
        <v>3176</v>
      </c>
      <c r="M12" s="2990" t="s">
        <v>3177</v>
      </c>
      <c r="N12" s="2990" t="s">
        <v>3178</v>
      </c>
      <c r="O12" s="2990">
        <v>1799</v>
      </c>
      <c r="P12" s="2990">
        <v>188.06</v>
      </c>
      <c r="Q12" s="2990">
        <v>2153.3200000000002</v>
      </c>
      <c r="R12" s="2990">
        <v>0</v>
      </c>
      <c r="S12" s="2990" t="s">
        <v>3156</v>
      </c>
      <c r="T12" s="2990" t="s">
        <v>3179</v>
      </c>
      <c r="U12" s="2991">
        <v>3944</v>
      </c>
      <c r="V12" s="2991">
        <f t="shared" si="0"/>
        <v>5743</v>
      </c>
      <c r="W12" s="2991">
        <f t="shared" si="1"/>
        <v>6874</v>
      </c>
    </row>
    <row r="13" spans="1:23" s="2989" customFormat="1">
      <c r="A13" s="2988" t="s">
        <v>3180</v>
      </c>
      <c r="B13" s="2988" t="s">
        <v>3147</v>
      </c>
      <c r="C13" s="2988" t="s">
        <v>3148</v>
      </c>
      <c r="D13" s="2988" t="s">
        <v>1327</v>
      </c>
      <c r="E13" s="2988" t="s">
        <v>3180</v>
      </c>
      <c r="F13" s="2988" t="s">
        <v>3149</v>
      </c>
      <c r="G13" s="2988" t="s">
        <v>3197</v>
      </c>
      <c r="H13" s="2988" t="s">
        <v>3198</v>
      </c>
      <c r="I13" s="2988">
        <v>3505.8</v>
      </c>
      <c r="J13" s="2988">
        <v>21034.799999999999</v>
      </c>
      <c r="K13" s="2988" t="s">
        <v>3199</v>
      </c>
      <c r="L13" s="2988" t="s">
        <v>3200</v>
      </c>
      <c r="M13" s="2988" t="s">
        <v>3201</v>
      </c>
      <c r="N13" s="2988" t="s">
        <v>3202</v>
      </c>
      <c r="O13" s="2988">
        <v>2181</v>
      </c>
      <c r="P13" s="2988">
        <v>414.74</v>
      </c>
      <c r="Q13" s="2988">
        <v>1036.8399999999999</v>
      </c>
      <c r="R13" s="2988">
        <v>0</v>
      </c>
      <c r="S13" s="2988" t="s">
        <v>3156</v>
      </c>
      <c r="T13" s="2988" t="s">
        <v>3179</v>
      </c>
    </row>
    <row r="14" spans="1:23" s="2989" customFormat="1">
      <c r="A14" s="2988" t="s">
        <v>3180</v>
      </c>
      <c r="B14" s="2988" t="s">
        <v>3147</v>
      </c>
      <c r="C14" s="2988" t="s">
        <v>3148</v>
      </c>
      <c r="D14" s="2988" t="s">
        <v>1327</v>
      </c>
      <c r="E14" s="2988" t="s">
        <v>3180</v>
      </c>
      <c r="F14" s="2988" t="s">
        <v>3149</v>
      </c>
      <c r="G14" s="2988" t="s">
        <v>3203</v>
      </c>
      <c r="H14" s="2988" t="s">
        <v>3151</v>
      </c>
      <c r="I14" s="2988">
        <v>11023.81</v>
      </c>
      <c r="J14" s="2988">
        <v>13228.57</v>
      </c>
      <c r="K14" s="2988" t="s">
        <v>3204</v>
      </c>
      <c r="L14" s="2988" t="s">
        <v>3205</v>
      </c>
      <c r="M14" s="2988" t="s">
        <v>3206</v>
      </c>
      <c r="N14" s="2988" t="s">
        <v>3207</v>
      </c>
      <c r="O14" s="2988">
        <v>3166</v>
      </c>
      <c r="P14" s="2988">
        <v>191.46</v>
      </c>
      <c r="Q14" s="2988">
        <v>2393.3000000000002</v>
      </c>
      <c r="R14" s="2988">
        <v>0</v>
      </c>
      <c r="S14" s="2988" t="s">
        <v>3156</v>
      </c>
      <c r="T14" s="2988" t="s">
        <v>3179</v>
      </c>
    </row>
    <row r="15" spans="1:23">
      <c r="A15" s="2985" t="s">
        <v>3146</v>
      </c>
      <c r="B15" s="2985" t="s">
        <v>3147</v>
      </c>
      <c r="C15" s="2985" t="s">
        <v>3148</v>
      </c>
      <c r="D15" s="2985" t="s">
        <v>1327</v>
      </c>
      <c r="E15" s="2985" t="s">
        <v>3146</v>
      </c>
      <c r="F15" s="2985" t="s">
        <v>3149</v>
      </c>
      <c r="G15" s="2985" t="s">
        <v>3208</v>
      </c>
      <c r="H15" s="2985" t="s">
        <v>3151</v>
      </c>
      <c r="I15" s="2985">
        <v>71425.8</v>
      </c>
      <c r="J15" s="2985">
        <v>71425.8</v>
      </c>
      <c r="K15" s="2985" t="s">
        <v>3209</v>
      </c>
      <c r="L15" s="2985" t="s">
        <v>3210</v>
      </c>
      <c r="M15" s="2985" t="s">
        <v>3211</v>
      </c>
      <c r="N15" s="2985" t="s">
        <v>3155</v>
      </c>
      <c r="O15" s="2985">
        <v>7183</v>
      </c>
      <c r="P15" s="2985">
        <v>67.040000000000006</v>
      </c>
      <c r="Q15" s="2985">
        <v>1005.65</v>
      </c>
      <c r="R15" s="2985">
        <v>0.56000000000000005</v>
      </c>
      <c r="S15" s="2985" t="s">
        <v>3156</v>
      </c>
      <c r="T15" s="2985" t="s">
        <v>3157</v>
      </c>
    </row>
    <row r="16" spans="1:23">
      <c r="A16" s="2985" t="s">
        <v>3212</v>
      </c>
      <c r="B16" s="2985" t="s">
        <v>3147</v>
      </c>
      <c r="C16" s="2985" t="s">
        <v>3148</v>
      </c>
      <c r="D16" s="2985" t="s">
        <v>1327</v>
      </c>
      <c r="E16" s="2985" t="s">
        <v>3212</v>
      </c>
      <c r="F16" s="2985" t="s">
        <v>3149</v>
      </c>
      <c r="G16" s="2985" t="s">
        <v>3213</v>
      </c>
      <c r="H16" s="2985" t="s">
        <v>3167</v>
      </c>
      <c r="I16" s="2985">
        <v>18695.43</v>
      </c>
      <c r="J16" s="2985">
        <v>24304.06</v>
      </c>
      <c r="K16" s="2985" t="s">
        <v>3214</v>
      </c>
      <c r="L16" s="2985" t="s">
        <v>3215</v>
      </c>
      <c r="M16" s="2985" t="s">
        <v>3216</v>
      </c>
      <c r="N16" s="2985" t="s">
        <v>3217</v>
      </c>
      <c r="O16" s="2985">
        <v>2947</v>
      </c>
      <c r="P16" s="2985">
        <v>105.09</v>
      </c>
      <c r="Q16" s="2985">
        <v>1212.54</v>
      </c>
      <c r="R16" s="2985">
        <v>0</v>
      </c>
      <c r="S16" s="2985" t="s">
        <v>3156</v>
      </c>
      <c r="T16" s="2985" t="s">
        <v>3179</v>
      </c>
    </row>
    <row r="17" spans="1:20" s="2989" customFormat="1">
      <c r="A17" s="2988" t="s">
        <v>3180</v>
      </c>
      <c r="B17" s="2988" t="s">
        <v>3147</v>
      </c>
      <c r="C17" s="2988" t="s">
        <v>3148</v>
      </c>
      <c r="D17" s="2988" t="s">
        <v>1327</v>
      </c>
      <c r="E17" s="2988" t="s">
        <v>3180</v>
      </c>
      <c r="F17" s="2988" t="s">
        <v>3149</v>
      </c>
      <c r="G17" s="2988" t="s">
        <v>3218</v>
      </c>
      <c r="H17" s="2988" t="s">
        <v>3167</v>
      </c>
      <c r="I17" s="2988">
        <v>4494.5</v>
      </c>
      <c r="J17" s="2988">
        <v>11685.7</v>
      </c>
      <c r="K17" s="2988" t="s">
        <v>3219</v>
      </c>
      <c r="L17" s="2988" t="s">
        <v>3220</v>
      </c>
      <c r="M17" s="2988" t="s">
        <v>3221</v>
      </c>
      <c r="N17" s="2988" t="s">
        <v>3222</v>
      </c>
      <c r="O17" s="2988">
        <v>1003</v>
      </c>
      <c r="P17" s="2988">
        <v>148.77000000000001</v>
      </c>
      <c r="Q17" s="2988">
        <v>858.3</v>
      </c>
      <c r="R17" s="2988">
        <v>0</v>
      </c>
      <c r="S17" s="2988" t="s">
        <v>3156</v>
      </c>
      <c r="T17" s="2988" t="s">
        <v>3179</v>
      </c>
    </row>
    <row r="18" spans="1:20">
      <c r="A18" s="2985" t="s">
        <v>3223</v>
      </c>
      <c r="B18" s="2985" t="s">
        <v>3147</v>
      </c>
      <c r="C18" s="2985" t="s">
        <v>3148</v>
      </c>
      <c r="D18" s="2985" t="s">
        <v>1327</v>
      </c>
      <c r="E18" s="2985" t="s">
        <v>3223</v>
      </c>
      <c r="F18" s="2985" t="s">
        <v>3149</v>
      </c>
      <c r="G18" s="2985" t="s">
        <v>3224</v>
      </c>
      <c r="H18" s="2985" t="s">
        <v>3167</v>
      </c>
      <c r="I18" s="2985">
        <v>20337.95</v>
      </c>
      <c r="J18" s="2985">
        <v>28473.13</v>
      </c>
      <c r="K18" s="2985" t="s">
        <v>3225</v>
      </c>
      <c r="L18" s="2985" t="s">
        <v>3226</v>
      </c>
      <c r="M18" s="2985" t="s">
        <v>3227</v>
      </c>
      <c r="N18" s="2985" t="s">
        <v>3228</v>
      </c>
      <c r="O18" s="2985">
        <v>3680</v>
      </c>
      <c r="P18" s="2985">
        <v>120.63</v>
      </c>
      <c r="Q18" s="2985">
        <v>1292.45</v>
      </c>
      <c r="R18" s="2985">
        <v>2.79</v>
      </c>
      <c r="S18" s="2985" t="s">
        <v>3156</v>
      </c>
      <c r="T18" s="2985" t="s">
        <v>3157</v>
      </c>
    </row>
    <row r="19" spans="1:20">
      <c r="A19" s="2985" t="s">
        <v>3229</v>
      </c>
      <c r="B19" s="2985" t="s">
        <v>3147</v>
      </c>
      <c r="C19" s="2985" t="s">
        <v>3148</v>
      </c>
      <c r="D19" s="2985" t="s">
        <v>1327</v>
      </c>
      <c r="E19" s="2985" t="s">
        <v>3229</v>
      </c>
      <c r="F19" s="2985" t="s">
        <v>3149</v>
      </c>
      <c r="G19" s="2985" t="s">
        <v>3230</v>
      </c>
      <c r="H19" s="2985" t="s">
        <v>3167</v>
      </c>
      <c r="I19" s="2985">
        <v>2802.4</v>
      </c>
      <c r="J19" s="2985">
        <v>2802.4</v>
      </c>
      <c r="K19" s="2985" t="s">
        <v>3209</v>
      </c>
      <c r="L19" s="2985" t="s">
        <v>3231</v>
      </c>
      <c r="M19" s="2985" t="s">
        <v>3232</v>
      </c>
      <c r="N19" s="2985" t="s">
        <v>3233</v>
      </c>
      <c r="O19" s="2985">
        <v>253</v>
      </c>
      <c r="P19" s="2985">
        <v>60.19</v>
      </c>
      <c r="Q19" s="2985">
        <v>902.79</v>
      </c>
      <c r="R19" s="2985">
        <v>0</v>
      </c>
      <c r="S19" s="2985" t="s">
        <v>3156</v>
      </c>
      <c r="T19" s="2985" t="s">
        <v>3157</v>
      </c>
    </row>
    <row r="20" spans="1:20">
      <c r="A20" s="2985" t="s">
        <v>3188</v>
      </c>
      <c r="B20" s="2985" t="s">
        <v>3147</v>
      </c>
      <c r="C20" s="2985" t="s">
        <v>3148</v>
      </c>
      <c r="D20" s="2985" t="s">
        <v>1327</v>
      </c>
      <c r="E20" s="2985" t="s">
        <v>3188</v>
      </c>
      <c r="F20" s="2985" t="s">
        <v>3149</v>
      </c>
      <c r="G20" s="2985" t="s">
        <v>3234</v>
      </c>
      <c r="H20" s="2985" t="s">
        <v>3151</v>
      </c>
      <c r="I20" s="2985">
        <v>5910.8</v>
      </c>
      <c r="J20" s="2985">
        <v>5910.8</v>
      </c>
      <c r="K20" s="2985" t="s">
        <v>3209</v>
      </c>
      <c r="L20" s="2985" t="s">
        <v>3235</v>
      </c>
      <c r="M20" s="2985" t="s">
        <v>3236</v>
      </c>
      <c r="N20" s="2985" t="s">
        <v>3237</v>
      </c>
      <c r="O20" s="2985">
        <v>875</v>
      </c>
      <c r="P20" s="2985">
        <v>98.69</v>
      </c>
      <c r="Q20" s="2985">
        <v>1480.33</v>
      </c>
      <c r="R20" s="2985">
        <v>0</v>
      </c>
      <c r="S20" s="2985" t="s">
        <v>3156</v>
      </c>
      <c r="T20" s="2985" t="s">
        <v>3172</v>
      </c>
    </row>
  </sheetData>
  <phoneticPr fontId="148"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2:E39"/>
  <sheetViews>
    <sheetView topLeftCell="A13" workbookViewId="0">
      <selection activeCell="F52" sqref="F52"/>
    </sheetView>
  </sheetViews>
  <sheetFormatPr defaultRowHeight="13.5"/>
  <cols>
    <col min="1" max="6" width="12" customWidth="1"/>
  </cols>
  <sheetData>
    <row r="32" spans="1:5" ht="24" customHeight="1">
      <c r="A32" s="3390" t="s">
        <v>3238</v>
      </c>
      <c r="B32" s="3390"/>
      <c r="C32" s="3390"/>
      <c r="D32" s="3390"/>
      <c r="E32" s="3390"/>
    </row>
    <row r="33" spans="1:5" ht="24" customHeight="1">
      <c r="A33" s="3390" t="s">
        <v>3239</v>
      </c>
      <c r="B33" s="3390" t="s">
        <v>3242</v>
      </c>
      <c r="C33" s="3390"/>
      <c r="D33" s="3390" t="s">
        <v>3243</v>
      </c>
      <c r="E33" s="3390"/>
    </row>
    <row r="34" spans="1:5" ht="24" customHeight="1">
      <c r="A34" s="3390"/>
      <c r="B34" s="2987" t="s">
        <v>3240</v>
      </c>
      <c r="C34" s="2987" t="s">
        <v>3241</v>
      </c>
      <c r="D34" s="2987" t="s">
        <v>3240</v>
      </c>
      <c r="E34" s="2987" t="s">
        <v>3241</v>
      </c>
    </row>
    <row r="35" spans="1:5" ht="24" customHeight="1">
      <c r="A35" s="2987">
        <v>2018.2</v>
      </c>
      <c r="B35" s="2987"/>
      <c r="C35" s="2987"/>
      <c r="D35" s="2987"/>
      <c r="E35" s="2987"/>
    </row>
    <row r="36" spans="1:5" ht="24" customHeight="1">
      <c r="A36" s="2987">
        <v>2018.3</v>
      </c>
      <c r="B36" s="2987"/>
      <c r="C36" s="2987"/>
      <c r="D36" s="2987"/>
      <c r="E36" s="2987"/>
    </row>
    <row r="37" spans="1:5" ht="24" customHeight="1">
      <c r="A37" s="2987">
        <v>2018.4</v>
      </c>
      <c r="B37" s="2987"/>
      <c r="C37" s="2987"/>
      <c r="D37" s="2987"/>
      <c r="E37" s="2987"/>
    </row>
    <row r="38" spans="1:5" ht="24" customHeight="1">
      <c r="A38" s="2987">
        <v>2019.1</v>
      </c>
      <c r="B38" s="2987">
        <v>7979</v>
      </c>
      <c r="C38" s="2987">
        <v>1.32</v>
      </c>
      <c r="D38" s="2987">
        <v>17420</v>
      </c>
      <c r="E38" s="2987">
        <v>0.73</v>
      </c>
    </row>
    <row r="39" spans="1:5" ht="24" customHeight="1">
      <c r="A39" s="2987">
        <v>2019.2</v>
      </c>
      <c r="B39" s="2987">
        <v>8025</v>
      </c>
      <c r="C39" s="2987">
        <v>0.57999999999999996</v>
      </c>
      <c r="D39" s="2987">
        <v>17481</v>
      </c>
      <c r="E39" s="2987">
        <v>0.35</v>
      </c>
    </row>
  </sheetData>
  <mergeCells count="4">
    <mergeCell ref="A32:E32"/>
    <mergeCell ref="B33:C33"/>
    <mergeCell ref="D33:E33"/>
    <mergeCell ref="A33:A34"/>
  </mergeCells>
  <phoneticPr fontId="148"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71" t="s">
        <v>1657</v>
      </c>
      <c r="B1" s="3071"/>
      <c r="C1" s="3071"/>
      <c r="D1" s="3071"/>
    </row>
    <row r="2" spans="1:4" ht="18">
      <c r="A2" s="3072" t="s">
        <v>1641</v>
      </c>
      <c r="B2" s="3072"/>
      <c r="C2" s="3072"/>
      <c r="D2" s="3072"/>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072" t="s">
        <v>1647</v>
      </c>
      <c r="B6" s="3072"/>
      <c r="C6" s="3072"/>
      <c r="D6" s="3072"/>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3073" t="s">
        <v>1650</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5"/>
      <c r="C12" s="3075"/>
      <c r="D12" s="3075"/>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5"/>
      <c r="C13" s="3075"/>
      <c r="D13" s="3075"/>
    </row>
    <row r="14" spans="1:4" ht="15.75" customHeight="1">
      <c r="A14" s="3074" t="str">
        <f>IF(项目基本情况!B8="抵押","4.本次评估估价师所知悉的法定优先受偿款情况说明如下：","——")</f>
        <v>4.本次评估估价师所知悉的法定优先受偿款情况说明如下：</v>
      </c>
      <c r="B14" s="3075"/>
      <c r="C14" s="3075"/>
      <c r="D14" s="3075"/>
    </row>
    <row r="15" spans="1:4" ht="42" customHeight="1">
      <c r="A15" s="3074" t="str">
        <f>IF(项目基本情况!B8="抵押","（1）"&amp;CONCATENATE(项目基本情况!L20,项目基本情况!L21,项目基本情况!L22),"——")</f>
        <v>（1）根据估价对象《不动产权证书》复印件、，截至价值时点，估价对象抵押权未见登记。</v>
      </c>
      <c r="B15" s="3074"/>
      <c r="C15" s="3074"/>
      <c r="D15" s="3074"/>
    </row>
    <row r="16" spans="1:4" ht="30" customHeight="1">
      <c r="A16" s="3077" t="s">
        <v>1651</v>
      </c>
      <c r="B16" s="3077"/>
      <c r="C16" s="3077"/>
      <c r="D16" s="3077"/>
    </row>
    <row r="17" spans="1:4" ht="144" customHeight="1">
      <c r="A17" s="3077" t="s">
        <v>1652</v>
      </c>
      <c r="B17" s="3077"/>
      <c r="C17" s="3077"/>
      <c r="D17" s="3077"/>
    </row>
    <row r="18" spans="1:4" ht="15.75" customHeight="1">
      <c r="A18" s="3074" t="str">
        <f>IF(项目基本情况!B8="抵押",'结果表（四羊方尊）'!K120,"——")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四羊方尊）'!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8" t="str">
        <f>IF('结果表（四羊方尊）'!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8"/>
      <c r="C21" s="3078"/>
      <c r="D21" s="3078"/>
    </row>
    <row r="22" spans="1:4" ht="18.75" customHeight="1">
      <c r="A22" s="3079" t="s">
        <v>1653</v>
      </c>
      <c r="B22" s="3079"/>
      <c r="C22" s="3079"/>
      <c r="D22" s="3079"/>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76">
        <v>42551</v>
      </c>
      <c r="D31" s="30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9"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10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85" t="s">
        <v>1664</v>
      </c>
      <c r="B15" s="3080" t="s">
        <v>136</v>
      </c>
      <c r="C15" s="3081"/>
    </row>
    <row r="16" spans="1:7" ht="13.5">
      <c r="A16" s="3086"/>
      <c r="B16" s="3080" t="s">
        <v>69</v>
      </c>
      <c r="C16" s="3081"/>
    </row>
    <row r="17" spans="1:3" ht="13.5">
      <c r="A17" s="3086"/>
      <c r="B17" s="3083" t="s">
        <v>1665</v>
      </c>
      <c r="C17" s="1997" t="s">
        <v>1664</v>
      </c>
    </row>
    <row r="18" spans="1:3" ht="13.5">
      <c r="A18" s="3086"/>
      <c r="B18" s="3083"/>
      <c r="C18" s="1997" t="s">
        <v>1666</v>
      </c>
    </row>
    <row r="19" spans="1:3" ht="13.5">
      <c r="A19" s="3086"/>
      <c r="B19" s="3083"/>
      <c r="C19" s="1997" t="s">
        <v>1667</v>
      </c>
    </row>
    <row r="20" spans="1:3" ht="13.5">
      <c r="A20" s="3087"/>
      <c r="B20" s="3082" t="s">
        <v>1668</v>
      </c>
      <c r="C20" s="3081"/>
    </row>
    <row r="21" spans="1:3" ht="13.5">
      <c r="A21" s="1998" t="s">
        <v>1669</v>
      </c>
      <c r="B21" s="1999"/>
      <c r="C21" s="2000"/>
    </row>
    <row r="22" spans="1:3" ht="13.5">
      <c r="A22" s="3084" t="s">
        <v>1670</v>
      </c>
      <c r="B22" s="3082" t="s">
        <v>1671</v>
      </c>
      <c r="C22" s="3081"/>
    </row>
    <row r="23" spans="1:3" ht="13.5">
      <c r="A23" s="3084"/>
      <c r="B23" s="3082" t="s">
        <v>1672</v>
      </c>
      <c r="C23" s="3081"/>
    </row>
    <row r="24" spans="1:3" ht="13.5">
      <c r="A24" s="3084"/>
      <c r="B24" s="3082" t="s">
        <v>1673</v>
      </c>
      <c r="C24" s="3081"/>
    </row>
    <row r="25" spans="1:3" ht="13.5">
      <c r="A25" s="3084"/>
      <c r="B25" s="3083" t="s">
        <v>1674</v>
      </c>
      <c r="C25" s="1997" t="s">
        <v>1675</v>
      </c>
    </row>
    <row r="26" spans="1:3" ht="13.5">
      <c r="A26" s="3084"/>
      <c r="B26" s="3083"/>
      <c r="C26" s="1997" t="s">
        <v>1676</v>
      </c>
    </row>
    <row r="27" spans="1:3" ht="13.5">
      <c r="A27" s="3084"/>
      <c r="B27" s="3083"/>
      <c r="C27" s="1997" t="s">
        <v>1677</v>
      </c>
    </row>
    <row r="28" spans="1:3" ht="13.5">
      <c r="A28" s="3084"/>
      <c r="B28" s="3083"/>
      <c r="C28" s="1997" t="s">
        <v>1678</v>
      </c>
    </row>
    <row r="29" spans="1:3" ht="13.5">
      <c r="A29" s="3084"/>
      <c r="B29" s="3083"/>
      <c r="C29" s="1997" t="s">
        <v>1679</v>
      </c>
    </row>
    <row r="30" spans="1:3" ht="13.5">
      <c r="A30" s="3084"/>
      <c r="B30" s="3083"/>
      <c r="C30" s="1997" t="s">
        <v>1680</v>
      </c>
    </row>
    <row r="31" spans="1:3" ht="13.5">
      <c r="A31" s="3084"/>
      <c r="B31" s="3083"/>
      <c r="C31" s="1997" t="s">
        <v>1681</v>
      </c>
    </row>
    <row r="32" spans="1:3" ht="13.5">
      <c r="A32" s="3084"/>
      <c r="B32" s="3083"/>
      <c r="C32" s="1997" t="s">
        <v>1682</v>
      </c>
    </row>
    <row r="33" spans="1:3" ht="13.5">
      <c r="A33" s="3084"/>
      <c r="B33" s="308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43773</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44395</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44554</v>
      </c>
      <c r="D10" s="2346" t="s">
        <v>838</v>
      </c>
      <c r="E10" s="1022">
        <f ca="1">IF(F10&lt;B2,"已过期",2004110096)</f>
        <v>2004110096</v>
      </c>
      <c r="F10" s="1030">
        <v>47118</v>
      </c>
    </row>
    <row r="11" spans="1:6" ht="24" customHeight="1">
      <c r="A11" s="1700" t="s">
        <v>839</v>
      </c>
      <c r="B11" s="1022">
        <f ca="1">IF(C11&lt;B2,"已过期",1120100036)</f>
        <v>1120100036</v>
      </c>
      <c r="C11" s="2343">
        <v>44675</v>
      </c>
      <c r="D11" s="2346" t="s">
        <v>839</v>
      </c>
      <c r="E11" s="1022">
        <f ca="1">IF(F11&lt;B2,"已过期",2010110070)</f>
        <v>2010110070</v>
      </c>
      <c r="F11" s="1030">
        <v>47907</v>
      </c>
    </row>
    <row r="12" spans="1:6" ht="24" customHeight="1">
      <c r="A12" s="1700"/>
      <c r="B12" s="1022"/>
      <c r="C12" s="2926"/>
      <c r="D12" s="1700"/>
      <c r="E12" s="1022"/>
      <c r="F12" s="1030"/>
    </row>
    <row r="13" spans="1:6" ht="24" customHeight="1">
      <c r="A13" s="1700" t="s">
        <v>840</v>
      </c>
      <c r="B13" s="1022">
        <f ca="1">IF(C13&lt;B2,"已过期",1120070131)</f>
        <v>1120070131</v>
      </c>
      <c r="C13" s="2343">
        <v>43814</v>
      </c>
      <c r="D13" s="2346" t="s">
        <v>840</v>
      </c>
      <c r="E13" s="1022">
        <f ca="1">IF(F13&lt;B2,"已过期",2014110011)</f>
        <v>2014110011</v>
      </c>
      <c r="F13" s="1030">
        <v>49302</v>
      </c>
    </row>
    <row r="14" spans="1:6" ht="24" customHeight="1">
      <c r="A14" s="1700" t="s">
        <v>3038</v>
      </c>
      <c r="B14" s="1022">
        <f ca="1">IF(C14&lt;B2,"已过期",1120040230)</f>
        <v>1120040230</v>
      </c>
      <c r="C14" s="2343">
        <v>43835</v>
      </c>
      <c r="D14" s="2346" t="s">
        <v>3038</v>
      </c>
      <c r="E14" s="1022">
        <f ca="1">IF(F14&lt;B2,"已过期",98030020)</f>
        <v>98030020</v>
      </c>
      <c r="F14" s="1030">
        <v>47118</v>
      </c>
    </row>
    <row r="15" spans="1:6" ht="24" customHeight="1">
      <c r="A15" s="1701" t="s">
        <v>3039</v>
      </c>
      <c r="B15" s="1022">
        <f ca="1">IF(C15&lt;B2,"已过期",1120070085)</f>
        <v>1120070085</v>
      </c>
      <c r="C15" s="2343">
        <v>43814</v>
      </c>
      <c r="D15" s="2347" t="s">
        <v>3039</v>
      </c>
      <c r="E15" s="1022">
        <f ca="1">IF(F15&lt;B2,"已过期",2004110128)</f>
        <v>2004110128</v>
      </c>
      <c r="F15" s="1023">
        <v>47118</v>
      </c>
    </row>
    <row r="16" spans="1:6" ht="24" customHeight="1">
      <c r="A16" s="1700" t="s">
        <v>3040</v>
      </c>
      <c r="B16" s="1022">
        <f ca="1">IF(C16&lt;B2,"已过期",1120140022)</f>
        <v>1120140022</v>
      </c>
      <c r="C16" s="2926">
        <v>44029</v>
      </c>
      <c r="D16" s="2346" t="s">
        <v>3040</v>
      </c>
      <c r="E16" s="1022">
        <f ca="1">IF(F16&lt;B2,"已过期",2008110059)</f>
        <v>2008110059</v>
      </c>
      <c r="F16" s="1030">
        <v>47177</v>
      </c>
    </row>
    <row r="17" spans="1:7" ht="24" customHeight="1">
      <c r="A17" s="1700"/>
      <c r="B17" s="1022"/>
      <c r="C17" s="2343"/>
      <c r="D17" s="2346" t="s">
        <v>3041</v>
      </c>
      <c r="E17" s="1022">
        <f ca="1">IF(F17&lt;B2,"已过期",2014110076)</f>
        <v>2014110076</v>
      </c>
      <c r="F17" s="1030">
        <v>49302</v>
      </c>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841</v>
      </c>
      <c r="E21" s="1022">
        <f ca="1">IF(F21&lt;B2,"已过期",2011110090)</f>
        <v>2011110090</v>
      </c>
      <c r="F21" s="1030">
        <v>48302</v>
      </c>
    </row>
    <row r="22" spans="1:7" ht="24" customHeight="1">
      <c r="A22" s="1700" t="s">
        <v>842</v>
      </c>
      <c r="B22" s="1022">
        <f ca="1">IF(C22&lt;B2,"已过期",1120020033)</f>
        <v>1120020033</v>
      </c>
      <c r="C22" s="2926">
        <v>44339</v>
      </c>
      <c r="D22" s="2346" t="s">
        <v>842</v>
      </c>
      <c r="E22" s="1022">
        <f ca="1">IF(F22&lt;B2,"已过期",2000110137)</f>
        <v>2000110137</v>
      </c>
      <c r="F22" s="1030">
        <v>46387</v>
      </c>
    </row>
    <row r="23" spans="1:7" ht="24" customHeight="1">
      <c r="A23" s="1700"/>
      <c r="B23" s="1022"/>
      <c r="C23" s="2343"/>
      <c r="D23" s="2346"/>
      <c r="E23" s="1022"/>
      <c r="F23" s="1022"/>
    </row>
    <row r="24" spans="1:7" s="1024" customFormat="1" ht="24" customHeight="1">
      <c r="A24" s="1701" t="s">
        <v>1329</v>
      </c>
      <c r="B24" s="1701" t="s">
        <v>1329</v>
      </c>
      <c r="C24" s="2344" t="s">
        <v>1329</v>
      </c>
      <c r="D24" s="2347" t="s">
        <v>1329</v>
      </c>
      <c r="E24" s="1701" t="s">
        <v>1329</v>
      </c>
      <c r="F24" s="1701" t="s">
        <v>1329</v>
      </c>
    </row>
    <row r="25" spans="1:7" ht="24" customHeight="1">
      <c r="A25" s="3088" t="s">
        <v>843</v>
      </c>
      <c r="B25" s="3088"/>
      <c r="C25" s="3088"/>
      <c r="D25" s="3088"/>
      <c r="E25" s="3088"/>
      <c r="F25" s="3088"/>
      <c r="G25" s="3088"/>
    </row>
    <row r="26" spans="1:7" s="1025" customFormat="1" ht="24" customHeight="1">
      <c r="A26" s="3089" t="s">
        <v>844</v>
      </c>
      <c r="B26" s="3089"/>
      <c r="C26" s="3090"/>
      <c r="D26" s="3091" t="s">
        <v>845</v>
      </c>
      <c r="E26" s="3089"/>
      <c r="F26" s="3089"/>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91"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135</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抵押商业清单</vt:lpstr>
      <vt:lpstr>抵押物清单</vt:lpstr>
      <vt:lpstr>数据-汇总表</vt:lpstr>
      <vt:lpstr>数据-取费表</vt:lpstr>
      <vt:lpstr>估价对象房地状况</vt:lpstr>
      <vt:lpstr>天街租约台账</vt:lpstr>
      <vt:lpstr>系统读取表</vt:lpstr>
      <vt:lpstr>位置图</vt:lpstr>
      <vt:lpstr>结果表（四羊方尊）</vt:lpstr>
      <vt:lpstr>成本法（四羊方尊）</vt:lpstr>
      <vt:lpstr>成本法 (元)</vt:lpstr>
      <vt:lpstr>假设开发法</vt:lpstr>
      <vt:lpstr>收益法（四羊方尊）</vt:lpstr>
      <vt:lpstr>收益法 (元)</vt:lpstr>
      <vt:lpstr>办公租金</vt:lpstr>
      <vt:lpstr>结果表（天街）</vt:lpstr>
      <vt:lpstr>成本法（天街）</vt:lpstr>
      <vt:lpstr>收益法（天街）</vt:lpstr>
      <vt:lpstr>收益法（汇总）</vt:lpstr>
      <vt:lpstr>酒店收入计算</vt:lpstr>
      <vt:lpstr>比较法-住宅</vt:lpstr>
      <vt:lpstr>比较法-商业</vt:lpstr>
      <vt:lpstr>比较法-办公</vt:lpstr>
      <vt:lpstr>比较法-工业</vt:lpstr>
      <vt:lpstr>比较法-车位</vt:lpstr>
      <vt:lpstr>比较法-仓储</vt:lpstr>
      <vt:lpstr>商业租金</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估价师及机构信息!Print_Area</vt:lpstr>
      <vt:lpstr>'收益法 (元)'!Print_Area</vt:lpstr>
      <vt:lpstr>'收益法（四羊方尊）'!Print_Area</vt:lpstr>
      <vt:lpstr>'收益法（天街）'!Print_Area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2019-11-04T09:29:17Z</dcterms:modified>
</cp:coreProperties>
</file>