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收益法" sheetId="15"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04" i="21" l="1"/>
  <c r="F104" i="21" s="1"/>
  <c r="G104" i="21" s="1"/>
  <c r="H104" i="21" s="1"/>
  <c r="I104" i="21" s="1"/>
  <c r="I24" i="1" l="1"/>
  <c r="C33" i="21" l="1"/>
  <c r="I31" i="1" l="1"/>
  <c r="L30"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F4" i="61"/>
  <c r="D5" i="61"/>
  <c r="D3" i="61"/>
  <c r="F6" i="61"/>
  <c r="D4" i="61"/>
  <c r="F5" i="61"/>
  <c r="F3"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6"/>
  <c r="E2" i="21"/>
  <c r="E2" i="37"/>
  <c r="C19" i="57"/>
  <c r="E2" i="35"/>
  <c r="E2" i="11"/>
  <c r="E2" i="33"/>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<sst xmlns="http://schemas.openxmlformats.org/spreadsheetml/2006/main" count="6915" uniqueCount="2931">
  <si>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</si>
  <si>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</si>
  <si>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</si>
  <si>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</si>
  <si>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</si>
  <si>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</si>
  <si>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</si>
  <si>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</si>
  <si>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</si>
  <si>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</si>
  <si>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</si>
  <si>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</si>
  <si>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</si>
  <si>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</si>
  <si>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</si>
  <si>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</si>
  <si>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</si>
  <si>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</si>
  <si>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</si>
  <si>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</si>
  <si>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</si>
  <si>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</si>
  <si>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</si>
  <si>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</si>
  <si>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</si>
  <si>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</si>
  <si>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</si>
  <si>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</si>
  <si>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</si>
  <si>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</si>
  <si>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</si>
  <si>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</si>
  <si>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</si>
  <si>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</si>
  <si>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</si>
  <si>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</si>
  <si>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</si>
  <si>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</si>
  <si>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</si>
  <si>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</si>
  <si>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</si>
  <si>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</si>
  <si>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</si>
  <si>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</si>
  <si>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</si>
  <si>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</si>
  <si>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</si>
  <si>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</si>
  <si>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</si>
  <si>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</si>
  <si>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</si>
  <si>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</si>
  <si>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</si>
  <si>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</si>
  <si>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</si>
  <si>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</si>
  <si>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</si>
  <si>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</si>
  <si>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</si>
  <si>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</si>
  <si>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</si>
  <si>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</si>
  <si>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</si>
  <si>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</si>
  <si>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</si>
  <si>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</si>
  <si>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</si>
  <si>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</si>
  <si>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</si>
  <si>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</si>
  <si>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</si>
  <si>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</si>
  <si>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</si>
  <si>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</si>
  <si>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</si>
  <si>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</si>
  <si>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</si>
  <si>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</si>
  <si>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</si>
  <si>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</si>
  <si>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</si>
  <si>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</si>
  <si>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</si>
  <si>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</si>
  <si>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</si>
  <si>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</si>
  <si>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</si>
  <si>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</si>
  <si>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</si>
  <si>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</si>
  <si>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</si>
  <si>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</si>
  <si>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</si>
  <si>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</si>
  <si>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</si>
  <si>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</si>
  <si>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</si>
  <si>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</si>
  <si>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</si>
  <si>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</si>
  <si>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</si>
  <si>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</si>
  <si>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</si>
  <si>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</si>
  <si>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</si>
  <si>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</si>
  <si>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</si>
  <si>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</si>
  <si>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</si>
  <si>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</si>
  <si>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</si>
  <si>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</si>
  <si>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</si>
  <si>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</si>
  <si>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</si>
  <si>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</si>
  <si>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</si>
  <si>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</si>
  <si>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</si>
  <si>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</si>
  <si>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</si>
  <si>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</si>
  <si>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</si>
  <si>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</si>
  <si>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</si>
  <si>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</si>
  <si>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</si>
  <si>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</si>
  <si>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</si>
  <si>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</si>
  <si>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</si>
  <si>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</si>
  <si>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</si>
  <si>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</si>
  <si>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</si>
  <si>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</si>
  <si>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</si>
  <si>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</si>
  <si>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</si>
  <si>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</si>
  <si>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</si>
  <si>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</si>
  <si>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</si>
  <si>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</si>
  <si>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</si>
  <si>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</si>
  <si>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</si>
  <si>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</si>
  <si>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</si>
  <si>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</si>
  <si>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</si>
  <si>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</si>
  <si>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</si>
  <si>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</si>
  <si>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</si>
  <si>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</si>
  <si>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</si>
  <si>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</si>
  <si>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</si>
  <si>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</si>
  <si>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</si>
  <si>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</si>
  <si>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</si>
  <si>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</si>
  <si>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</si>
  <si>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</si>
  <si>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</si>
  <si>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</si>
  <si>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</si>
  <si>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</si>
  <si>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</si>
  <si>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</si>
  <si>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</si>
  <si>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</si>
  <si>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</si>
  <si>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</si>
  <si>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</si>
  <si>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</si>
  <si>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</si>
  <si>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</si>
  <si>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</si>
  <si>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</si>
  <si>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</si>
  <si>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</si>
  <si>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</si>
  <si>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</si>
  <si>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</si>
  <si>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</si>
  <si>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</si>
  <si>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</si>
  <si>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</si>
  <si>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</si>
  <si>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</si>
  <si>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</si>
  <si>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</si>
  <si>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</si>
  <si>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</si>
  <si>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</si>
  <si>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</si>
  <si>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</si>
  <si>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</si>
  <si>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</si>
  <si>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</si>
  <si>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</si>
  <si>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</si>
  <si>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</si>
  <si>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</si>
  <si>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</si>
  <si>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</si>
  <si>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</si>
  <si>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</si>
  <si>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</si>
  <si>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</si>
  <si>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</si>
  <si>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</si>
  <si>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</si>
  <si>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</si>
  <si>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</si>
  <si>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</si>
  <si>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</si>
  <si>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</si>
  <si>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</si>
  <si>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</si>
  <si>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</si>
  <si>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</si>
  <si>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</si>
  <si>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</si>
  <si>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</si>
  <si>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</si>
  <si>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</si>
  <si>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</si>
  <si>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</si>
  <si>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</si>
  <si>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</si>
  <si>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</si>
  <si>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</si>
  <si>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</si>
  <si>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</si>
  <si>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</si>
  <si>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</si>
  <si>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</si>
  <si>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</si>
  <si>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</si>
  <si>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</si>
  <si>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</si>
  <si>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</si>
  <si>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</si>
  <si>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</si>
  <si>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</si>
  <si>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</si>
  <si>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</si>
  <si>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</si>
  <si>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</si>
  <si>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</si>
  <si>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</si>
  <si>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</si>
  <si>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</si>
  <si>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</si>
  <si>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</si>
  <si>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</si>
  <si>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</si>
  <si>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</si>
  <si>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</si>
  <si>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</si>
  <si>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</si>
  <si>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</si>
  <si>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</si>
  <si>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</si>
  <si>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</si>
  <si>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</si>
  <si>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</si>
  <si>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</si>
  <si>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</si>
  <si>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</si>
  <si>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</si>
  <si>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</si>
  <si>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</si>
  <si>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</si>
  <si>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</si>
  <si>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</si>
  <si>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</si>
  <si>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</si>
  <si>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</si>
  <si>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</si>
  <si>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</si>
  <si>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</si>
  <si>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</si>
  <si>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</si>
  <si>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</si>
  <si>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</si>
  <si>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</si>
  <si>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</si>
  <si>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</si>
  <si>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</si>
  <si>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</si>
  <si>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</si>
  <si>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</si>
  <si>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</si>
  <si>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</si>
  <si>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</si>
  <si>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</si>
  <si>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</si>
  <si>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</si>
  <si>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</si>
  <si>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</si>
  <si>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</si>
  <si>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</si>
  <si>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</si>
  <si>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</si>
  <si>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</si>
  <si>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</si>
  <si>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</si>
  <si>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</si>
  <si>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</si>
  <si>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</si>
  <si>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</si>
  <si>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</si>
  <si>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</si>
  <si>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</si>
  <si>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</si>
  <si>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</si>
  <si>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</si>
  <si>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</si>
  <si>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</si>
  <si>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</si>
  <si>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</si>
  <si>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</si>
  <si>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</si>
  <si>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</si>
  <si>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</si>
  <si>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</si>
  <si>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</si>
  <si>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</si>
  <si>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</si>
  <si>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</si>
  <si>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</si>
  <si>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</si>
  <si>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</si>
  <si>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</si>
  <si>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</si>
  <si>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</si>
  <si>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</si>
  <si>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</si>
  <si>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</si>
  <si>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</si>
  <si>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</si>
  <si>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</si>
  <si>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</si>
  <si>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</si>
  <si>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</si>
  <si>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</si>
  <si>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</si>
  <si>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</si>
  <si>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</si>
  <si>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</si>
  <si>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</si>
  <si>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</si>
  <si>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</si>
  <si>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</si>
  <si>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</si>
  <si>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</si>
  <si>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</si>
  <si>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</si>
  <si>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</si>
  <si>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</si>
  <si>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</si>
  <si>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</si>
  <si>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</si>
  <si>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</si>
  <si>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</si>
  <si>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</si>
  <si>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</si>
  <si>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</si>
  <si>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</si>
  <si>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</si>
  <si>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</si>
  <si>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</si>
  <si>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</si>
  <si>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</si>
  <si>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</si>
  <si>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</si>
  <si>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</si>
  <si>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</si>
  <si>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</si>
  <si>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</si>
  <si>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</si>
  <si>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</si>
  <si>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</si>
  <si>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</si>
  <si>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</si>
  <si>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</si>
  <si>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</si>
  <si>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</si>
  <si>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</si>
  <si>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</si>
  <si>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</si>
  <si>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</si>
  <si>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</si>
  <si>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</si>
  <si>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</si>
  <si>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</si>
  <si>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</si>
  <si>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</si>
  <si>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</si>
  <si>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</si>
  <si>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</si>
  <si>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</si>
  <si>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</si>
  <si>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</si>
  <si>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</si>
  <si>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</si>
  <si>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</si>
  <si>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</si>
  <si>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</si>
  <si>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</si>
  <si>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</si>
  <si>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</si>
  <si>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</si>
  <si>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</si>
  <si>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</si>
  <si>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</si>
  <si>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</si>
  <si>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</si>
  <si>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</si>
  <si>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</si>
  <si>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</si>
  <si>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</si>
  <si>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</si>
  <si>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</si>
  <si>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</si>
  <si>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</si>
  <si>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</si>
  <si>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</si>
  <si>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</si>
  <si>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</si>
  <si>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</si>
  <si>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</si>
  <si>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</si>
  <si>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</si>
  <si>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</si>
  <si>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</si>
  <si>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</si>
  <si>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</si>
  <si>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</si>
  <si>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</si>
  <si>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</si>
  <si>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</si>
  <si>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</si>
  <si>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</si>
  <si>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</si>
  <si>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</si>
  <si>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</si>
  <si>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</si>
  <si>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</si>
  <si>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</si>
  <si>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</si>
  <si>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</si>
  <si>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</si>
  <si>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</si>
  <si>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</si>
  <si>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</si>
  <si>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</si>
  <si>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</si>
  <si>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</si>
  <si>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</si>
  <si>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</si>
  <si>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</si>
  <si>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</si>
  <si>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</si>
  <si>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</si>
  <si>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</si>
  <si>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</si>
  <si>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</si>
  <si>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</si>
  <si>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</si>
  <si>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</si>
  <si>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</si>
  <si>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</si>
  <si>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</si>
  <si>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</si>
  <si>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</si>
  <si>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</si>
  <si>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</si>
  <si>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</si>
  <si>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</si>
  <si>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</si>
  <si>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</si>
  <si>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</si>
  <si>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</si>
  <si>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</si>
  <si>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</si>
  <si>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</si>
  <si>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</si>
  <si>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</si>
  <si>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</si>
  <si>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</si>
  <si>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</si>
  <si>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</si>
  <si>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</si>
  <si>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</si>
  <si>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</si>
  <si>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</si>
  <si>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</si>
  <si>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</si>
  <si>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</si>
  <si>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</si>
  <si>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</si>
  <si>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</si>
  <si>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</si>
  <si>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</si>
  <si>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</si>
  <si>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</si>
  <si>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</si>
  <si>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</si>
  <si>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</si>
  <si>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</si>
  <si>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</si>
  <si>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</si>
  <si>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</si>
  <si>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</si>
  <si>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</si>
  <si>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</si>
  <si>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</si>
  <si>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</si>
  <si>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</si>
  <si>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</si>
  <si>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</si>
  <si>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</si>
  <si>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</si>
  <si>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</si>
  <si>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</si>
  <si>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</si>
  <si>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</si>
  <si>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</si>
  <si>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</si>
  <si>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</si>
  <si>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</si>
  <si>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</si>
  <si>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</si>
  <si>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</si>
  <si>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</si>
  <si>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</si>
  <si>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</si>
  <si>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</si>
  <si>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</si>
  <si>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</si>
  <si>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</si>
  <si>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</si>
  <si>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</si>
  <si>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</si>
  <si>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</si>
  <si>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</si>
  <si>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</si>
  <si>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</si>
  <si>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</si>
  <si>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</si>
  <si>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</si>
  <si>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</si>
  <si>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</si>
  <si>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</si>
  <si>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</si>
  <si>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</si>
  <si>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</si>
  <si>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</si>
  <si>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</si>
  <si>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</si>
  <si>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</si>
  <si>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</si>
  <si>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</si>
  <si>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</si>
  <si>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</si>
  <si>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</si>
  <si>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</si>
  <si>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</si>
  <si>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</si>
  <si>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</si>
  <si>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</si>
  <si>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</si>
  <si>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</si>
  <si>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</si>
  <si>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</si>
  <si>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</si>
  <si>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</si>
  <si>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</si>
  <si>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</si>
  <si>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</si>
  <si>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</si>
  <si>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</si>
  <si>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</si>
  <si>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</si>
  <si>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</si>
  <si>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</si>
  <si>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</si>
  <si>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</si>
  <si>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</si>
  <si>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</si>
  <si>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</si>
  <si>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</si>
  <si>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</si>
  <si>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</si>
  <si>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</si>
  <si>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</si>
  <si>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</si>
  <si>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</si>
  <si>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</si>
  <si>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</si>
  <si>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</si>
  <si>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</si>
  <si>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</si>
  <si>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</si>
  <si>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</si>
  <si>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</si>
  <si>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</si>
  <si>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</si>
  <si>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</si>
  <si>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</si>
  <si>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</si>
  <si>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</si>
  <si>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</si>
  <si>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</si>
  <si>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</si>
  <si>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</si>
  <si>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</si>
  <si>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</si>
  <si>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</si>
  <si>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</si>
  <si>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</si>
  <si>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</si>
  <si>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</si>
  <si>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</si>
  <si>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</si>
  <si>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</si>
  <si>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</si>
  <si>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</si>
  <si>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</si>
  <si>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</si>
  <si>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</si>
  <si>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</si>
  <si>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</si>
  <si>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</si>
  <si>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</si>
  <si>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</si>
  <si>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</si>
  <si>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</si>
  <si>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</si>
  <si>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</si>
  <si>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</si>
  <si>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</si>
  <si>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</si>
  <si>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</si>
  <si>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</si>
  <si>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</si>
  <si>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</si>
  <si>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</si>
  <si>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</si>
  <si>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</si>
  <si>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</si>
  <si>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</si>
  <si>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</si>
  <si>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</si>
  <si>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</si>
  <si>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</si>
  <si>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</si>
  <si>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</si>
  <si>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</si>
  <si>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</si>
  <si>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</si>
  <si>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</si>
  <si>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</si>
  <si>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</si>
  <si>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</si>
  <si>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</si>
  <si>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</si>
  <si>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</si>
  <si>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</si>
  <si>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</si>
  <si>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</si>
  <si>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</si>
  <si>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</si>
  <si>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</si>
  <si>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</si>
  <si>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</si>
  <si>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</si>
  <si>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</si>
  <si>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</si>
  <si>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</si>
  <si>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</si>
  <si>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</si>
  <si>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</si>
  <si>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</si>
  <si>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</si>
  <si>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</si>
  <si>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</si>
  <si>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</si>
  <si>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</si>
  <si>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</si>
  <si>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</si>
  <si>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</si>
  <si>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</si>
  <si>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</si>
  <si>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</si>
  <si>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</si>
  <si>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</si>
  <si>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</si>
  <si>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</si>
  <si>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</si>
  <si>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</si>
  <si>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</si>
  <si>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</si>
  <si>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</si>
  <si>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</si>
  <si>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</si>
  <si>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</si>
  <si>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</si>
  <si>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</si>
  <si>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</si>
  <si>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</si>
  <si>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</si>
  <si>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</si>
  <si>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</si>
  <si>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</si>
  <si>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</si>
  <si>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</si>
  <si>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</si>
  <si>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</si>
  <si>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</si>
  <si>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</si>
  <si>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</si>
  <si>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</si>
  <si>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</si>
  <si>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</si>
  <si>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</si>
  <si>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</si>
  <si>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</si>
  <si>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</si>
  <si>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</si>
  <si>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</si>
  <si>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</si>
  <si>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</si>
  <si>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</si>
  <si>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</si>
  <si>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</si>
  <si>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</si>
  <si>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</si>
  <si>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</si>
  <si>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</si>
  <si>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</si>
  <si>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</si>
  <si>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</si>
  <si>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</si>
  <si>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</si>
  <si>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</si>
  <si>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</si>
  <si>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</si>
  <si>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</si>
  <si>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</si>
  <si>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</si>
  <si>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</si>
  <si>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</si>
  <si>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</si>
  <si>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</si>
  <si>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</si>
  <si>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</si>
  <si>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</si>
  <si>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</si>
  <si>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</si>
  <si>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</si>
  <si>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</si>
  <si>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</si>
  <si>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</si>
  <si>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</si>
  <si>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</si>
  <si>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</si>
  <si>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</si>
  <si>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</si>
  <si>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</si>
  <si>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</si>
  <si>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</si>
  <si>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</si>
  <si>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</si>
  <si>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</si>
  <si>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</si>
  <si>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</si>
  <si>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</si>
  <si>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</si>
  <si>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</si>
  <si>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</si>
  <si>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</si>
  <si>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</si>
  <si>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</si>
  <si>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</si>
  <si>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</si>
  <si>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</si>
  <si>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</si>
  <si>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</si>
  <si>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</si>
  <si>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</si>
  <si>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</si>
  <si>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</si>
  <si>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</si>
  <si>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</si>
  <si>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</si>
  <si>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</si>
  <si>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</si>
  <si>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</si>
  <si>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</si>
  <si>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</si>
  <si>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</si>
  <si>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</si>
  <si>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</si>
  <si>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</si>
  <si>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</si>
  <si>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</si>
  <si>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</si>
  <si>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</si>
  <si>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</si>
  <si>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</si>
  <si>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</si>
  <si>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</si>
  <si>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</si>
  <si>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</si>
  <si>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</si>
  <si>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</si>
  <si>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</si>
  <si>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</si>
  <si>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</si>
  <si>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</si>
  <si>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</si>
  <si>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</si>
  <si>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</si>
  <si>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</si>
  <si>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</si>
  <si>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</si>
  <si>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</si>
  <si>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</si>
  <si>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</si>
  <si>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</si>
  <si>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</si>
  <si>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</si>
  <si>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</si>
  <si>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</si>
  <si>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</si>
  <si>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</si>
  <si>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</si>
  <si>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</si>
  <si>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</si>
  <si>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</si>
  <si>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</si>
  <si>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</si>
  <si>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</si>
  <si>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</si>
  <si>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</si>
  <si>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</si>
  <si>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</si>
  <si>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</si>
  <si>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</si>
  <si>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</si>
  <si>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</si>
  <si>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</si>
  <si>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</si>
  <si>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</si>
  <si>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</si>
  <si>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</si>
  <si>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</si>
  <si>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</si>
  <si>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</si>
  <si>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</si>
  <si>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</si>
  <si>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</si>
  <si>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</si>
  <si>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</si>
  <si>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</si>
  <si>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</si>
  <si>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</si>
  <si>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</si>
  <si>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</si>
  <si>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</si>
  <si>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</si>
  <si>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</si>
  <si>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</si>
  <si>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</si>
  <si>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</si>
  <si>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</si>
  <si>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</si>
  <si>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</si>
  <si>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</si>
  <si>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</si>
  <si>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</si>
  <si>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</si>
  <si>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</si>
  <si>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</si>
  <si>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</si>
  <si>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</si>
  <si>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</si>
  <si>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</si>
  <si>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</si>
  <si>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</si>
  <si>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</si>
  <si>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</si>
  <si>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</si>
  <si>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</si>
  <si>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</si>
  <si>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</si>
  <si>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</si>
  <si>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</si>
  <si>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</si>
  <si>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</si>
  <si>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</si>
  <si>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</si>
  <si>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</si>
  <si>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</si>
  <si>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</si>
  <si>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</si>
  <si>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</si>
  <si>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</si>
  <si>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</si>
  <si>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</si>
  <si>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</si>
  <si>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</si>
  <si>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</si>
  <si>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</si>
  <si>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</si>
  <si>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</si>
  <si>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</si>
  <si>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</si>
  <si>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</si>
  <si>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</si>
  <si>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</si>
  <si>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</si>
  <si>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</si>
  <si>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</si>
  <si>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</si>
  <si>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</si>
  <si>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</si>
  <si>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</si>
  <si>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</si>
  <si>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</si>
  <si>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</si>
  <si>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</si>
  <si>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</si>
  <si>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</si>
  <si>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</si>
  <si>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</si>
  <si>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</si>
  <si>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</si>
  <si>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</si>
  <si>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</si>
  <si>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</si>
  <si>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</si>
  <si>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</si>
  <si>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</si>
  <si>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</si>
  <si>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</si>
  <si>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</si>
  <si>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</si>
  <si>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</si>
  <si>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</si>
  <si>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</si>
  <si>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</si>
  <si>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</si>
  <si>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</si>
  <si>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</si>
  <si>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</si>
  <si>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</si>
  <si>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</si>
  <si>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</si>
  <si>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</si>
  <si>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</si>
  <si>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</si>
  <si>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</si>
  <si>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</si>
  <si>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</si>
  <si>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</si>
  <si>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</si>
  <si>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</si>
  <si>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</si>
  <si>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</si>
  <si>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</si>
  <si>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</si>
  <si>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</si>
  <si>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</si>
  <si>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</si>
  <si>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</si>
  <si>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</si>
  <si>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</si>
  <si>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</si>
  <si>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</si>
  <si>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</si>
  <si>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</si>
  <si>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</si>
  <si>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</si>
  <si>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</si>
  <si>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</si>
  <si>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</si>
  <si>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</si>
  <si>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</si>
  <si>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</si>
  <si>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</si>
  <si>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</si>
  <si>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</si>
  <si>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</si>
  <si>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</si>
  <si>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</si>
  <si>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</si>
  <si>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</si>
  <si>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</si>
  <si>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</si>
  <si>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</si>
  <si>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</si>
  <si>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</si>
  <si>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</si>
  <si>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</si>
  <si>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</si>
  <si>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</si>
  <si>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</si>
  <si>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</si>
  <si>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</si>
  <si>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</si>
  <si>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</si>
  <si>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</si>
  <si>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</si>
  <si>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</si>
  <si>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</si>
  <si>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</si>
  <si>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</si>
  <si>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</si>
  <si>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</si>
  <si>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</si>
  <si>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</si>
  <si>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</si>
  <si>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</si>
  <si>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</si>
  <si>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</si>
  <si>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</si>
  <si>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</si>
  <si>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</si>
  <si>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</si>
  <si>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</si>
  <si>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</si>
  <si>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</si>
  <si>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</si>
  <si>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</si>
  <si>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</si>
  <si>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</si>
  <si>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</si>
  <si>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</si>
  <si>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</si>
  <si>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</si>
  <si>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</si>
  <si>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</si>
  <si>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</si>
  <si>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</si>
  <si>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</si>
  <si>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</si>
  <si>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</si>
  <si>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</si>
  <si>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</si>
  <si>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</si>
  <si>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</si>
  <si>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</si>
  <si>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</si>
  <si>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</si>
  <si>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</si>
  <si>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</si>
  <si>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</si>
  <si>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</si>
  <si>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</si>
  <si>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</si>
  <si>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</si>
  <si>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</si>
  <si>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</si>
  <si>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</si>
  <si>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</si>
  <si>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</si>
  <si>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</si>
  <si>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</si>
  <si>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</si>
  <si>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</si>
  <si>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</si>
  <si>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</si>
  <si>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</si>
  <si>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</si>
  <si>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</si>
  <si>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</si>
  <si>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</si>
  <si>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</si>
  <si>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</si>
  <si>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</si>
  <si>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</si>
  <si>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</si>
  <si>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</si>
  <si>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</si>
  <si>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</si>
  <si>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</si>
  <si>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</si>
  <si>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</si>
  <si>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</si>
  <si>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</si>
  <si>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</si>
  <si>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</si>
  <si>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</si>
  <si>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</si>
  <si>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</si>
  <si>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</si>
  <si>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</si>
  <si>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</si>
  <si>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</si>
  <si>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</si>
  <si>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</si>
  <si>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</si>
  <si>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</si>
  <si>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</si>
  <si>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</si>
  <si>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</si>
  <si>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</si>
  <si>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</si>
  <si>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</si>
  <si>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</si>
  <si>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</si>
  <si>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</si>
  <si>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</si>
  <si>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</si>
  <si>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</si>
  <si>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</si>
  <si>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</si>
  <si>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</si>
  <si>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</si>
  <si>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</si>
  <si>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</si>
  <si>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</si>
  <si>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</si>
  <si>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</si>
  <si>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</si>
  <si>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</si>
  <si>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</si>
  <si>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</si>
  <si>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</si>
  <si>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</si>
  <si>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</si>
  <si>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</si>
  <si>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</si>
  <si>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</si>
  <si>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</si>
  <si>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</si>
  <si>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</si>
  <si>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</si>
  <si>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</si>
  <si>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</si>
  <si>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</si>
  <si>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</si>
  <si>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</si>
  <si>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</si>
  <si>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</si>
  <si>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</si>
  <si>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</si>
  <si>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</si>
  <si>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</si>
  <si>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</si>
  <si>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</si>
  <si>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</si>
  <si>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</si>
  <si>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</si>
  <si>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</si>
  <si>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</si>
  <si>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</si>
  <si>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</si>
  <si>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</si>
  <si>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</si>
  <si>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</si>
  <si>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</si>
  <si>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</si>
  <si>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</si>
  <si>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</si>
  <si>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</si>
  <si>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</si>
  <si>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</si>
  <si>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</si>
  <si>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</si>
  <si>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</si>
  <si>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</si>
  <si>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</si>
  <si>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</si>
  <si>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</si>
  <si>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</si>
  <si>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</si>
  <si>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</si>
  <si>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</si>
  <si>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</si>
  <si>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</si>
  <si>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</si>
  <si>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</si>
  <si>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</si>
  <si>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</si>
  <si>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</si>
  <si>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</si>
  <si>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</si>
  <si>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</si>
  <si>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</si>
  <si>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</si>
  <si>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</si>
  <si>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</si>
  <si>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</si>
  <si>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</si>
  <si>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</si>
  <si>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</si>
  <si>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</si>
  <si>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</si>
  <si>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</si>
  <si>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</si>
  <si>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</si>
  <si>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</si>
  <si>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</si>
  <si>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</si>
  <si>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</si>
  <si>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</si>
  <si>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</si>
  <si>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</si>
  <si>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</si>
  <si>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</si>
  <si>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</si>
  <si>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</si>
  <si>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</si>
  <si>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</si>
  <si>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</si>
  <si>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</si>
  <si>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</si>
  <si>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</si>
  <si>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</si>
  <si>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</si>
  <si>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</si>
  <si>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</si>
  <si>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</si>
  <si>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</si>
  <si>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</si>
  <si>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</si>
  <si>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</si>
  <si>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</si>
  <si>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</si>
  <si>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</si>
  <si>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</si>
  <si>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</si>
  <si>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</si>
  <si>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</si>
  <si>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</si>
  <si>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</si>
  <si>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</si>
  <si>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</si>
  <si>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</si>
  <si>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</si>
  <si>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</si>
  <si>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</si>
  <si>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</si>
  <si>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</si>
  <si>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</si>
  <si>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</si>
  <si>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</si>
  <si>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</si>
  <si>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</si>
  <si>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</si>
  <si>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</si>
  <si>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</si>
  <si>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</si>
  <si>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</si>
  <si>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</si>
  <si>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</si>
  <si>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</si>
  <si>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</si>
  <si>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</si>
  <si>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</si>
  <si>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</si>
  <si>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</si>
  <si>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</si>
  <si>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</si>
  <si>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</si>
  <si>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</si>
  <si>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</si>
  <si>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</si>
  <si>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</si>
  <si>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</si>
  <si>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</si>
  <si>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</si>
  <si>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</si>
  <si>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</si>
  <si>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</si>
  <si>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</si>
  <si>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</si>
  <si>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</si>
  <si>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</si>
  <si>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</si>
  <si>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</si>
  <si>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</si>
  <si>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</si>
  <si>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</si>
  <si>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</si>
  <si>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</si>
  <si>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</si>
  <si>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</si>
  <si>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</si>
  <si>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</si>
  <si>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</si>
  <si>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</si>
  <si>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</si>
  <si>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</si>
  <si>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</si>
  <si>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</si>
  <si>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</si>
  <si>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</si>
  <si>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</si>
  <si>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</si>
  <si>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</si>
  <si>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</si>
  <si>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</si>
  <si>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</si>
  <si>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</si>
  <si>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</si>
  <si>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</si>
  <si>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</si>
  <si>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</si>
  <si>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</si>
  <si>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</si>
  <si>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</si>
  <si>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</si>
  <si>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</si>
  <si>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</si>
  <si>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</si>
  <si>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</si>
  <si>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</si>
  <si>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</si>
  <si>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</si>
  <si>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</si>
  <si>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</si>
  <si>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</si>
  <si>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</si>
  <si>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</si>
  <si>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</si>
  <si>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</si>
  <si>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</si>
  <si>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</si>
  <si>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</si>
  <si>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</si>
  <si>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</si>
  <si>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</si>
  <si>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</si>
  <si>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</si>
  <si>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</si>
  <si>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</si>
  <si>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</si>
  <si>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</si>
  <si>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</si>
  <si>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</si>
  <si>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</si>
  <si>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</si>
  <si>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</si>
  <si>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</si>
  <si>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</si>
  <si>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</si>
  <si>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</si>
  <si>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</si>
  <si>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</si>
  <si>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</si>
  <si>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</si>
  <si>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</si>
  <si>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</si>
  <si>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</si>
  <si>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</si>
  <si>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</si>
  <si>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</si>
  <si>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</si>
  <si>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</si>
  <si>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</si>
  <si>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</si>
  <si>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</si>
  <si>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</si>
  <si>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</si>
  <si>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</si>
  <si>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</si>
  <si>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</si>
  <si>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</si>
  <si>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</si>
  <si>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</si>
  <si>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</si>
  <si>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</si>
  <si>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</si>
  <si>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</si>
  <si>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</si>
  <si>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</si>
  <si>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</si>
  <si>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</si>
  <si>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</si>
  <si>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</si>
  <si>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</si>
  <si>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</si>
  <si>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</si>
  <si>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</si>
  <si>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</si>
  <si>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</si>
  <si>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</si>
  <si>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</si>
  <si>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</si>
  <si>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</si>
  <si>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</si>
  <si>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</si>
  <si>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</si>
  <si>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</si>
  <si>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</si>
  <si>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</si>
  <si>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</si>
  <si>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</si>
  <si>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</si>
  <si>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</si>
  <si>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</si>
  <si>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</si>
  <si>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</si>
  <si>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</si>
  <si>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</si>
  <si>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</si>
  <si>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</si>
  <si>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</si>
  <si>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</si>
  <si>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</si>
  <si>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</si>
  <si>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</si>
  <si>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</si>
  <si>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</si>
  <si>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</si>
  <si>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</si>
  <si>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</si>
  <si>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</si>
  <si>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</si>
  <si>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</si>
  <si>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</si>
  <si>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</si>
  <si>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</si>
  <si>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</si>
  <si>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</si>
  <si>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</si>
  <si>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</si>
  <si>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</si>
  <si>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</si>
  <si>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</si>
  <si>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</si>
  <si>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</si>
  <si>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</si>
  <si>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</si>
  <si>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</si>
  <si>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</si>
  <si>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</si>
  <si>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</si>
  <si>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</si>
  <si>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</si>
  <si>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</si>
  <si>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</si>
  <si>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</si>
  <si>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</si>
  <si>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</si>
  <si>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</si>
  <si>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</si>
  <si>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</si>
  <si>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</si>
  <si>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</si>
  <si>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</si>
  <si>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</si>
  <si>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</si>
  <si>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</si>
  <si>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</si>
  <si>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</si>
  <si>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</si>
  <si>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</si>
  <si>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</si>
  <si>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</si>
  <si>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</si>
  <si>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</si>
  <si>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</si>
  <si>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</si>
  <si>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</si>
  <si>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</si>
  <si>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</si>
  <si>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</si>
  <si>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</si>
  <si>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</si>
  <si>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</si>
  <si>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</si>
  <si>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</si>
  <si>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</si>
  <si>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</si>
  <si>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</si>
  <si>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</si>
  <si>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</si>
  <si>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</si>
  <si>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</si>
  <si>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</si>
  <si>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</si>
  <si>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</si>
  <si>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</si>
  <si>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</si>
  <si>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</si>
  <si>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</si>
  <si>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</si>
  <si>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</si>
  <si>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</si>
  <si>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</si>
  <si>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</si>
  <si>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</si>
  <si>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</si>
  <si>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</si>
  <si>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</si>
  <si>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</si>
  <si>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</si>
  <si>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</si>
  <si>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</si>
  <si>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</si>
  <si>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</si>
  <si>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</si>
  <si>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</si>
  <si>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</si>
  <si>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</si>
  <si>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</si>
  <si>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</si>
  <si>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</si>
  <si>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</si>
  <si>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</si>
  <si>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</si>
  <si>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</si>
  <si>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</si>
  <si>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</si>
  <si>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</si>
  <si>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</si>
  <si>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</si>
  <si>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</si>
  <si>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</si>
  <si>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</si>
  <si>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</si>
  <si>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</si>
  <si>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</si>
  <si>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</si>
  <si>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</si>
  <si>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</si>
  <si>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</si>
  <si>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</si>
  <si>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</si>
  <si>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</si>
  <si>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</si>
  <si>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</si>
  <si>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</si>
  <si>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</si>
  <si>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</si>
  <si>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</si>
  <si>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</si>
  <si>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</si>
  <si>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</si>
  <si>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</si>
  <si>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</si>
  <si>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</si>
  <si>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</si>
  <si>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</si>
  <si>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</si>
  <si>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</si>
  <si>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</si>
  <si>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</si>
  <si>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</si>
  <si>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</si>
  <si>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</si>
  <si>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</si>
  <si>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</si>
  <si>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</si>
  <si>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</si>
  <si>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</si>
  <si>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</si>
  <si>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</si>
  <si>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</si>
  <si>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</si>
  <si>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</si>
  <si>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</si>
  <si>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</si>
  <si>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</si>
  <si>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</si>
  <si>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</si>
  <si>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</si>
  <si>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</si>
  <si>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</si>
  <si>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</si>
  <si>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</si>
  <si>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</si>
  <si>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</si>
  <si>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</si>
  <si>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</si>
  <si>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</si>
  <si>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</si>
  <si>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</si>
  <si>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</si>
  <si>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</si>
  <si>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</si>
  <si>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</si>
  <si>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</si>
  <si>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</si>
  <si>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</si>
  <si>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</si>
  <si>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</si>
  <si>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</si>
  <si>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</si>
  <si>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</si>
  <si>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</si>
  <si>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</si>
  <si>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</si>
  <si>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</si>
  <si>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</si>
  <si>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</si>
  <si>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</si>
  <si>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</si>
  <si>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</si>
  <si>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</si>
  <si>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</si>
  <si>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</si>
  <si>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</si>
  <si>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</si>
  <si>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</si>
  <si>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</si>
  <si>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</si>
  <si>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</si>
  <si>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</si>
  <si>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</si>
  <si>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</si>
  <si>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</si>
  <si>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</si>
  <si>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</si>
  <si>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</si>
  <si>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</si>
  <si>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</si>
  <si>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</si>
  <si>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</si>
  <si>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</si>
  <si>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</si>
  <si>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</si>
  <si>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</si>
  <si>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</si>
  <si>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</si>
  <si>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</si>
  <si>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</si>
  <si>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</si>
  <si>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</si>
  <si>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</si>
  <si>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</si>
  <si>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</si>
  <si>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</si>
  <si>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</si>
  <si>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</si>
  <si>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</si>
  <si>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</si>
  <si>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</si>
  <si>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</si>
  <si>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</si>
  <si>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</si>
  <si>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</si>
  <si>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</si>
  <si>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</si>
  <si>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</si>
  <si>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</si>
  <si>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</si>
  <si>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</si>
  <si>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</si>
  <si>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</si>
  <si>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</si>
  <si>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</si>
  <si>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</si>
  <si>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</si>
  <si>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</si>
  <si>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</si>
  <si>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</si>
  <si>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</si>
  <si>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</si>
  <si>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</si>
  <si>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</si>
  <si>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</si>
  <si>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</si>
  <si>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</si>
  <si>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</si>
  <si>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</si>
  <si>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</si>
  <si>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</si>
  <si>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</si>
  <si>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</si>
  <si>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</si>
  <si>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</si>
  <si>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</si>
  <si>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</si>
  <si>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</si>
  <si>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</si>
  <si>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</si>
  <si>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</si>
  <si>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</si>
  <si>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</si>
  <si>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</si>
  <si>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</si>
  <si>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</si>
  <si>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</si>
  <si>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</si>
  <si>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</si>
  <si>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</si>
  <si>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</si>
  <si>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</si>
  <si>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</si>
  <si>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</si>
  <si>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</si>
  <si>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</si>
  <si>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</si>
  <si>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</si>
  <si>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</si>
  <si>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</si>
  <si>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</si>
  <si>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</si>
  <si>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</si>
  <si>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</si>
  <si>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</si>
  <si>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</si>
  <si>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</si>
  <si>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</si>
  <si>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</si>
  <si>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</si>
  <si>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</si>
  <si>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</si>
  <si>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</si>
  <si>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</si>
  <si>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</si>
  <si>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</si>
  <si>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</si>
  <si>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</si>
  <si>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</si>
  <si>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</si>
  <si>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</si>
  <si>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</si>
  <si>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</si>
  <si>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</si>
  <si>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</si>
  <si>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</si>
  <si>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</si>
  <si>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</si>
  <si>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</si>
  <si>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</si>
  <si>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</si>
  <si>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</si>
  <si>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</si>
  <si>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</si>
  <si>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</si>
  <si>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</si>
  <si>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</si>
  <si>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</si>
  <si>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</si>
  <si>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</si>
  <si>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</si>
  <si>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</si>
  <si>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</si>
  <si>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</si>
  <si>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</si>
  <si>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</si>
  <si>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</si>
  <si>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</si>
  <si>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</si>
  <si>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</si>
  <si>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</si>
  <si>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</si>
  <si>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</si>
  <si>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</si>
  <si>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</si>
  <si>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</si>
  <si>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</si>
  <si>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</si>
  <si>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</si>
  <si>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</si>
  <si>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</si>
  <si>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</si>
  <si>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</si>
  <si>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</si>
  <si>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</si>
  <si>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</si>
  <si>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</si>
  <si>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</si>
  <si>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</si>
  <si>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</si>
  <si>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</si>
  <si>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</si>
  <si>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</si>
  <si>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</si>
  <si>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</si>
  <si>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</si>
  <si>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</si>
  <si>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</si>
  <si>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</si>
  <si>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</si>
  <si>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</si>
  <si>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</si>
  <si>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</si>
  <si>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</si>
  <si>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</si>
  <si>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</si>
  <si>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</si>
  <si>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</si>
  <si>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</si>
  <si>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</si>
  <si>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</si>
  <si>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</si>
  <si>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</si>
  <si>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</si>
  <si>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</si>
  <si>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</si>
  <si>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</si>
  <si>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</si>
  <si>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</si>
  <si>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</si>
  <si>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</si>
  <si>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</si>
  <si>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</si>
  <si>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</si>
  <si>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</si>
  <si>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</si>
  <si>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</si>
  <si>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</si>
  <si>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</si>
  <si>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</si>
  <si>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</si>
  <si>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</si>
  <si>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</si>
  <si>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</si>
  <si>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</si>
  <si>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</si>
  <si>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</si>
  <si>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</si>
  <si>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</si>
  <si>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</si>
  <si>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</si>
  <si>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</si>
  <si>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</si>
  <si>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</si>
  <si>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</si>
  <si>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</si>
  <si>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</si>
  <si>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</si>
  <si>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</si>
  <si>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</si>
  <si>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</si>
  <si>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</si>
  <si>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</si>
  <si>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</si>
  <si>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</si>
  <si>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</si>
  <si>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</si>
  <si>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</si>
  <si>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</si>
  <si>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</si>
  <si>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</si>
  <si>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</si>
  <si>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</si>
  <si>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</si>
  <si>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</si>
  <si>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</si>
  <si>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</si>
  <si>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</si>
  <si>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</si>
  <si>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</si>
  <si>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</si>
  <si>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</si>
  <si>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</si>
  <si>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</si>
  <si>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</si>
  <si>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</si>
  <si>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</si>
  <si>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</si>
  <si>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</si>
  <si>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</si>
  <si>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</si>
  <si>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</si>
  <si>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</si>
  <si>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</si>
  <si>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</si>
  <si>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</si>
  <si>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</si>
  <si>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</si>
  <si>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</si>
  <si>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</si>
  <si>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</si>
  <si>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</si>
  <si>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</si>
  <si>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</si>
  <si>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</si>
  <si>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</si>
  <si>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</si>
  <si>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</si>
  <si>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</si>
  <si>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</si>
  <si>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</si>
  <si>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</si>
  <si>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</si>
  <si>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</si>
  <si>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</si>
  <si>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</si>
  <si>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</si>
  <si>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</si>
  <si>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</si>
  <si>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</si>
  <si>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</si>
  <si>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</si>
  <si>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</si>
  <si>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</si>
  <si>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</si>
  <si>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</si>
  <si>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</si>
  <si>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</si>
  <si>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</si>
  <si>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</si>
  <si>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</si>
  <si>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</si>
  <si>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</si>
  <si>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</si>
  <si>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</si>
  <si>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</si>
  <si>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</si>
  <si>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</si>
  <si>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</si>
  <si>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</si>
  <si>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</si>
  <si>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</si>
  <si>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</si>
  <si>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</si>
  <si>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</si>
  <si>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</si>
  <si>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</si>
  <si>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</si>
  <si>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</si>
  <si>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</si>
  <si>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</si>
  <si>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</si>
  <si>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</si>
  <si>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</si>
  <si>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</si>
  <si>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</si>
  <si>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</si>
  <si>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</si>
  <si>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</si>
  <si>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</si>
  <si>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</si>
  <si>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</si>
  <si>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</si>
  <si>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</si>
  <si>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</si>
  <si>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</si>
  <si>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</si>
  <si>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</si>
  <si>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</si>
  <si>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</si>
  <si>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</si>
  <si>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</si>
  <si>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</si>
  <si>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</si>
  <si>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</si>
  <si>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</si>
  <si>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</si>
  <si>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</si>
  <si>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</si>
  <si>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</si>
  <si>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</si>
  <si>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</si>
  <si>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</si>
  <si>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</si>
  <si>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</si>
  <si>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</si>
  <si>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</si>
  <si>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</si>
  <si>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</si>
  <si>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</si>
  <si>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</si>
  <si>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</si>
  <si>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</si>
  <si>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</si>
  <si>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</si>
  <si>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</si>
  <si>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</si>
  <si>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</si>
  <si>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</si>
  <si>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</si>
  <si>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</si>
  <si>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</si>
  <si>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</si>
  <si>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</si>
  <si>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</si>
  <si>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</si>
  <si>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</si>
  <si>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</si>
  <si>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</si>
  <si>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</si>
  <si>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</si>
  <si>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</si>
  <si>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</si>
  <si>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</si>
  <si>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</si>
  <si>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</si>
  <si>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</si>
  <si>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</si>
  <si>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</si>
  <si>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</si>
  <si>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</si>
  <si>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</si>
  <si>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</si>
  <si>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</si>
  <si>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</si>
  <si>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</si>
  <si>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</si>
  <si>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</si>
  <si>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</si>
  <si>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</si>
  <si>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</si>
  <si>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</si>
  <si>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</si>
  <si>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</si>
  <si>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</si>
  <si>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</si>
  <si>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</si>
  <si>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</si>
  <si>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</si>
  <si>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</si>
  <si>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</si>
  <si>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</si>
  <si>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</si>
  <si>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</si>
  <si>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</si>
  <si>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</si>
  <si>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</si>
  <si>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</si>
  <si>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</si>
  <si>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</si>
  <si>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</si>
  <si>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</si>
  <si>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</si>
  <si>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</si>
  <si>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</si>
  <si>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</si>
  <si>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</si>
  <si>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</si>
  <si>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</si>
  <si>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</si>
  <si>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</si>
  <si>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</si>
  <si>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</si>
  <si>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</si>
  <si>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</si>
  <si>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</si>
  <si>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</si>
  <si>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</si>
  <si>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</si>
  <si>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</si>
  <si>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</si>
  <si>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</si>
  <si>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</si>
  <si>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</si>
  <si>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</si>
  <si>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</si>
  <si>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</si>
  <si>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</si>
  <si>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</si>
  <si>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</si>
  <si>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</si>
  <si>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</si>
  <si>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</si>
  <si>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</si>
  <si>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</si>
  <si>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</si>
  <si>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</si>
  <si>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</si>
  <si>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</si>
  <si>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</si>
  <si>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</si>
  <si>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</si>
  <si>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</si>
  <si>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</si>
  <si>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</si>
  <si>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</si>
  <si>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</si>
  <si>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</si>
  <si>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</si>
  <si>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</si>
  <si>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</si>
  <si>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</si>
  <si>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</si>
  <si>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</si>
  <si>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</si>
  <si>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</si>
  <si>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</si>
  <si>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</si>
  <si>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</si>
  <si>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</si>
  <si>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</si>
  <si>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</si>
  <si>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</si>
  <si>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</si>
  <si>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</si>
  <si>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</si>
  <si>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</si>
  <si>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</si>
  <si>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</si>
  <si>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</si>
  <si>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</si>
  <si>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</si>
  <si>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</si>
  <si>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</si>
  <si>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</si>
  <si>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</si>
  <si>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</si>
  <si>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</si>
  <si>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</si>
  <si>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</si>
  <si>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</si>
  <si>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</si>
  <si>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</si>
  <si>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</si>
  <si>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</si>
  <si>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</si>
  <si>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</si>
  <si>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</si>
  <si>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</si>
  <si>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</si>
  <si>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</si>
  <si>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</si>
  <si>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</si>
  <si>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</si>
  <si>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</si>
  <si>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</si>
  <si>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</si>
  <si>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</si>
  <si>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</si>
  <si>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</si>
  <si>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</si>
  <si>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</si>
  <si>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</si>
  <si>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</si>
  <si>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</si>
  <si>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</si>
  <si>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</si>
  <si>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</si>
  <si>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</si>
  <si>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</si>
  <si>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</si>
  <si>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</si>
  <si>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</si>
  <si>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</si>
  <si>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</si>
  <si>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</si>
  <si>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</si>
  <si>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</si>
  <si>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</si>
  <si>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</si>
  <si>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</si>
  <si>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</si>
  <si>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</si>
  <si>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</si>
  <si>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</si>
  <si>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</si>
  <si>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</si>
  <si>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</si>
  <si>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</si>
  <si>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</si>
  <si>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</si>
  <si>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</si>
  <si>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</si>
  <si>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</si>
  <si>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</si>
  <si>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</si>
  <si>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</si>
  <si>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</si>
  <si>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</si>
  <si>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</si>
  <si>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</si>
  <si>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</si>
  <si>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</si>
  <si>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</si>
  <si>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</si>
  <si>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</si>
  <si>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</si>
  <si>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</si>
  <si>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</si>
  <si>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</si>
  <si>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</si>
  <si>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</si>
  <si>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</si>
  <si>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</si>
  <si>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</si>
  <si>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</si>
  <si>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</si>
  <si>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</si>
  <si>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</si>
  <si>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</si>
  <si>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</si>
  <si>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</si>
  <si>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</si>
  <si>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</si>
  <si>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</si>
  <si>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</si>
  <si>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</si>
  <si>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</si>
  <si>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</si>
  <si>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</si>
  <si>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</si>
  <si>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</si>
  <si>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</si>
  <si>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</si>
  <si>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</si>
  <si>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</si>
  <si>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</si>
  <si>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</si>
  <si>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</si>
  <si>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</si>
  <si>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</si>
  <si>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</si>
  <si>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</si>
  <si>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</si>
  <si>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</si>
  <si>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</si>
  <si>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</si>
  <si>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</si>
  <si>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</si>
  <si>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</si>
  <si>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</si>
  <si>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</si>
  <si>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</si>
  <si>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</si>
  <si>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</si>
  <si>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</si>
  <si>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</si>
  <si>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</si>
  <si>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</si>
  <si>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</si>
  <si>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</si>
  <si>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</si>
  <si>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</si>
  <si>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</si>
  <si>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</si>
  <si>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</si>
  <si>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</si>
  <si>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</si>
  <si>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</si>
  <si>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</si>
  <si>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</si>
  <si>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</si>
  <si>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</si>
  <si>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</si>
  <si>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</si>
  <si>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</si>
  <si>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</si>
  <si>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</si>
  <si>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</si>
  <si>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</si>
  <si>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</si>
  <si>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</si>
  <si>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</si>
  <si>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</si>
  <si>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</si>
  <si>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</si>
  <si>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</si>
  <si>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</si>
  <si>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</si>
  <si>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</si>
  <si>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</si>
  <si>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</si>
  <si>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</si>
  <si>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</si>
  <si>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</si>
  <si>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</si>
  <si>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</si>
  <si>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</si>
  <si>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</si>
  <si>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</si>
  <si>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</si>
  <si>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</si>
  <si>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</si>
  <si>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</si>
  <si>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</si>
  <si>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</si>
  <si>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</si>
  <si>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</si>
  <si>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</si>
  <si>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</si>
  <si>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</si>
  <si>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</si>
  <si>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</si>
  <si>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</si>
  <si>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</si>
  <si>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</si>
  <si>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</si>
  <si>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</si>
  <si>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</si>
  <si>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</si>
  <si>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</si>
  <si>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</si>
  <si>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</si>
  <si>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</si>
  <si>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</si>
  <si>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</si>
  <si>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</si>
  <si>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</si>
  <si>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</si>
  <si>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</si>
  <si>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</si>
  <si>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</si>
  <si>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</si>
  <si>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</si>
  <si>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</si>
  <si>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</si>
  <si>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</si>
  <si>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</si>
  <si>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</si>
  <si>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</si>
  <si>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</si>
  <si>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</si>
  <si>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</si>
  <si>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</si>
  <si>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</si>
  <si>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</si>
  <si>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</si>
  <si>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</si>
  <si>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</si>
  <si>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</si>
  <si>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</si>
  <si>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</si>
  <si>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</si>
  <si>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</si>
  <si>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</si>
  <si>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</si>
  <si>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</si>
  <si>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</si>
  <si>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</si>
  <si>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</si>
  <si>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</si>
  <si>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</si>
  <si>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</si>
  <si>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</si>
  <si>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</si>
  <si>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</si>
  <si>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</si>
  <si>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</si>
  <si>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</si>
  <si>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</si>
  <si>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</si>
  <si>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</si>
  <si>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</si>
  <si>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</si>
  <si>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</si>
  <si>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</si>
  <si>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</si>
  <si>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</si>
  <si>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</si>
  <si>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</si>
  <si>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</si>
  <si>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</si>
  <si>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</si>
  <si>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</si>
  <si>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</si>
  <si>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</si>
  <si>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</si>
  <si>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</si>
  <si>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</si>
  <si>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</si>
  <si>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</si>
  <si>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</si>
  <si>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</si>
  <si>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</si>
  <si>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</si>
  <si>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</si>
  <si>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</si>
  <si>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</si>
  <si>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</si>
  <si>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</si>
  <si>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</si>
  <si>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</si>
  <si>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</si>
  <si>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</si>
  <si>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</si>
  <si>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</si>
  <si>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</si>
  <si>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</si>
  <si>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</si>
  <si>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</si>
  <si>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</si>
  <si>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</si>
  <si>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</si>
  <si>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</si>
  <si>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</si>
  <si>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</si>
  <si>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</si>
  <si>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</si>
  <si>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</si>
  <si>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</si>
  <si>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</si>
  <si>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</si>
  <si>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</si>
  <si>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</si>
  <si>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</si>
  <si>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</si>
  <si>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</si>
  <si>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</si>
  <si>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</si>
  <si>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</si>
  <si>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</si>
  <si>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</si>
  <si>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</si>
  <si>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</si>
  <si>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</si>
  <si>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</si>
  <si>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</si>
  <si>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</si>
  <si>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</si>
  <si>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</si>
  <si>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</si>
  <si>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</si>
  <si>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</si>
  <si>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</si>
  <si>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</si>
  <si>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</si>
  <si>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</si>
  <si>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</si>
  <si>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</si>
  <si>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</si>
  <si>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</si>
  <si>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</si>
  <si>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</si>
  <si>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</si>
  <si>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</si>
  <si>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</si>
  <si>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</si>
  <si>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</si>
  <si>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</si>
  <si>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</si>
  <si>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</si>
  <si>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</si>
  <si>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</si>
  <si>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</si>
  <si>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</si>
  <si>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</si>
  <si>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</si>
  <si>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</si>
  <si>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</si>
  <si>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</si>
  <si>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</si>
  <si>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</si>
  <si>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</si>
  <si>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</si>
  <si>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</si>
  <si>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</si>
  <si>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</si>
  <si>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</si>
  <si>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</si>
  <si>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</si>
  <si>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</si>
  <si>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</si>
  <si>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</si>
  <si>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</si>
  <si>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</si>
  <si>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</si>
  <si>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</si>
  <si>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</si>
  <si>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</si>
  <si>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</si>
  <si>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</si>
  <si>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</si>
  <si>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</si>
  <si>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</si>
  <si>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</si>
  <si>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</si>
  <si>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</si>
  <si>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</si>
  <si>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</si>
  <si>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</si>
  <si>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</si>
  <si>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</si>
  <si>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</si>
  <si>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</si>
  <si>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</si>
  <si>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</si>
  <si>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</si>
  <si>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</si>
  <si>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</si>
  <si>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</si>
  <si>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</si>
  <si>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</si>
  <si>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</si>
  <si>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</si>
  <si>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</si>
  <si>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</si>
  <si>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</si>
  <si>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</si>
  <si>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</si>
  <si>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</si>
  <si>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</si>
  <si>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</si>
  <si>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</si>
  <si>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</si>
  <si>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</si>
  <si>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</si>
  <si>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</si>
  <si>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</si>
  <si>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</si>
  <si>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</si>
  <si>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</si>
  <si>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</si>
  <si>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</si>
  <si>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</si>
  <si>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</si>
  <si>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</si>
  <si>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</si>
  <si>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</si>
  <si>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</si>
  <si>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</si>
  <si>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</si>
  <si>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</si>
  <si>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</si>
  <si>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</si>
  <si>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</si>
  <si>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</si>
  <si>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</si>
  <si>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</si>
  <si>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</si>
  <si>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</si>
  <si>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</si>
  <si>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</si>
  <si>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</si>
  <si>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</si>
  <si>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</si>
  <si>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</si>
  <si>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</si>
  <si>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</si>
  <si>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</si>
  <si>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</si>
  <si>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</si>
  <si>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</si>
  <si>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</si>
  <si>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</si>
  <si>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</si>
  <si>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</si>
  <si>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</si>
  <si>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</si>
  <si>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</si>
  <si>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</si>
  <si>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</si>
  <si>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</si>
  <si>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</si>
  <si>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</si>
  <si>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</si>
  <si>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</si>
  <si>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</si>
  <si>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</si>
  <si>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</si>
  <si>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</si>
  <si>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</si>
  <si>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</si>
  <si>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</si>
  <si>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</si>
  <si>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</si>
  <si>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</si>
  <si>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</si>
  <si>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</si>
  <si>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</si>
  <si>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</si>
  <si>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</si>
  <si>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</si>
  <si>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</si>
  <si>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</si>
  <si>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</si>
  <si>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</si>
  <si>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</si>
  <si>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</si>
  <si>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</si>
  <si>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</si>
  <si>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</si>
  <si>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</si>
  <si>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</si>
  <si>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</si>
  <si>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</si>
  <si>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</si>
  <si>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</si>
  <si>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</si>
  <si>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</si>
  <si>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</si>
  <si>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</si>
  <si>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</si>
  <si>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</si>
  <si>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</si>
  <si>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</si>
  <si>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</si>
  <si>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</si>
  <si>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</si>
  <si>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</si>
  <si>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</si>
  <si>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</si>
  <si>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</si>
  <si>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</si>
  <si>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</si>
  <si>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</si>
  <si>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</si>
  <si>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</si>
  <si>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</si>
  <si>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</si>
  <si>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</si>
  <si>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</si>
  <si>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</si>
  <si>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</si>
  <si>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</si>
  <si>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</si>
  <si>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</si>
  <si>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</si>
  <si>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</si>
  <si>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</si>
  <si>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</si>
  <si>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</si>
  <si>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</si>
  <si>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</si>
  <si>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</si>
  <si>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</si>
  <si>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</si>
  <si>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</si>
  <si>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</si>
  <si>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</si>
  <si>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</si>
  <si>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</si>
  <si>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</si>
  <si>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</si>
  <si>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</si>
  <si>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</si>
  <si>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</si>
  <si>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</si>
  <si>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</si>
  <si>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</si>
  <si>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</si>
  <si>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</si>
  <si>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</si>
  <si>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</si>
  <si>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</si>
  <si>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</si>
  <si>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</si>
  <si>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</si>
  <si>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</si>
  <si>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</si>
  <si>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</si>
  <si>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</si>
  <si>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</si>
  <si>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</si>
  <si>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</si>
  <si>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</si>
  <si>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</si>
  <si>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</si>
  <si>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</si>
  <si>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</si>
  <si>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</si>
  <si>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</si>
  <si>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</si>
  <si>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</si>
  <si>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</si>
  <si>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</si>
  <si>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</si>
  <si>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</si>
  <si>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</si>
  <si>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</si>
  <si>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</si>
  <si>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</si>
  <si>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</si>
  <si>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</si>
  <si>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</si>
  <si>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</si>
  <si>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</si>
  <si>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</si>
  <si>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</si>
  <si>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</si>
  <si>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</si>
  <si>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</si>
  <si>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</si>
  <si>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</si>
  <si>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</si>
  <si>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</si>
  <si>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</si>
  <si>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</si>
  <si>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</si>
  <si>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</si>
  <si>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</si>
  <si>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</si>
  <si>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</si>
  <si>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</si>
  <si>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</si>
  <si>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</si>
  <si>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</si>
  <si>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</si>
  <si>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</si>
  <si>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</si>
  <si>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</si>
  <si>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</si>
  <si>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</si>
  <si>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</si>
  <si>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</si>
  <si>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</si>
  <si>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</si>
  <si>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</si>
  <si>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</si>
  <si>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</si>
  <si>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</si>
  <si>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</si>
  <si>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</si>
  <si>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</si>
  <si>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</si>
  <si>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</si>
  <si>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</si>
  <si>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</si>
  <si>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</si>
  <si>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</si>
  <si>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</si>
  <si>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</si>
  <si>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</si>
  <si>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</si>
  <si>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</si>
  <si>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</si>
  <si>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</si>
  <si>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</si>
  <si>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</si>
  <si>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</si>
  <si>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</si>
  <si>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</si>
  <si>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</si>
  <si>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</si>
  <si>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</si>
  <si>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</si>
  <si>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</si>
  <si>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</si>
  <si>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</si>
  <si>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</si>
  <si>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</si>
  <si>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</si>
  <si>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</si>
  <si>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</si>
  <si>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</si>
  <si>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</si>
  <si>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</si>
  <si>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</si>
  <si>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</si>
  <si>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</si>
  <si>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</si>
  <si>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</si>
  <si>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</si>
  <si>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</si>
  <si>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</si>
  <si>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</si>
  <si>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</si>
  <si>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</si>
  <si>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</si>
  <si>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</si>
  <si>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</si>
  <si>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</si>
  <si>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</si>
  <si>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</si>
  <si>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</si>
  <si>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</si>
  <si>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</si>
  <si>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</si>
  <si>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</si>
  <si>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</si>
  <si>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</si>
  <si>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</si>
  <si>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</si>
  <si>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</si>
  <si>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</si>
  <si>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</si>
  <si>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</si>
  <si>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</si>
  <si>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</si>
  <si>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</si>
  <si>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</si>
  <si>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</si>
  <si>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</si>
  <si>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</si>
  <si>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</si>
  <si>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</si>
  <si>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</si>
  <si>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</si>
  <si>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</si>
  <si>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</si>
  <si>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</si>
  <si>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</si>
  <si>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</si>
  <si>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</si>
  <si>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</si>
  <si>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</si>
  <si>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</si>
  <si>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</si>
  <si>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</si>
  <si>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</si>
  <si>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</si>
  <si>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</si>
  <si>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</si>
  <si>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</si>
  <si>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</si>
  <si>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</si>
  <si>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</si>
  <si>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</si>
  <si>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</si>
  <si>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</si>
  <si>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</si>
  <si>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</si>
  <si>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</si>
  <si>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</si>
  <si>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</si>
  <si>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</si>
  <si>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</si>
  <si>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</si>
  <si>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</si>
  <si>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</si>
  <si>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</si>
  <si>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</si>
  <si>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</si>
  <si>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</si>
  <si>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</si>
  <si>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</si>
  <si>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</si>
  <si>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</si>
  <si>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</si>
  <si>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</si>
  <si>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</si>
  <si>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</si>
  <si>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</si>
  <si>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</si>
  <si>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</si>
  <si>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</si>
  <si>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</si>
  <si>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</si>
  <si>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</si>
  <si>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</si>
  <si>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</si>
  <si>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</si>
  <si>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</si>
  <si>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</si>
  <si>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</si>
  <si>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</si>
  <si>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</si>
  <si>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</si>
  <si>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</si>
  <si>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</si>
  <si>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</si>
  <si>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</si>
  <si>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</si>
  <si>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</si>
  <si>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</si>
  <si>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</si>
  <si>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</si>
  <si>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</si>
  <si>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</si>
  <si>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</si>
  <si>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</si>
  <si>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</si>
  <si>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</si>
  <si>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</si>
  <si>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</si>
  <si>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</si>
  <si>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</si>
  <si>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</si>
  <si>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</si>
  <si>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</si>
  <si>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</si>
  <si>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</si>
  <si>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</si>
  <si>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</si>
  <si>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</si>
  <si>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</si>
  <si>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</si>
  <si>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</si>
  <si>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</si>
  <si>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</si>
  <si>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</si>
  <si>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</si>
  <si>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</si>
  <si>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</si>
  <si>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</si>
  <si>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</si>
  <si>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</si>
  <si>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</si>
  <si>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</si>
  <si>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</si>
  <si>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</si>
  <si>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</si>
  <si>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</si>
  <si>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</si>
  <si>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</si>
  <si>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</si>
  <si>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</si>
  <si>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</si>
  <si>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</si>
  <si>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</si>
  <si>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</si>
  <si>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</si>
  <si>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</si>
  <si>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</si>
  <si>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</si>
  <si>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</si>
  <si>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</si>
  <si>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</si>
  <si>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</si>
  <si>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</si>
  <si>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</si>
  <si>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</si>
  <si>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</si>
  <si>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</si>
  <si>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</si>
  <si>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北</t>
    <phoneticPr fontId="4" type="noConversion"/>
  </si>
  <si>
    <t>=</t>
    <phoneticPr fontId="146" type="noConversion"/>
  </si>
  <si>
    <t>普通装修</t>
  </si>
  <si>
    <t>估价对象所在区域基础设施水平——七通</t>
    <phoneticPr fontId="20" type="noConversion"/>
  </si>
  <si>
    <t>估价对象所在区域基础设施水平——七通</t>
    <phoneticPr fontId="20" type="noConversion"/>
  </si>
  <si>
    <t>16</t>
    <phoneticPr fontId="4" type="noConversion"/>
  </si>
  <si>
    <t>估价对象周边有蓝堡国际公寓、光华欣居、金地国际花园、光辉里小区等居住小区，小区规模和社区发展完善程度较好，综合评价居住社区成熟度较好</t>
    <phoneticPr fontId="35" type="noConversion"/>
  </si>
  <si>
    <t>估价对象紧邻城市主干道——光华路，临近地铁1、14号线（大望路站），以估价对象为中心半径2公里范围内有30路、31路、95路、101路、112路等多条公交线路，综合评价交通便捷度较好</t>
    <phoneticPr fontId="35" type="noConversion"/>
  </si>
  <si>
    <t>自然环境：木头公园等；人文环境：首都经济贸易大学等，综合评价环境状况较好</t>
    <phoneticPr fontId="35" type="noConversion"/>
  </si>
  <si>
    <t>城市主干道——光华路</t>
    <phoneticPr fontId="20" type="noConversion"/>
  </si>
  <si>
    <t>北京市朝阳区光华路（阳光100）</t>
    <phoneticPr fontId="4" type="noConversion"/>
  </si>
  <si>
    <t>50-60（含）</t>
  </si>
  <si>
    <t>西南</t>
  </si>
  <si>
    <t>北</t>
  </si>
  <si>
    <t>主</t>
    <phoneticPr fontId="20" type="noConversion"/>
  </si>
  <si>
    <r>
      <t>18/34</t>
    </r>
    <r>
      <rPr>
        <sz val="11"/>
        <rFont val="宋体"/>
        <family val="3"/>
        <charset val="134"/>
      </rPr>
      <t>（中楼层）</t>
    </r>
    <phoneticPr fontId="20" type="noConversion"/>
  </si>
  <si>
    <t>低楼层/30</t>
    <phoneticPr fontId="20" type="noConversion"/>
  </si>
  <si>
    <t>中楼层/30</t>
    <phoneticPr fontId="20" type="noConversion"/>
  </si>
  <si>
    <t>低楼层/33</t>
    <phoneticPr fontId="20" type="noConversion"/>
  </si>
  <si>
    <t>塔楼</t>
  </si>
  <si>
    <t>钢混</t>
  </si>
  <si>
    <t>六通</t>
  </si>
  <si>
    <t>毛坯</t>
  </si>
  <si>
    <r>
      <t>18/34</t>
    </r>
    <r>
      <rPr>
        <sz val="11"/>
        <color indexed="8"/>
        <rFont val="宋体"/>
        <family val="3"/>
        <charset val="134"/>
      </rPr>
      <t>（中楼层）</t>
    </r>
    <phoneticPr fontId="20" type="noConversion"/>
  </si>
  <si>
    <t>低楼层/30</t>
    <phoneticPr fontId="20" type="noConversion"/>
  </si>
  <si>
    <t>中楼层/30</t>
    <phoneticPr fontId="20" type="noConversion"/>
  </si>
  <si>
    <t>低楼层/33</t>
    <phoneticPr fontId="20" type="noConversion"/>
  </si>
  <si>
    <t>北京市朝阳区光华路2号楼18层2106号住宅用房（阳光100）</t>
    <phoneticPr fontId="4" type="noConversion"/>
  </si>
  <si>
    <t>北京市朝阳区光华路（阳光100）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</si>
</sst>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621164</xdr:colOff>
      <xdr:row>11</xdr:row>
      <xdr:rowOff>102213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0731"/>
          <a:ext cx="8133334" cy="1809524"/>
        </a:xfrm>
        <a:prstGeom prst="rect">
          <a:avLst/>
        </a:prstGeom>
      </xdr:spPr>
    </xdr:pic>
    <xdr:clientData/>
  </xdr:twoCellAnchor>
  <xdr:twoCellAnchor editAs="oneCell">
    <xdr:from>
      <xdr:col>0</xdr:col>
      <xdr:colOff>1</xdr:colOff>
      <xdr:row>12</xdr:row>
      <xdr:rowOff>1</xdr:rowOff>
    </xdr:from>
    <xdr:to>
      <xdr:col>6</xdr:col>
      <xdr:colOff>359434</xdr:colOff>
      <xdr:row>31</xdr:row>
      <xdr:rowOff>62901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048775"/>
          <a:ext cx="4456980" cy="3306791"/>
        </a:xfrm>
        <a:prstGeom prst="rect">
          <a:avLst/>
        </a:prstGeom>
      </xdr:spPr>
    </xdr:pic>
    <xdr:clientData/>
  </xdr:twoCellAnchor>
  <xdr:twoCellAnchor editAs="oneCell">
    <xdr:from>
      <xdr:col>6</xdr:col>
      <xdr:colOff>431321</xdr:colOff>
      <xdr:row>12</xdr:row>
      <xdr:rowOff>0</xdr:rowOff>
    </xdr:from>
    <xdr:to>
      <xdr:col>13</xdr:col>
      <xdr:colOff>577011</xdr:colOff>
      <xdr:row>29</xdr:row>
      <xdr:rowOff>38227</xdr:rowOff>
    </xdr:to>
    <xdr:pic>
      <xdr:nvPicPr>
        <xdr:cNvPr id="4" name="图片 3"/>
        <xdr:cNvPicPr>
          <a:picLocks noChangeAspect="1"/>
        </xdr:cNvPicPr>
      </xdr:nvPicPr>
      <xdr:blipFill>
        <a:blip xmlns:r="http://schemas.openxmlformats.org/officeDocument/2006/relationships" r:embed="rId3"/>
        <a:stretch>
          <a:fillRect/>
        </a:stretch>
      </xdr:blipFill>
      <xdr:spPr>
        <a:xfrm>
          <a:off x="4528868" y="2048774"/>
          <a:ext cx="4926162" cy="2940656"/>
        </a:xfrm>
        <a:prstGeom prst="rect">
          <a:avLst/>
        </a:prstGeom>
      </xdr:spPr>
    </xdr:pic>
    <xdr:clientData/>
  </xdr:twoCellAnchor>
  <xdr:twoCellAnchor editAs="oneCell">
    <xdr:from>
      <xdr:col>0</xdr:col>
      <xdr:colOff>17972</xdr:colOff>
      <xdr:row>32</xdr:row>
      <xdr:rowOff>107831</xdr:rowOff>
    </xdr:from>
    <xdr:to>
      <xdr:col>12</xdr:col>
      <xdr:colOff>289545</xdr:colOff>
      <xdr:row>43</xdr:row>
      <xdr:rowOff>134550</xdr:rowOff>
    </xdr:to>
    <xdr:pic>
      <xdr:nvPicPr>
        <xdr:cNvPr id="5" name="图片 4"/>
        <xdr:cNvPicPr>
          <a:picLocks noChangeAspect="1"/>
        </xdr:cNvPicPr>
      </xdr:nvPicPr>
      <xdr:blipFill>
        <a:blip xmlns:r="http://schemas.openxmlformats.org/officeDocument/2006/relationships" r:embed="rId4"/>
        <a:stretch>
          <a:fillRect/>
        </a:stretch>
      </xdr:blipFill>
      <xdr:spPr>
        <a:xfrm>
          <a:off x="17972" y="5571227"/>
          <a:ext cx="8466667" cy="1904762"/>
        </a:xfrm>
        <a:prstGeom prst="rect">
          <a:avLst/>
        </a:prstGeom>
      </xdr:spPr>
    </xdr:pic>
    <xdr:clientData/>
  </xdr:twoCellAnchor>
  <xdr:twoCellAnchor editAs="oneCell">
    <xdr:from>
      <xdr:col>0</xdr:col>
      <xdr:colOff>1</xdr:colOff>
      <xdr:row>44</xdr:row>
      <xdr:rowOff>0</xdr:rowOff>
    </xdr:from>
    <xdr:to>
      <xdr:col>9</xdr:col>
      <xdr:colOff>514578</xdr:colOff>
      <xdr:row>66</xdr:row>
      <xdr:rowOff>98844</xdr:rowOff>
    </xdr:to>
    <xdr:pic>
      <xdr:nvPicPr>
        <xdr:cNvPr id="6" name="图片 5"/>
        <xdr:cNvPicPr>
          <a:picLocks noChangeAspect="1"/>
        </xdr:cNvPicPr>
      </xdr:nvPicPr>
      <xdr:blipFill>
        <a:blip xmlns:r="http://schemas.openxmlformats.org/officeDocument/2006/relationships" r:embed="rId5"/>
        <a:stretch>
          <a:fillRect/>
        </a:stretch>
      </xdr:blipFill>
      <xdr:spPr>
        <a:xfrm>
          <a:off x="1" y="7512170"/>
          <a:ext cx="6660898" cy="3854929"/>
        </a:xfrm>
        <a:prstGeom prst="rect">
          <a:avLst/>
        </a:prstGeom>
      </xdr:spPr>
    </xdr:pic>
    <xdr:clientData/>
  </xdr:twoCellAnchor>
  <xdr:twoCellAnchor editAs="oneCell">
    <xdr:from>
      <xdr:col>9</xdr:col>
      <xdr:colOff>530165</xdr:colOff>
      <xdr:row>44</xdr:row>
      <xdr:rowOff>35943</xdr:rowOff>
    </xdr:from>
    <xdr:to>
      <xdr:col>18</xdr:col>
      <xdr:colOff>355273</xdr:colOff>
      <xdr:row>66</xdr:row>
      <xdr:rowOff>70334</xdr:rowOff>
    </xdr:to>
    <xdr:pic>
      <xdr:nvPicPr>
        <xdr:cNvPr id="7" name="图片 6"/>
        <xdr:cNvPicPr>
          <a:picLocks noChangeAspect="1"/>
        </xdr:cNvPicPr>
      </xdr:nvPicPr>
      <xdr:blipFill>
        <a:blip xmlns:r="http://schemas.openxmlformats.org/officeDocument/2006/relationships" r:embed="rId6"/>
        <a:stretch>
          <a:fillRect/>
        </a:stretch>
      </xdr:blipFill>
      <xdr:spPr>
        <a:xfrm>
          <a:off x="6676486" y="7548113"/>
          <a:ext cx="5971429" cy="3790476"/>
        </a:xfrm>
        <a:prstGeom prst="rect">
          <a:avLst/>
        </a:prstGeom>
      </xdr:spPr>
    </xdr:pic>
    <xdr:clientData/>
  </xdr:twoCellAnchor>
  <xdr:twoCellAnchor editAs="oneCell">
    <xdr:from>
      <xdr:col>0</xdr:col>
      <xdr:colOff>0</xdr:colOff>
      <xdr:row>68</xdr:row>
      <xdr:rowOff>0</xdr:rowOff>
    </xdr:from>
    <xdr:to>
      <xdr:col>12</xdr:col>
      <xdr:colOff>147764</xdr:colOff>
      <xdr:row>78</xdr:row>
      <xdr:rowOff>111737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609717"/>
          <a:ext cx="8342858" cy="1819048"/>
        </a:xfrm>
        <a:prstGeom prst="rect">
          <a:avLst/>
        </a:prstGeom>
      </xdr:spPr>
    </xdr:pic>
    <xdr:clientData/>
  </xdr:twoCellAnchor>
  <xdr:twoCellAnchor editAs="oneCell">
    <xdr:from>
      <xdr:col>0</xdr:col>
      <xdr:colOff>0</xdr:colOff>
      <xdr:row>79</xdr:row>
      <xdr:rowOff>1</xdr:rowOff>
    </xdr:from>
    <xdr:to>
      <xdr:col>9</xdr:col>
      <xdr:colOff>1744</xdr:colOff>
      <xdr:row>99</xdr:row>
      <xdr:rowOff>80874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487760"/>
          <a:ext cx="6148065" cy="3495496"/>
        </a:xfrm>
        <a:prstGeom prst="rect">
          <a:avLst/>
        </a:prstGeom>
      </xdr:spPr>
    </xdr:pic>
    <xdr:clientData/>
  </xdr:twoCellAnchor>
  <xdr:twoCellAnchor editAs="oneCell">
    <xdr:from>
      <xdr:col>9</xdr:col>
      <xdr:colOff>35943</xdr:colOff>
      <xdr:row>79</xdr:row>
      <xdr:rowOff>53916</xdr:rowOff>
    </xdr:from>
    <xdr:to>
      <xdr:col>17</xdr:col>
      <xdr:colOff>272189</xdr:colOff>
      <xdr:row>100</xdr:row>
      <xdr:rowOff>34014</xdr:rowOff>
    </xdr:to>
    <xdr:pic>
      <xdr:nvPicPr>
        <xdr:cNvPr id="10" name="图片 9"/>
        <xdr:cNvPicPr>
          <a:picLocks noChangeAspect="1"/>
        </xdr:cNvPicPr>
      </xdr:nvPicPr>
      <xdr:blipFill>
        <a:blip xmlns:r="http://schemas.openxmlformats.org/officeDocument/2006/relationships" r:embed="rId9"/>
        <a:stretch>
          <a:fillRect/>
        </a:stretch>
      </xdr:blipFill>
      <xdr:spPr>
        <a:xfrm>
          <a:off x="6182264" y="13541675"/>
          <a:ext cx="5699642" cy="3565452"/>
        </a:xfrm>
        <a:prstGeom prst="rect">
          <a:avLst/>
        </a:prstGeom>
      </xdr:spPr>
    </xdr:pic>
    <xdr:clientData/>
  </xdr:twoCellAnchor>
  <xdr:twoCellAnchor editAs="oneCell">
    <xdr:from>
      <xdr:col>1</xdr:col>
      <xdr:colOff>0</xdr:colOff>
      <xdr:row>102</xdr:row>
      <xdr:rowOff>0</xdr:rowOff>
    </xdr:from>
    <xdr:to>
      <xdr:col>13</xdr:col>
      <xdr:colOff>481097</xdr:colOff>
      <xdr:row>145</xdr:row>
      <xdr:rowOff>163323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2925" y="17414575"/>
          <a:ext cx="8676191" cy="7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估价对象为房地产，为所有。根据《不动产权证书》[]，估价对象建筑面积为134.32平方米，（分摊）出让国有建设用地使用权面积为平方米。估价对象用途为。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2018年3月1日（评估专业人员实地查勘之日）</v>
      </c>
    </row>
    <row r="10" spans="1:2">
      <c r="A10" s="1708" t="s">
        <v>1120</v>
      </c>
      <c r="B10" s="1695" t="str">
        <f>'预评函-1'!A13</f>
        <v>本次估价的“房地产价值”是指在正常市场情况下，在价值时点2018年3月1日，估价对象规划用途为，假定未设立法定优先受偿款下的房地产市场价值。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134.32</v>
      </c>
    </row>
    <row r="19" spans="1:2">
      <c r="A19" s="1708" t="s">
        <v>1129</v>
      </c>
      <c r="B19" s="1695">
        <f ca="1">'预评函-2（1）'!D7</f>
        <v>9424563</v>
      </c>
    </row>
    <row r="20" spans="1:2">
      <c r="A20" s="1708" t="s">
        <v>1167</v>
      </c>
      <c r="B20" s="1695" t="str">
        <f>'预评函-2（1）'!C7</f>
        <v>总价（元）</v>
      </c>
    </row>
    <row r="21" spans="1:2">
      <c r="A21" s="1708" t="s">
        <v>1130</v>
      </c>
      <c r="B21" s="1695">
        <f ca="1">'预评函-2（1）'!D9</f>
        <v>70165</v>
      </c>
    </row>
    <row r="22" spans="1:2">
      <c r="A22" s="1708" t="s">
        <v>1131</v>
      </c>
      <c r="B22" s="1695" t="str">
        <f ca="1">'预评函-2（1）'!D8</f>
        <v>玖佰肆拾贰万肆仟伍佰陆拾叁元整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9424563</v>
      </c>
    </row>
    <row r="30" spans="1:2">
      <c r="A30" s="1708" t="s">
        <v>1137</v>
      </c>
      <c r="B30" s="1695" t="str">
        <f ca="1">'预评函-2（1）'!D16</f>
        <v>玖佰肆拾贰万肆仟伍佰陆拾叁元整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8727173</v>
      </c>
    </row>
    <row r="38" spans="1:2">
      <c r="A38" s="1708" t="s">
        <v>1145</v>
      </c>
      <c r="B38" s="1695">
        <f ca="1">'预评函-2（2）'!E4</f>
        <v>64973</v>
      </c>
    </row>
    <row r="39" spans="1:2">
      <c r="A39" s="1708" t="s">
        <v>1146</v>
      </c>
      <c r="B39" s="1695" t="str">
        <f ca="1">'预评函-2（2）'!D5</f>
        <v>捌佰柒拾贰万柒仟壹佰柒拾叁元整</v>
      </c>
    </row>
    <row r="40" spans="1:2">
      <c r="A40" s="1708" t="s">
        <v>1147</v>
      </c>
      <c r="B40" s="1695">
        <f ca="1">'预评函-2（2）'!F4</f>
        <v>697389</v>
      </c>
    </row>
    <row r="41" spans="1:2">
      <c r="A41" s="1708" t="s">
        <v>1148</v>
      </c>
      <c r="B41" s="1695">
        <f ca="1">'预评函-2（2）'!G4</f>
        <v>5192</v>
      </c>
    </row>
    <row r="42" spans="1:2" s="1705" customFormat="1" ht="15.75" thickBot="1">
      <c r="A42" s="1709" t="s">
        <v>1149</v>
      </c>
      <c r="B42" s="1697" t="str">
        <f ca="1">'预评函-2（2）'!F5</f>
        <v>陆拾玖万柒仟叁佰捌拾玖元整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70165</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43160</v>
      </c>
      <c r="C2" s="2005" t="s">
        <v>1550</v>
      </c>
      <c r="D2" s="1089">
        <v>43160</v>
      </c>
      <c r="E2" s="1065"/>
      <c r="F2" s="1065"/>
      <c r="G2" s="1689"/>
      <c r="H2" s="1021"/>
    </row>
    <row r="3" spans="1:10" ht="13.5" thickBot="1">
      <c r="A3" s="2006" t="s">
        <v>1551</v>
      </c>
      <c r="B3" s="2007" t="s">
        <v>2816</v>
      </c>
      <c r="C3" s="1066">
        <f ca="1">SUMIF(注册房地产估价师,B3,估价师及机构信息!B3:B24)</f>
        <v>1119970111</v>
      </c>
      <c r="D3" s="2007" t="s">
        <v>2901</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13" t="s">
        <v>1560</v>
      </c>
      <c r="B8" s="2026" t="s">
        <v>1561</v>
      </c>
      <c r="C8" s="2826"/>
      <c r="D8" s="2827"/>
      <c r="E8" s="2027" t="s">
        <v>1562</v>
      </c>
      <c r="F8" s="2028" t="s">
        <v>1563</v>
      </c>
      <c r="G8" s="691">
        <f>C6</f>
        <v>0</v>
      </c>
    </row>
    <row r="9" spans="1:10">
      <c r="A9" s="2813"/>
      <c r="B9" s="345" t="s">
        <v>1564</v>
      </c>
      <c r="C9" s="2717" t="s">
        <v>2821</v>
      </c>
      <c r="D9" s="2029"/>
      <c r="E9" s="1011" t="s">
        <v>1565</v>
      </c>
      <c r="F9" s="997"/>
      <c r="G9" s="1013"/>
    </row>
    <row r="10" spans="1:10" ht="13.5" thickBot="1">
      <c r="A10" s="2813"/>
      <c r="B10" s="345" t="s">
        <v>1566</v>
      </c>
      <c r="C10" s="2828"/>
      <c r="D10" s="2829"/>
      <c r="E10" s="2030" t="s">
        <v>1567</v>
      </c>
      <c r="F10" s="1014"/>
      <c r="G10" s="1015"/>
    </row>
    <row r="11" spans="1:10" ht="13.5" thickBot="1">
      <c r="A11" s="2813"/>
      <c r="B11" s="2031" t="s">
        <v>1568</v>
      </c>
      <c r="C11" s="2830"/>
      <c r="D11" s="2831"/>
      <c r="E11" s="1023"/>
      <c r="F11" s="1022"/>
      <c r="G11" s="1075"/>
    </row>
    <row r="12" spans="1:10" ht="24.75" thickBot="1">
      <c r="A12" s="2817" t="s">
        <v>1569</v>
      </c>
      <c r="B12" s="2032" t="s">
        <v>1570</v>
      </c>
      <c r="C12" s="1017">
        <v>134.32</v>
      </c>
      <c r="D12" s="2032" t="s">
        <v>1571</v>
      </c>
      <c r="E12" s="2033" t="s">
        <v>1572</v>
      </c>
      <c r="F12" s="2034" t="s">
        <v>1573</v>
      </c>
      <c r="G12" s="1075"/>
    </row>
    <row r="13" spans="1:10" ht="21" customHeight="1" thickBot="1">
      <c r="A13" s="2818"/>
      <c r="B13" s="2035" t="s">
        <v>1574</v>
      </c>
      <c r="C13" s="1018"/>
      <c r="D13" s="2035" t="s">
        <v>1575</v>
      </c>
      <c r="E13" s="2036" t="s">
        <v>1572</v>
      </c>
      <c r="F13" s="1022"/>
      <c r="G13" s="1075"/>
      <c r="I13" s="283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2" t="s">
        <v>1583</v>
      </c>
      <c r="C17" s="2833"/>
      <c r="D17" s="2834" t="s">
        <v>1584</v>
      </c>
      <c r="E17" s="283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c r="F27" s="1012" t="s">
        <v>1599</v>
      </c>
      <c r="G27" s="1005"/>
      <c r="I27" s="1072"/>
      <c r="K27" s="1072"/>
    </row>
    <row r="28" spans="1:15">
      <c r="A28" s="1009" t="s">
        <v>1600</v>
      </c>
      <c r="B28" s="979"/>
      <c r="C28" s="2822" t="s">
        <v>1601</v>
      </c>
      <c r="D28" s="2823"/>
      <c r="E28" s="979"/>
      <c r="F28" s="1900" t="s">
        <v>1601</v>
      </c>
      <c r="G28" s="979"/>
      <c r="I28" s="1072"/>
      <c r="K28" s="1072"/>
    </row>
    <row r="29" spans="1:15">
      <c r="A29" s="1009" t="s">
        <v>1602</v>
      </c>
      <c r="B29" s="979"/>
      <c r="C29" s="2822" t="s">
        <v>1602</v>
      </c>
      <c r="D29" s="2823"/>
      <c r="E29" s="979"/>
      <c r="F29" s="1900" t="s">
        <v>1603</v>
      </c>
      <c r="G29" s="979"/>
      <c r="I29" s="1072"/>
      <c r="K29" s="1072"/>
    </row>
    <row r="30" spans="1:15">
      <c r="A30" s="1009" t="s">
        <v>1604</v>
      </c>
      <c r="B30" s="979"/>
      <c r="C30" s="2842" t="s">
        <v>1605</v>
      </c>
      <c r="D30" s="2074"/>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row>
    <row r="35" spans="1:7">
      <c r="A35" s="1009" t="s">
        <v>1570</v>
      </c>
      <c r="B35" s="979"/>
      <c r="C35" s="2822" t="s">
        <v>1619</v>
      </c>
      <c r="D35" s="2823"/>
      <c r="E35" s="979"/>
      <c r="F35" s="1020" t="s">
        <v>1620</v>
      </c>
      <c r="G35" s="1005"/>
    </row>
    <row r="36" spans="1:7" ht="13.5" thickBot="1">
      <c r="A36" s="1009" t="s">
        <v>1621</v>
      </c>
      <c r="B36" s="979"/>
      <c r="C36" s="2824" t="s">
        <v>1622</v>
      </c>
      <c r="D36" s="2825"/>
      <c r="E36" s="1006"/>
      <c r="F36" s="1897" t="s">
        <v>1623</v>
      </c>
      <c r="G36" s="979"/>
    </row>
    <row r="37" spans="1:7" ht="13.5" thickBot="1">
      <c r="A37" s="1009" t="s">
        <v>1624</v>
      </c>
      <c r="B37" s="979"/>
      <c r="C37" s="2814" t="s">
        <v>1625</v>
      </c>
      <c r="D37" s="2075" t="s">
        <v>1609</v>
      </c>
      <c r="E37" s="1005"/>
      <c r="F37" s="1901" t="s">
        <v>1626</v>
      </c>
      <c r="G37" s="1006"/>
    </row>
    <row r="38" spans="1:7">
      <c r="A38" s="1009" t="s">
        <v>1627</v>
      </c>
      <c r="B38" s="979"/>
      <c r="C38" s="2815"/>
      <c r="D38" s="1899" t="s">
        <v>1616</v>
      </c>
      <c r="E38" s="979"/>
      <c r="F38" s="1012" t="s">
        <v>1628</v>
      </c>
      <c r="G38" s="1005"/>
    </row>
    <row r="39" spans="1:7">
      <c r="A39" s="1009" t="s">
        <v>1629</v>
      </c>
      <c r="B39" s="979"/>
      <c r="C39" s="2815" t="s">
        <v>1630</v>
      </c>
      <c r="D39" s="1899" t="s">
        <v>1570</v>
      </c>
      <c r="E39" s="979"/>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43160</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134.32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52.5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0.93200000000000005</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0.04</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2102"/>
      <c r="C18" s="1861"/>
      <c r="D18" s="2107" t="str">
        <f>IF(B25=0,"建安总额","在建建安")</f>
        <v>建安总额</v>
      </c>
      <c r="E18" s="987">
        <f>ROUND(B5*E17*IF(B25=0,1,E20),0)</f>
        <v>376096</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0.82</v>
      </c>
      <c r="F20" s="1239"/>
      <c r="G20" s="1861"/>
      <c r="H20" s="2849" t="s">
        <v>2876</v>
      </c>
      <c r="I20" s="2849"/>
      <c r="J20" s="2742"/>
      <c r="K20" s="2743"/>
      <c r="L20" s="2743"/>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4" t="s">
        <v>2877</v>
      </c>
      <c r="I21" s="2745">
        <v>0</v>
      </c>
      <c r="J21" s="2742"/>
      <c r="K21" s="2746"/>
      <c r="L21" s="2746"/>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4" t="s">
        <v>2878</v>
      </c>
      <c r="I22" s="2747" t="s">
        <v>2907</v>
      </c>
      <c r="J22" s="2742"/>
      <c r="K22" s="2746"/>
      <c r="L22" s="2748"/>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4" t="s">
        <v>2879</v>
      </c>
      <c r="I23" s="2747" t="s">
        <v>2880</v>
      </c>
      <c r="J23" s="2742"/>
      <c r="K23" s="2746"/>
      <c r="L23" s="2746"/>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4" t="s">
        <v>2881</v>
      </c>
      <c r="I24" s="2749">
        <f>ROUND(1-(1-I21)*I22/I23,2)</f>
        <v>0.73</v>
      </c>
      <c r="J24" s="2742"/>
      <c r="K24" s="2746"/>
      <c r="L24" s="2746"/>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0" t="s">
        <v>2882</v>
      </c>
      <c r="I25" s="2751">
        <v>0.5</v>
      </c>
      <c r="J25" s="2742"/>
      <c r="K25" s="2746"/>
      <c r="L25" s="2746"/>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850" t="s">
        <v>2883</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2" t="s">
        <v>2884</v>
      </c>
      <c r="I27" s="2753" t="s">
        <v>2885</v>
      </c>
      <c r="J27" s="2753" t="s">
        <v>2886</v>
      </c>
      <c r="K27" s="2753" t="s">
        <v>2887</v>
      </c>
      <c r="L27" s="2753" t="s">
        <v>2888</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2" t="s">
        <v>2889</v>
      </c>
      <c r="I28" s="2753">
        <v>100</v>
      </c>
      <c r="J28" s="2753" t="s">
        <v>2890</v>
      </c>
      <c r="K28" s="2753">
        <v>90</v>
      </c>
      <c r="L28" s="2754">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15000</v>
      </c>
      <c r="C29" s="1239"/>
      <c r="D29" s="2104" t="s">
        <v>1697</v>
      </c>
      <c r="E29" s="989">
        <f>E30+E31</f>
        <v>5.6000000000000001E-2</v>
      </c>
      <c r="F29" s="1855"/>
      <c r="G29" s="2083"/>
      <c r="H29" s="2752" t="s">
        <v>2891</v>
      </c>
      <c r="I29" s="2753">
        <v>100</v>
      </c>
      <c r="J29" s="2753" t="s">
        <v>2890</v>
      </c>
      <c r="K29" s="2753">
        <v>90</v>
      </c>
      <c r="L29" s="2754">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2" t="s">
        <v>2892</v>
      </c>
      <c r="I30" s="2753">
        <v>100</v>
      </c>
      <c r="J30" s="2753" t="s">
        <v>2890</v>
      </c>
      <c r="K30" s="2753">
        <v>90</v>
      </c>
      <c r="L30" s="2754">
        <f>1-L28-L29</f>
        <v>0.19999999999999996</v>
      </c>
      <c r="N30" s="1861"/>
      <c r="AE30" s="1239"/>
      <c r="AF30" s="1239"/>
      <c r="AG30" s="1239"/>
      <c r="AH30" s="1239"/>
      <c r="AI30" s="1239"/>
      <c r="AJ30" s="1239"/>
      <c r="AK30" s="1239"/>
      <c r="AL30" s="1239"/>
      <c r="AM30" s="1239"/>
      <c r="AN30" s="1239"/>
      <c r="AO30" s="1239"/>
    </row>
    <row r="31" spans="1:41" ht="14.25">
      <c r="A31" s="2098" t="s">
        <v>1700</v>
      </c>
      <c r="B31" s="30">
        <v>3.5000000000000003E-2</v>
      </c>
      <c r="C31" s="1239"/>
      <c r="D31" s="2118" t="s">
        <v>1701</v>
      </c>
      <c r="E31" s="42">
        <f>E30*(E32+E33+E34)+E35</f>
        <v>6.000000000000001E-3</v>
      </c>
      <c r="F31" s="1855"/>
      <c r="G31" s="2083"/>
      <c r="H31" s="2755" t="s">
        <v>2882</v>
      </c>
      <c r="I31" s="2756">
        <f>1-I25</f>
        <v>0.5</v>
      </c>
      <c r="J31" s="2753" t="s">
        <v>2881</v>
      </c>
      <c r="K31" s="2757">
        <v>0.9</v>
      </c>
      <c r="L31" s="2758"/>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-16</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5" sqref="F15"/>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2908</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2909</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2905</v>
      </c>
      <c r="D8" s="2158"/>
      <c r="E8" s="2158"/>
      <c r="F8" s="1248"/>
      <c r="G8" s="1248"/>
      <c r="H8" s="2148"/>
      <c r="I8" s="2148"/>
      <c r="J8" s="2148"/>
      <c r="K8" s="2148"/>
      <c r="L8" s="2148"/>
      <c r="M8" s="2148"/>
      <c r="N8" s="2148"/>
      <c r="O8" s="2148"/>
      <c r="P8" s="2148"/>
      <c r="Q8" s="2148"/>
      <c r="R8" s="2148"/>
    </row>
    <row r="9" spans="1:29" ht="40.5">
      <c r="A9" s="412"/>
      <c r="B9" s="1893" t="s">
        <v>1756</v>
      </c>
      <c r="C9" s="2725" t="s">
        <v>2910</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5" t="s">
        <v>2911</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估价对象周边有蓝堡国际公寓、光华欣居、金地国际花园、光辉里小区等居住小区，小区规模和社区发展完善程度较好，综合评价居住社区成熟度较好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估价对象紧邻城市主干道——光华路，临近地铁1、14号线（大望路站），以估价对象为中心半径2公里范围内有30路、31路、95路、101路、112路等多条公交线路，综合评价交通便捷度较好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自然环境：木头公园等；人文环境：首都经济贸易大学等，综合评价环境状况较好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城市主干道——光华路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16" zoomScaleNormal="100" zoomScaleSheetLayoutView="100" zoomScalePageLayoutView="80" workbookViewId="0">
      <selection activeCell="F27" sqref="F27"/>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9" t="str">
        <f>项目基本情况!B1</f>
        <v>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3" t="s">
        <v>1773</v>
      </c>
      <c r="B4" s="2204" t="s">
        <v>1774</v>
      </c>
      <c r="C4" s="2205" t="s">
        <v>2864</v>
      </c>
      <c r="D4" s="2205" t="s">
        <v>2865</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1776</v>
      </c>
      <c r="B5" s="2875">
        <v>25</v>
      </c>
      <c r="C5" s="2937">
        <v>80</v>
      </c>
      <c r="D5" s="2934">
        <f>100-C5</f>
        <v>20</v>
      </c>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10057210</v>
      </c>
      <c r="D19" s="60">
        <f ca="1">SUMIF(INDIRECT("'"&amp;D4&amp;"'"&amp;"!A:A"),结果表!B19,INDIRECT("'"&amp;D4&amp;"'"&amp;"!B:B"))</f>
        <v>6893807</v>
      </c>
      <c r="E19" s="2212" t="s">
        <v>1797</v>
      </c>
      <c r="F19" s="2213" t="s">
        <v>1796</v>
      </c>
      <c r="G19" s="61">
        <f ca="1">ROUND(C19*$C$18+D19*$D$18,0)</f>
        <v>9424529</v>
      </c>
      <c r="H19" s="2214" t="str">
        <f>'数据-取费表'!B3</f>
        <v>元</v>
      </c>
      <c r="I19" s="2201"/>
    </row>
    <row r="20" spans="1:35" ht="15">
      <c r="A20" s="2215"/>
      <c r="B20" s="2216" t="s">
        <v>1798</v>
      </c>
      <c r="C20" s="62">
        <f ca="1">SUMIF(INDIRECT("'"&amp;C4&amp;"'"&amp;"!A:A"),结果表!B20,INDIRECT("'"&amp;C4&amp;"'"&amp;"!B:B"))</f>
        <v>74875</v>
      </c>
      <c r="D20" s="63">
        <f ca="1">SUMIF(INDIRECT("'"&amp;D4&amp;"'"&amp;"!A:A"),结果表!B20,INDIRECT("'"&amp;D4&amp;"'"&amp;"!B:B"))</f>
        <v>51324</v>
      </c>
      <c r="E20" s="2215"/>
      <c r="F20" s="2216" t="s">
        <v>1798</v>
      </c>
      <c r="G20" s="64">
        <f ca="1">ROUND(C20*$C$18+D20*$D$18,0)</f>
        <v>70165</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0.45887606078905319</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c r="J25" s="2741"/>
      <c r="K25" s="2741"/>
    </row>
    <row r="26" spans="1:35" ht="13.5" customHeight="1">
      <c r="A26" s="2225" t="s">
        <v>1802</v>
      </c>
      <c r="B26" s="67" t="s">
        <v>1803</v>
      </c>
      <c r="C26" s="67" t="s">
        <v>1804</v>
      </c>
      <c r="D26" s="68" t="s">
        <v>1805</v>
      </c>
      <c r="E26" s="2201"/>
      <c r="F26" s="2201"/>
      <c r="G26" s="2201"/>
      <c r="H26" s="2201"/>
      <c r="I26" s="2201"/>
    </row>
    <row r="27" spans="1:35" ht="14.25">
      <c r="A27" s="2226" t="s">
        <v>2875</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1"/>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70165</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64973</v>
      </c>
      <c r="D34" s="1092">
        <f ca="1">IF(D33="自定义",ROUND(C34/C32,3),1-D35)</f>
        <v>0.92600000000000005</v>
      </c>
      <c r="E34" s="2239" t="s">
        <v>1811</v>
      </c>
      <c r="F34" s="1834">
        <v>2000</v>
      </c>
      <c r="G34" s="2201"/>
      <c r="H34" s="2201"/>
      <c r="I34" s="2201"/>
    </row>
    <row r="35" spans="1:16" ht="15.75" hidden="1" thickBot="1">
      <c r="A35" s="2240"/>
      <c r="B35" s="2241" t="s">
        <v>1812</v>
      </c>
      <c r="C35" s="74">
        <f ca="1">IF(D33="自定义",F35,ROUND(C32*D35,0))</f>
        <v>5192</v>
      </c>
      <c r="D35" s="1091">
        <f ca="1">IF(D33="自定义",ROUND(C35/C32,3),IF(D33="成本法成本比率",成本法!C56,IF(D33="收益法收益比率",收益法!J38,收益法!J41)))</f>
        <v>7.3999999999999996E-2</v>
      </c>
      <c r="E35" s="2242" t="s">
        <v>1813</v>
      </c>
      <c r="F35" s="80">
        <v>4460</v>
      </c>
      <c r="G35" s="2201"/>
      <c r="H35" s="2201"/>
      <c r="I35" s="2201"/>
    </row>
    <row r="36" spans="1:16" ht="15.75" hidden="1" thickBot="1">
      <c r="A36" s="2948" t="s">
        <v>1814</v>
      </c>
      <c r="B36" s="2243" t="s">
        <v>1815</v>
      </c>
      <c r="C36" s="70">
        <v>0</v>
      </c>
      <c r="D36" s="2244"/>
      <c r="E36" s="2245"/>
      <c r="F36" s="2245"/>
      <c r="G36" s="2201"/>
      <c r="H36" s="2201"/>
      <c r="I36" s="2201"/>
    </row>
    <row r="37" spans="1:16" ht="15.75" hidden="1" thickBot="1">
      <c r="A37" s="2949"/>
      <c r="B37" s="2246" t="s">
        <v>1816</v>
      </c>
      <c r="C37" s="72">
        <v>0</v>
      </c>
      <c r="D37" s="2211"/>
      <c r="E37" s="2211"/>
      <c r="F37" s="2245"/>
      <c r="G37" s="2211"/>
      <c r="H37" s="2211"/>
      <c r="I37" s="2211"/>
    </row>
    <row r="38" spans="1:16" ht="15.75" hidden="1" thickBot="1">
      <c r="A38" s="2950"/>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0"/>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3" t="s">
        <v>1825</v>
      </c>
      <c r="B45" s="2954"/>
      <c r="C45" s="2955"/>
      <c r="D45" s="81">
        <f ca="1">ROUND(I102*F45,0)</f>
        <v>9424563</v>
      </c>
      <c r="E45" s="82" t="s">
        <v>1826</v>
      </c>
      <c r="F45" s="83">
        <v>1</v>
      </c>
      <c r="G45" s="84" t="s">
        <v>1827</v>
      </c>
      <c r="H45" s="2201"/>
      <c r="I45" s="2201"/>
      <c r="J45" s="2865" t="s">
        <v>1828</v>
      </c>
      <c r="K45" s="2865"/>
      <c r="L45" s="2865"/>
      <c r="M45" s="2865"/>
      <c r="N45" s="2865"/>
      <c r="O45" s="2865"/>
      <c r="P45" s="1851"/>
    </row>
    <row r="46" spans="1:16" ht="14.25" hidden="1" customHeight="1">
      <c r="A46" s="2945" t="s">
        <v>1829</v>
      </c>
      <c r="B46" s="2946"/>
      <c r="C46" s="2946"/>
      <c r="D46" s="2946"/>
      <c r="E46" s="2946"/>
      <c r="F46" s="2946"/>
      <c r="G46" s="2947"/>
      <c r="H46" s="2263"/>
      <c r="I46" s="1145"/>
      <c r="J46" s="1889">
        <v>1</v>
      </c>
      <c r="K46" s="2865" t="s">
        <v>1830</v>
      </c>
      <c r="L46" s="2865"/>
      <c r="M46" s="2866" t="str">
        <f>项目基本情况!B1</f>
        <v>房地产市场价值预评估</v>
      </c>
      <c r="N46" s="2866"/>
      <c r="O46" s="2866"/>
      <c r="P46" s="1851"/>
    </row>
    <row r="47" spans="1:16" ht="12" hidden="1" customHeight="1">
      <c r="A47" s="86" t="s">
        <v>1831</v>
      </c>
      <c r="B47" s="87"/>
      <c r="C47" s="88"/>
      <c r="D47" s="89" t="s">
        <v>1832</v>
      </c>
      <c r="E47" s="14" t="s">
        <v>1833</v>
      </c>
      <c r="F47" s="90" t="s">
        <v>1834</v>
      </c>
      <c r="G47" s="91" t="s">
        <v>1835</v>
      </c>
      <c r="H47" s="2263"/>
      <c r="I47" s="1145"/>
      <c r="J47" s="1889">
        <v>2</v>
      </c>
      <c r="K47" s="2865" t="s">
        <v>1836</v>
      </c>
      <c r="L47" s="2865"/>
      <c r="M47" s="2867">
        <f>'数据-取费表'!B2</f>
        <v>43160</v>
      </c>
      <c r="N47" s="2867"/>
      <c r="O47" s="2867"/>
      <c r="P47" s="1851"/>
    </row>
    <row r="48" spans="1:16" ht="25.5" hidden="1">
      <c r="A48" s="2951" t="s">
        <v>1837</v>
      </c>
      <c r="B48" s="2952"/>
      <c r="C48" s="2952"/>
      <c r="D48" s="56">
        <f ca="1">IF(H48="情况1",0,IF(H48="情况2",D52,IF(H48="情况3",D53,IF(H48="情况4",D54))))</f>
        <v>502643</v>
      </c>
      <c r="E48" s="1899" t="str">
        <f>IF(H48="情况4","(销售额-原购置价)×税（费）率","销售额×税（费）率")</f>
        <v>销售额×税（费）率</v>
      </c>
      <c r="F48" s="92">
        <f>IF(H48="情况1","免征",'数据-取费表'!E29)</f>
        <v>5.6000000000000001E-2</v>
      </c>
      <c r="G48" s="2264" t="s">
        <v>1838</v>
      </c>
      <c r="H48" s="2265" t="s">
        <v>1839</v>
      </c>
      <c r="I48" s="2263"/>
      <c r="J48" s="1889">
        <v>3</v>
      </c>
      <c r="K48" s="2865" t="s">
        <v>1840</v>
      </c>
      <c r="L48" s="2865"/>
      <c r="M48" s="2866">
        <f ca="1">I102</f>
        <v>9424563</v>
      </c>
      <c r="N48" s="2866"/>
      <c r="O48" s="2866"/>
      <c r="P48" s="1851"/>
    </row>
    <row r="49" spans="1:16" ht="25.5" hidden="1" customHeight="1">
      <c r="A49" s="93" t="s">
        <v>1841</v>
      </c>
      <c r="B49" s="2932" t="s">
        <v>1842</v>
      </c>
      <c r="C49" s="2932"/>
      <c r="D49" s="94">
        <v>0</v>
      </c>
      <c r="E49" s="13" t="s">
        <v>1843</v>
      </c>
      <c r="F49" s="18" t="s">
        <v>48</v>
      </c>
      <c r="G49" s="2856"/>
      <c r="H49" s="2201"/>
      <c r="I49" s="2266"/>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201"/>
      <c r="I50" s="2266"/>
      <c r="J50" s="2865" t="s">
        <v>1845</v>
      </c>
      <c r="K50" s="2865"/>
      <c r="L50" s="2865"/>
      <c r="M50" s="2865"/>
      <c r="N50" s="2865"/>
      <c r="O50" s="2865"/>
      <c r="P50" s="1851"/>
    </row>
    <row r="51" spans="1:16" ht="12" hidden="1" customHeight="1">
      <c r="A51" s="98"/>
      <c r="B51" s="2932" t="s">
        <v>1846</v>
      </c>
      <c r="C51" s="2932"/>
      <c r="D51" s="99"/>
      <c r="E51" s="20"/>
      <c r="F51" s="97"/>
      <c r="G51" s="2858"/>
      <c r="H51" s="2201"/>
      <c r="I51" s="2266"/>
      <c r="J51" s="2267" t="s">
        <v>1847</v>
      </c>
      <c r="K51" s="2865" t="s">
        <v>1848</v>
      </c>
      <c r="L51" s="2865"/>
      <c r="M51" s="2267" t="s">
        <v>1849</v>
      </c>
      <c r="N51" s="2267" t="s">
        <v>1850</v>
      </c>
      <c r="O51" s="2267" t="s">
        <v>1851</v>
      </c>
      <c r="P51" s="1851"/>
    </row>
    <row r="52" spans="1:16" ht="24" hidden="1" customHeight="1">
      <c r="A52" s="100" t="s">
        <v>1852</v>
      </c>
      <c r="B52" s="2932" t="s">
        <v>1853</v>
      </c>
      <c r="C52" s="2932"/>
      <c r="D52" s="99">
        <f ca="1">ROUND(D45*'数据-取费表'!E29/(1+'数据-取费表'!F30),0)</f>
        <v>502643</v>
      </c>
      <c r="E52" s="10" t="s">
        <v>1854</v>
      </c>
      <c r="F52" s="101">
        <f>'数据-取费表'!E29</f>
        <v>5.6000000000000001E-2</v>
      </c>
      <c r="G52" s="2268"/>
      <c r="H52" s="2201"/>
      <c r="I52" s="2266"/>
      <c r="J52" s="1889">
        <v>1</v>
      </c>
      <c r="K52" s="2855" t="s">
        <v>1855</v>
      </c>
      <c r="L52" s="2855"/>
      <c r="M52" s="779">
        <f ca="1">D48</f>
        <v>502643</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502643</v>
      </c>
      <c r="E53" s="10" t="s">
        <v>1854</v>
      </c>
      <c r="F53" s="101">
        <f>'数据-取费表'!E29</f>
        <v>5.6000000000000001E-2</v>
      </c>
      <c r="G53" s="2268"/>
      <c r="H53" s="2201"/>
      <c r="I53" s="2266"/>
      <c r="J53" s="1889">
        <v>2</v>
      </c>
      <c r="K53" s="2855" t="s">
        <v>1858</v>
      </c>
      <c r="L53" s="2855"/>
      <c r="M53" s="779">
        <f t="shared" ref="M53:O54" ca="1" si="1">D55</f>
        <v>4712</v>
      </c>
      <c r="N53" s="1889" t="str">
        <f t="shared" si="1"/>
        <v>销售额×税（费）率</v>
      </c>
      <c r="O53" s="780">
        <f t="shared" si="1"/>
        <v>5.0000000000000001E-4</v>
      </c>
      <c r="P53" s="1851"/>
    </row>
    <row r="54" spans="1:16" ht="12" hidden="1" customHeight="1">
      <c r="A54" s="100" t="s">
        <v>1859</v>
      </c>
      <c r="B54" s="2931" t="s">
        <v>1860</v>
      </c>
      <c r="C54" s="2823"/>
      <c r="D54" s="99">
        <f ca="1">C68</f>
        <v>502643</v>
      </c>
      <c r="E54" s="20" t="s">
        <v>1861</v>
      </c>
      <c r="F54" s="101">
        <f>'数据-取费表'!E29</f>
        <v>5.6000000000000001E-2</v>
      </c>
      <c r="G54" s="2268"/>
      <c r="H54" s="2269"/>
      <c r="I54" s="2266"/>
      <c r="J54" s="1889">
        <v>3</v>
      </c>
      <c r="K54" s="2855" t="s">
        <v>1862</v>
      </c>
      <c r="L54" s="2855"/>
      <c r="M54" s="779">
        <f t="shared" ca="1" si="1"/>
        <v>5334302</v>
      </c>
      <c r="N54" s="1889" t="str">
        <f t="shared" si="1"/>
        <v>增值额×税（费）率</v>
      </c>
      <c r="O54" s="781" t="str">
        <f t="shared" si="1"/>
        <v>——</v>
      </c>
      <c r="P54" s="1851"/>
    </row>
    <row r="55" spans="1:16" ht="24" hidden="1" customHeight="1">
      <c r="A55" s="2815" t="s">
        <v>1863</v>
      </c>
      <c r="B55" s="2952"/>
      <c r="C55" s="2952"/>
      <c r="D55" s="102">
        <f ca="1">IF(H55="个人住宅",0,ROUND(D45*I55,0))</f>
        <v>4712</v>
      </c>
      <c r="E55" s="10" t="s">
        <v>1864</v>
      </c>
      <c r="F55" s="101">
        <f>IF(H55="正常",I55,"免征")</f>
        <v>5.0000000000000001E-4</v>
      </c>
      <c r="G55" s="2268"/>
      <c r="H55" s="2265" t="s">
        <v>1865</v>
      </c>
      <c r="I55" s="103">
        <f>'数据-取费表'!E37</f>
        <v>5.0000000000000001E-4</v>
      </c>
      <c r="J55" s="1889">
        <f>IF(H59="非个人房产","",4)</f>
        <v>4</v>
      </c>
      <c r="K55" s="2855" t="str">
        <f>IF(H59="非个人房产","——","个人所得税")</f>
        <v>个人所得税</v>
      </c>
      <c r="L55" s="2855"/>
      <c r="M55" s="782">
        <f ca="1">D59</f>
        <v>94246</v>
      </c>
      <c r="N55" s="1892" t="str">
        <f>E59</f>
        <v>销售额×税（费）率</v>
      </c>
      <c r="O55" s="783">
        <f>F59</f>
        <v>0.01</v>
      </c>
      <c r="P55" s="1851"/>
    </row>
    <row r="56" spans="1:16" ht="24.75" hidden="1">
      <c r="A56" s="2815" t="s">
        <v>1866</v>
      </c>
      <c r="B56" s="2952"/>
      <c r="C56" s="2952"/>
      <c r="D56" s="102">
        <f ca="1">IF(H56="个人住宅",D57,D58)</f>
        <v>5334302</v>
      </c>
      <c r="E56" s="10" t="s">
        <v>1867</v>
      </c>
      <c r="F56" s="101" t="str">
        <f>IF(H56="正常",F58,"免征")</f>
        <v>——</v>
      </c>
      <c r="G56" s="2270" t="s">
        <v>1868</v>
      </c>
      <c r="H56" s="2271"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8"/>
      <c r="H57" s="1023"/>
      <c r="I57" s="1023"/>
      <c r="J57" s="2855">
        <f>IF(AND(J55="",J56=""),4,IF(项目基本情况!I6="上海银行",J56+1,J55+1))</f>
        <v>5</v>
      </c>
      <c r="K57" s="2855" t="s">
        <v>1870</v>
      </c>
      <c r="L57" s="2272" t="s">
        <v>1871</v>
      </c>
      <c r="M57" s="784"/>
      <c r="N57" s="785">
        <f ca="1">SUMIF(M52:M56,"&lt;9e307")</f>
        <v>5935903</v>
      </c>
      <c r="O57" s="2273"/>
      <c r="P57" s="1847" t="e">
        <f ca="1">N57/M49</f>
        <v>#VALUE!</v>
      </c>
    </row>
    <row r="58" spans="1:16" ht="24.75" hidden="1">
      <c r="A58" s="100" t="s">
        <v>1852</v>
      </c>
      <c r="B58" s="2940" t="s">
        <v>1872</v>
      </c>
      <c r="C58" s="2941"/>
      <c r="D58" s="102">
        <f ca="1">IF(H58="转让取得",C81,C97)</f>
        <v>5334302</v>
      </c>
      <c r="E58" s="10" t="s">
        <v>1867</v>
      </c>
      <c r="F58" s="14" t="s">
        <v>48</v>
      </c>
      <c r="G58" s="2268"/>
      <c r="H58" s="2271" t="s">
        <v>1873</v>
      </c>
      <c r="I58" s="1023"/>
      <c r="J58" s="2855"/>
      <c r="K58" s="2855"/>
      <c r="L58" s="2272" t="s">
        <v>1874</v>
      </c>
      <c r="M58" s="786"/>
      <c r="N58" s="2274" t="str">
        <f ca="1">IF(H19="元",NUMBERSTRING(INT(N57),2)&amp;"元整",NUMBERSTRING(INT(N57*10000),2)&amp;"元整")</f>
        <v>伍佰玖拾叁万伍仟玖佰零叁元整</v>
      </c>
      <c r="O58" s="2275"/>
      <c r="P58" s="1851"/>
    </row>
    <row r="59" spans="1:16" ht="26.25" hidden="1" thickBot="1">
      <c r="A59" s="2816" t="s">
        <v>1875</v>
      </c>
      <c r="B59" s="2819"/>
      <c r="C59" s="2819"/>
      <c r="D59" s="105">
        <f ca="1">IF(H59="非个人房产","——",IF(H59="个人住宅",0,ROUND(D45*I59,0)))</f>
        <v>94246</v>
      </c>
      <c r="E59" s="106" t="str">
        <f>IF(H59="非个人房产","——","销售额×税（费）率")</f>
        <v>销售额×税（费）率</v>
      </c>
      <c r="F59" s="107">
        <f>IF(H59="非个人房产","——",IF(H59="个人住宅","免征",I59))</f>
        <v>0.01</v>
      </c>
      <c r="G59" s="2276" t="s">
        <v>1868</v>
      </c>
      <c r="H59" s="2271" t="s">
        <v>1876</v>
      </c>
      <c r="I59" s="108">
        <v>0.01</v>
      </c>
      <c r="J59" s="2909">
        <f>J57+1</f>
        <v>6</v>
      </c>
      <c r="K59" s="285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0"/>
      <c r="K60" s="2855"/>
      <c r="L60" s="2272" t="s">
        <v>1874</v>
      </c>
      <c r="M60" s="786"/>
      <c r="N60" s="2274" t="e">
        <f ca="1">IF(H19="元",NUMBERSTRING(INT(N59),2)&amp;"元整",NUMBERSTRING(INT(N59*10000),2)&amp;"元整")</f>
        <v>#VALUE!</v>
      </c>
      <c r="O60" s="2275"/>
      <c r="P60" s="1851"/>
    </row>
    <row r="61" spans="1:16" ht="13.5" hidden="1" thickBot="1">
      <c r="A61" s="2956" t="s">
        <v>1878</v>
      </c>
      <c r="B61" s="2956"/>
      <c r="C61" s="2956"/>
      <c r="D61" s="2956"/>
      <c r="E61" s="2956"/>
      <c r="F61" s="1023"/>
      <c r="G61" s="1023"/>
      <c r="H61" s="2254"/>
      <c r="I61" s="2201"/>
      <c r="J61" s="1889">
        <f>J59+1</f>
        <v>7</v>
      </c>
      <c r="K61" s="2855" t="s">
        <v>1879</v>
      </c>
      <c r="L61" s="2855"/>
      <c r="M61" s="789"/>
      <c r="N61" s="790" t="e">
        <f ca="1">IF(H19="元",ROUND(N59/项目基本情况!C12,0),ROUND(N59*10000/项目基本情况!C12,0))</f>
        <v>#VALUE!</v>
      </c>
      <c r="O61" s="2278"/>
      <c r="P61" s="1851"/>
    </row>
    <row r="62" spans="1:16" ht="12.75" hidden="1">
      <c r="A62" s="2893" t="s">
        <v>1880</v>
      </c>
      <c r="B62" s="289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8975774</v>
      </c>
      <c r="D63" s="113"/>
      <c r="E63" s="114"/>
      <c r="F63" s="1023"/>
      <c r="G63" s="1023"/>
      <c r="H63" s="2254"/>
      <c r="I63" s="2201"/>
      <c r="J63" s="287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9424563</v>
      </c>
      <c r="D64" s="118" t="s">
        <v>41</v>
      </c>
      <c r="E64" s="119"/>
      <c r="F64" s="1023"/>
      <c r="G64" s="1023"/>
      <c r="H64" s="2254"/>
      <c r="I64" s="2201"/>
      <c r="J64" s="287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4"/>
      <c r="K66" s="2279" t="s">
        <v>1893</v>
      </c>
      <c r="L66" s="1850" t="e">
        <f>M49*0.5%</f>
        <v>#VALUE!</v>
      </c>
      <c r="M66" s="14" t="e">
        <f>IF(L66&gt;0.5,0.5,ROUND(L66,0))</f>
        <v>#VALUE!</v>
      </c>
      <c r="N66" s="1851" t="s">
        <v>1894</v>
      </c>
      <c r="O66" s="1851"/>
      <c r="P66" s="1851"/>
    </row>
    <row r="67" spans="1:35" ht="12.75" hidden="1">
      <c r="A67" s="121" t="s">
        <v>42</v>
      </c>
      <c r="B67" s="122" t="s">
        <v>1895</v>
      </c>
      <c r="C67" s="125">
        <f ca="1">C63-C66</f>
        <v>8975774</v>
      </c>
      <c r="D67" s="118" t="s">
        <v>41</v>
      </c>
      <c r="E67" s="119"/>
      <c r="F67" s="1023"/>
      <c r="G67" s="1023"/>
      <c r="H67" s="2254"/>
      <c r="I67" s="2201"/>
      <c r="J67" s="287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502643</v>
      </c>
      <c r="D68" s="129">
        <f>'数据-取费表'!E29</f>
        <v>5.6000000000000001E-2</v>
      </c>
      <c r="E68" s="130"/>
      <c r="F68" s="1023"/>
      <c r="G68" s="1023"/>
      <c r="H68" s="2254"/>
      <c r="I68" s="2201"/>
      <c r="J68" s="287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5" t="s">
        <v>1900</v>
      </c>
      <c r="B70" s="2896"/>
      <c r="C70" s="2896"/>
      <c r="D70" s="2896"/>
      <c r="E70" s="2896"/>
      <c r="F70" s="2896"/>
      <c r="G70" s="2896"/>
      <c r="H70" s="289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3" t="s">
        <v>1880</v>
      </c>
      <c r="B71" s="289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8975774</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53855</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1" t="s">
        <v>1910</v>
      </c>
      <c r="F76" s="2932"/>
      <c r="G76" s="2932"/>
      <c r="H76" s="2933"/>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53855</v>
      </c>
      <c r="D78" s="146">
        <f>'数据-取费表'!E31</f>
        <v>6.000000000000001E-3</v>
      </c>
      <c r="E78" s="2862" t="s">
        <v>1915</v>
      </c>
      <c r="F78" s="2863"/>
      <c r="G78" s="2863"/>
      <c r="H78" s="2883"/>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8921919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165.66556494290225</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5334302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8975774</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53855</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2" t="s">
        <v>1927</v>
      </c>
      <c r="F91" s="2863"/>
      <c r="G91" s="286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53855</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8921919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165.66556494290225</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5334302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0" t="s">
        <v>1934</v>
      </c>
      <c r="B99" s="2881"/>
      <c r="C99" s="2881"/>
      <c r="D99" s="2882"/>
      <c r="E99" s="2201"/>
      <c r="F99" s="2890" t="s">
        <v>1935</v>
      </c>
      <c r="G99" s="2891"/>
      <c r="H99" s="2891"/>
      <c r="I99" s="2892"/>
    </row>
    <row r="100" spans="1:35" ht="15.75" hidden="1">
      <c r="A100" s="2897" t="s">
        <v>1936</v>
      </c>
      <c r="B100" s="2898"/>
      <c r="C100" s="721" t="str">
        <f>C4</f>
        <v>比较法-住宅</v>
      </c>
      <c r="D100" s="722" t="str">
        <f>D4</f>
        <v>收益法</v>
      </c>
      <c r="E100" s="2201"/>
      <c r="F100" s="2899" t="s">
        <v>1937</v>
      </c>
      <c r="G100" s="2901"/>
      <c r="H100" s="2899" t="s">
        <v>1938</v>
      </c>
      <c r="I100" s="2900"/>
    </row>
    <row r="101" spans="1:35" ht="15.75" hidden="1">
      <c r="A101" s="2919" t="s">
        <v>1939</v>
      </c>
      <c r="B101" s="2296" t="str">
        <f>IF(H19="元","总价（元）","总价（万元）")</f>
        <v>总价（元）</v>
      </c>
      <c r="C101" s="721">
        <f ca="1">C19</f>
        <v>10057210</v>
      </c>
      <c r="D101" s="722">
        <f ca="1">D19</f>
        <v>6893807</v>
      </c>
      <c r="E101" s="2201"/>
      <c r="F101" s="2899" t="str">
        <f>项目基本情况!I1</f>
        <v>房地产</v>
      </c>
      <c r="G101" s="2901"/>
      <c r="H101" s="2960">
        <f>项目基本情况!C12</f>
        <v>134.32</v>
      </c>
      <c r="I101" s="2900"/>
    </row>
    <row r="102" spans="1:35" ht="15.75" hidden="1">
      <c r="A102" s="2919"/>
      <c r="B102" s="2296" t="s">
        <v>1940</v>
      </c>
      <c r="C102" s="723">
        <f ca="1">C20</f>
        <v>74875</v>
      </c>
      <c r="D102" s="724">
        <f ca="1">D20</f>
        <v>51324</v>
      </c>
      <c r="E102" s="2201"/>
      <c r="F102" s="2974" t="s">
        <v>1941</v>
      </c>
      <c r="G102" s="2975"/>
      <c r="H102" s="2297" t="str">
        <f>C106</f>
        <v>总价（元）</v>
      </c>
      <c r="I102" s="1868">
        <f ca="1">H121</f>
        <v>9424563</v>
      </c>
    </row>
    <row r="103" spans="1:35" ht="15" hidden="1">
      <c r="A103" s="2919" t="s">
        <v>1942</v>
      </c>
      <c r="B103" s="2298" t="str">
        <f>B101</f>
        <v>总价（元）</v>
      </c>
      <c r="C103" s="725">
        <f ca="1">H121</f>
        <v>9424563</v>
      </c>
      <c r="D103" s="726"/>
      <c r="E103" s="2201"/>
      <c r="F103" s="2974"/>
      <c r="G103" s="2975"/>
      <c r="H103" s="2297" t="s">
        <v>1940</v>
      </c>
      <c r="I103" s="1051">
        <f ca="1">I121</f>
        <v>70165</v>
      </c>
    </row>
    <row r="104" spans="1:35" ht="16.5" hidden="1" thickBot="1">
      <c r="A104" s="2920"/>
      <c r="B104" s="2299" t="s">
        <v>1940</v>
      </c>
      <c r="C104" s="727">
        <f ca="1">I121</f>
        <v>70165</v>
      </c>
      <c r="D104" s="728"/>
      <c r="E104" s="2201"/>
      <c r="F104" s="2886"/>
      <c r="G104" s="2887"/>
      <c r="H104" s="2921"/>
      <c r="I104" s="2922"/>
    </row>
    <row r="105" spans="1:35" ht="15.75" hidden="1">
      <c r="A105" s="2880" t="s">
        <v>1943</v>
      </c>
      <c r="B105" s="2881"/>
      <c r="C105" s="2881"/>
      <c r="D105" s="2882"/>
      <c r="E105" s="2201"/>
      <c r="F105" s="2925" t="s">
        <v>1944</v>
      </c>
      <c r="G105" s="2926"/>
      <c r="H105" s="2300" t="str">
        <f>C108</f>
        <v>总额（元）</v>
      </c>
      <c r="I105" s="1868">
        <f>SUMIF(I106:I108,"&lt;9E307")</f>
        <v>0</v>
      </c>
    </row>
    <row r="106" spans="1:35" ht="15" hidden="1">
      <c r="A106" s="2927" t="s">
        <v>1945</v>
      </c>
      <c r="B106" s="2928"/>
      <c r="C106" s="2297" t="str">
        <f>B101</f>
        <v>总价（元）</v>
      </c>
      <c r="D106" s="1052">
        <f ca="1">H121</f>
        <v>9424563</v>
      </c>
      <c r="E106" s="2201"/>
      <c r="F106" s="2888" t="s">
        <v>1946</v>
      </c>
      <c r="G106" s="288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7"/>
      <c r="B107" s="2928"/>
      <c r="C107" s="2297" t="s">
        <v>1940</v>
      </c>
      <c r="D107" s="1053">
        <f ca="1">I121</f>
        <v>70165</v>
      </c>
      <c r="E107" s="2201"/>
      <c r="F107" s="2888" t="s">
        <v>1947</v>
      </c>
      <c r="G107" s="2889"/>
      <c r="H107" s="2300" t="str">
        <f>C110</f>
        <v>总额（元）</v>
      </c>
      <c r="I107" s="1051">
        <f>C37</f>
        <v>0</v>
      </c>
      <c r="K107" s="2301"/>
    </row>
    <row r="108" spans="1:35" ht="15" hidden="1">
      <c r="A108" s="2970" t="s">
        <v>1948</v>
      </c>
      <c r="B108" s="2971"/>
      <c r="C108" s="2300" t="str">
        <f>IF(H19="元","总额（元）","总额（万元）")</f>
        <v>总额（元）</v>
      </c>
      <c r="D108" s="1052">
        <f>IF(D36="正常操作",I106+I107+I108,I107+I108)</f>
        <v>0</v>
      </c>
      <c r="E108" s="2201"/>
      <c r="F108" s="2888" t="s">
        <v>1949</v>
      </c>
      <c r="G108" s="2889"/>
      <c r="H108" s="2300" t="str">
        <f>C111</f>
        <v>总额（元）</v>
      </c>
      <c r="I108" s="1051">
        <f>C38</f>
        <v>0</v>
      </c>
    </row>
    <row r="109" spans="1:35" ht="15.75" hidden="1">
      <c r="A109" s="2888" t="s">
        <v>1946</v>
      </c>
      <c r="B109" s="2889"/>
      <c r="C109" s="2300" t="str">
        <f>C108</f>
        <v>总额（元）</v>
      </c>
      <c r="D109" s="638">
        <f>IF(D36="同一抵押权人同一抵押物续贷",C36&amp;"（未扣减，详见特别提示）",C36)</f>
        <v>0</v>
      </c>
      <c r="E109" s="2201"/>
      <c r="F109" s="2886"/>
      <c r="G109" s="2887"/>
      <c r="H109" s="2923"/>
      <c r="I109" s="2924"/>
    </row>
    <row r="110" spans="1:35" ht="28.5" hidden="1" customHeight="1">
      <c r="A110" s="2888" t="s">
        <v>1947</v>
      </c>
      <c r="B110" s="2889"/>
      <c r="C110" s="2300" t="str">
        <f>C108</f>
        <v>总额（元）</v>
      </c>
      <c r="D110" s="638">
        <f>C37</f>
        <v>0</v>
      </c>
      <c r="E110" s="2201"/>
      <c r="F110" s="2868" t="str">
        <f>IF(项目基本情况!F5="已注销","——","3.房地产抵押价值")</f>
        <v>3.房地产抵押价值</v>
      </c>
      <c r="G110" s="2869"/>
      <c r="H110" s="2302" t="str">
        <f>C112</f>
        <v>总价（元）</v>
      </c>
      <c r="I110" s="1869">
        <f ca="1">IF(F110="——","——",I102-I105)</f>
        <v>9424563</v>
      </c>
    </row>
    <row r="111" spans="1:35" ht="15" hidden="1">
      <c r="A111" s="2888" t="s">
        <v>1949</v>
      </c>
      <c r="B111" s="2889"/>
      <c r="C111" s="2300" t="str">
        <f>C108</f>
        <v>总额（元）</v>
      </c>
      <c r="D111" s="638">
        <f>C38</f>
        <v>0</v>
      </c>
      <c r="E111" s="2201"/>
      <c r="F111" s="2870"/>
      <c r="G111" s="2871"/>
      <c r="H111" s="2297" t="s">
        <v>1940</v>
      </c>
      <c r="I111" s="2303">
        <f ca="1">D113</f>
        <v>70165</v>
      </c>
    </row>
    <row r="112" spans="1:35" ht="26.25" hidden="1" customHeight="1">
      <c r="A112" s="2927" t="str">
        <f>IF(项目基本情况!F5="已注销","——","3.房地产抵押价值")</f>
        <v>3.房地产抵押价值</v>
      </c>
      <c r="B112" s="2928"/>
      <c r="C112" s="2297" t="str">
        <f>B101</f>
        <v>总价（元）</v>
      </c>
      <c r="D112" s="1052">
        <f ca="1">IF(A112="——","——",D106-D108)</f>
        <v>9424563</v>
      </c>
      <c r="E112" s="2201"/>
      <c r="F112" s="2868" t="str">
        <f>IF(项目基本情况!F5="已注销及未注销","4.抵押担保权已注销时的房地产抵押价值",IF(项目基本情况!F5="已注销","3.抵押担保权已注销时的房地产抵押价值","——"))</f>
        <v>——</v>
      </c>
      <c r="G112" s="2869"/>
      <c r="H112" s="2302" t="str">
        <f>C114</f>
        <v>总价（元）</v>
      </c>
      <c r="I112" s="1869" t="str">
        <f>IF(F112="——","——",I102-I107-I108)</f>
        <v>——</v>
      </c>
    </row>
    <row r="113" spans="1:15" ht="15" hidden="1">
      <c r="A113" s="2927"/>
      <c r="B113" s="2928"/>
      <c r="C113" s="2297" t="s">
        <v>1940</v>
      </c>
      <c r="D113" s="1053">
        <f ca="1">ROUND(IF(D112=D106,D107,IF(H19="元",D112/项目基本情况!C12,D112*10000/项目基本情况!C12)),0)</f>
        <v>70165</v>
      </c>
      <c r="E113" s="2201"/>
      <c r="F113" s="2870"/>
      <c r="G113" s="2871"/>
      <c r="H113" s="2297" t="s">
        <v>1940</v>
      </c>
      <c r="I113" s="2304"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7" t="str">
        <f>B101</f>
        <v>总价（元）</v>
      </c>
      <c r="D114" s="1052" t="str">
        <f>IF(A114="——","——",D106-D110-D111)</f>
        <v>——</v>
      </c>
      <c r="E114" s="2201"/>
      <c r="F114" s="2868" t="str">
        <f>IF(项目基本情况!G5="抵押净值",IF(OR(项目基本情况!F5="已注销",项目基本情况!F5="房地产抵押价值"),"4.抵押净值","5.抵押净值"),"——")</f>
        <v>——</v>
      </c>
      <c r="G114" s="2869"/>
      <c r="H114" s="2297" t="str">
        <f>C116</f>
        <v>总价（元）</v>
      </c>
      <c r="I114" s="1868" t="str">
        <f>IF(F114="——","——",N59)</f>
        <v>——</v>
      </c>
    </row>
    <row r="115" spans="1:15" ht="15.75" hidden="1" thickBot="1">
      <c r="A115" s="2927"/>
      <c r="B115" s="2928"/>
      <c r="C115" s="2297" t="s">
        <v>1940</v>
      </c>
      <c r="D115" s="1053" t="str">
        <f>IF(A114="——","——",ROUND(IF(D114=D106,D107,IF(H19="元",D114/项目基本情况!C12,D114*10000/项目基本情况!C12)),0))</f>
        <v>——</v>
      </c>
      <c r="E115" s="2201"/>
      <c r="F115" s="2961"/>
      <c r="G115" s="2962"/>
      <c r="H115" s="2305" t="s">
        <v>1940</v>
      </c>
      <c r="I115" s="1870" t="str">
        <f ca="1">D117</f>
        <v>——</v>
      </c>
    </row>
    <row r="116" spans="1:15" ht="15.75" hidden="1">
      <c r="A116" s="2927" t="str">
        <f>IF(项目基本情况!G5="抵押净值",IF(OR(项目基本情况!F5="已注销",项目基本情况!F5="房地产抵押价值"),"4.抵押净值","5.抵押净值"),"——")</f>
        <v>——</v>
      </c>
      <c r="B116" s="2928"/>
      <c r="C116" s="2297" t="str">
        <f>B101</f>
        <v>总价（元）</v>
      </c>
      <c r="D116" s="1052" t="str">
        <f>IF(A116="——","——",N59)</f>
        <v>——</v>
      </c>
      <c r="E116" s="2201"/>
      <c r="F116" s="2864"/>
      <c r="G116" s="2864"/>
      <c r="H116" s="2906"/>
      <c r="I116" s="2906"/>
      <c r="N116" s="55"/>
      <c r="O116" s="55"/>
    </row>
    <row r="117" spans="1:15" ht="15.75" hidden="1" thickBot="1">
      <c r="A117" s="2968"/>
      <c r="B117" s="2969"/>
      <c r="C117" s="2305" t="s">
        <v>1940</v>
      </c>
      <c r="D117" s="1054" t="str">
        <f ca="1">IF(D116=D112,D113,IF(A116="——","——",N61))</f>
        <v>——</v>
      </c>
      <c r="E117" s="2201"/>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134.32</v>
      </c>
      <c r="C121" s="1893">
        <f>项目基本情况!C13</f>
        <v>0</v>
      </c>
      <c r="D121" s="1893">
        <f ca="1">ROUND(IF(B32="总价",C34,IF('数据-取费表'!B3="万元",E121*B121/10000,E121*B121)),0)</f>
        <v>8727173</v>
      </c>
      <c r="E121" s="1893">
        <f ca="1">ROUND(IF(B32="楼面单价",C34,IF(H19="元",D121/B121,D121*10000/B121)),0)</f>
        <v>64973</v>
      </c>
      <c r="F121" s="1893">
        <f ca="1">ROUND(IF(B32="总价",C35,IF('数据-取费表'!B3="万元",G121*B121/10000,G121*B121)),0)</f>
        <v>697389</v>
      </c>
      <c r="G121" s="1893">
        <f ca="1">ROUND(IF(B32="楼面单价",C35,IF(H19="元",F121/B121,F121*10000/B121)),0)</f>
        <v>5192</v>
      </c>
      <c r="H121" s="1893">
        <f ca="1">ROUND(IF(B32="总价",C32,IF('数据-取费表'!B3="万元",I121*B121/10000,I121*B121)),0)</f>
        <v>9424563</v>
      </c>
      <c r="I121" s="638">
        <f ca="1">ROUND(IF(B32="楼面单价",C32,IF(H19="元",H121/B121,H121*10000/B121)),0)</f>
        <v>70165</v>
      </c>
    </row>
    <row r="122" spans="1:15" ht="14.25" hidden="1">
      <c r="A122" s="2879" t="s">
        <v>1959</v>
      </c>
      <c r="B122" s="2875"/>
      <c r="C122" s="2875"/>
      <c r="D122" s="2911" t="str">
        <f ca="1">IF(H19="元",NUMBERSTRING(INT(D121),2)&amp;"元整",NUMBERSTRING(INT(D121*10000),2)&amp;"元整")</f>
        <v>捌佰柒拾贰万柒仟壹佰柒拾叁元整</v>
      </c>
      <c r="E122" s="2912"/>
      <c r="F122" s="2911" t="str">
        <f ca="1">IF(H19="元",NUMBERSTRING(INT(F121),2)&amp;"元整",NUMBERSTRING(INT(F121*10000),2)&amp;"元整")</f>
        <v>陆拾玖万柒仟叁佰捌拾玖元整</v>
      </c>
      <c r="G122" s="2912"/>
      <c r="H122" s="2911" t="str">
        <f ca="1">IF(H19="元",NUMBERSTRING(INT(H121),2)&amp;"元整",NUMBERSTRING(INT(H121*10000),2)&amp;"元整")</f>
        <v>玖佰肆拾贰万肆仟伍佰陆拾叁元整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9424563</v>
      </c>
      <c r="E125" s="2914"/>
      <c r="F125" s="2914"/>
      <c r="G125" s="2914"/>
      <c r="H125" s="2914"/>
      <c r="I125" s="2963"/>
    </row>
    <row r="126" spans="1:15" ht="14.25" hidden="1">
      <c r="A126" s="2879" t="s">
        <v>1959</v>
      </c>
      <c r="B126" s="2875"/>
      <c r="C126" s="2875"/>
      <c r="D126" s="2964">
        <f ca="1">I111</f>
        <v>70165</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6" t="s">
        <v>2872</v>
      </c>
      <c r="E134" s="2309">
        <f ca="1">G20-ROUND(F134*0.1,0)</f>
        <v>63148</v>
      </c>
      <c r="F134" s="2309">
        <f ca="1">G20</f>
        <v>70165</v>
      </c>
      <c r="G134" s="2309"/>
      <c r="H134" s="2310"/>
      <c r="I134" s="2311"/>
    </row>
    <row r="135" spans="1:9" ht="21.75" hidden="1" customHeight="1">
      <c r="A135" s="2312">
        <v>2</v>
      </c>
      <c r="B135" s="2313"/>
      <c r="C135" s="2313"/>
      <c r="D135" s="2309"/>
      <c r="E135" s="2309">
        <f>'数据-取费表'!B5-结果表!F135</f>
        <v>131.41</v>
      </c>
      <c r="F135" s="2309">
        <v>2.91</v>
      </c>
      <c r="G135" s="2737" t="s">
        <v>2873</v>
      </c>
      <c r="H135" s="2738" t="s">
        <v>2874</v>
      </c>
      <c r="I135" s="2311"/>
    </row>
    <row r="136" spans="1:9" ht="21.75" hidden="1" customHeight="1">
      <c r="A136" s="2312">
        <v>3</v>
      </c>
      <c r="B136" s="2313"/>
      <c r="C136" s="2313"/>
      <c r="D136" s="2309"/>
      <c r="E136" s="2309">
        <f ca="1">ROUND(E134*E135,0)</f>
        <v>8298279</v>
      </c>
      <c r="F136" s="2309">
        <f ca="1">ROUND(F134*F135,0)</f>
        <v>204180</v>
      </c>
      <c r="G136" s="2739">
        <f ca="1">E136+F136</f>
        <v>8502459</v>
      </c>
      <c r="H136" s="2739">
        <f ca="1">ROUND(G136/项目基本情况!C12,0)</f>
        <v>63300</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3" t="s">
        <v>1773</v>
      </c>
      <c r="B4" s="2204" t="s">
        <v>1774</v>
      </c>
      <c r="C4" s="2205"/>
      <c r="D4" s="2205"/>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8" t="s">
        <v>1981</v>
      </c>
      <c r="B37" s="2243" t="s">
        <v>1982</v>
      </c>
      <c r="C37" s="70"/>
      <c r="D37" s="2244"/>
      <c r="E37" s="2245"/>
      <c r="F37" s="2245"/>
      <c r="G37" s="2201"/>
      <c r="H37" s="2201"/>
      <c r="I37" s="2201"/>
    </row>
    <row r="38" spans="1:16" ht="15.75" thickBot="1">
      <c r="A38" s="2949"/>
      <c r="B38" s="2246" t="s">
        <v>1983</v>
      </c>
      <c r="C38" s="72"/>
      <c r="D38" s="2211"/>
      <c r="E38" s="2211"/>
      <c r="F38" s="2245"/>
      <c r="G38" s="2211"/>
      <c r="H38" s="2211"/>
      <c r="I38" s="2211"/>
    </row>
    <row r="39" spans="1:16" ht="15.75" thickBot="1">
      <c r="A39" s="2950"/>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3" t="s">
        <v>1994</v>
      </c>
      <c r="B46" s="2954"/>
      <c r="C46" s="2955"/>
      <c r="D46" s="81">
        <f>ROUND(I103*F46,0)</f>
        <v>0</v>
      </c>
      <c r="E46" s="82" t="s">
        <v>1995</v>
      </c>
      <c r="F46" s="83">
        <v>1</v>
      </c>
      <c r="G46" s="84" t="s">
        <v>1996</v>
      </c>
      <c r="H46" s="2201"/>
      <c r="I46" s="2201"/>
      <c r="J46" s="2865" t="s">
        <v>1828</v>
      </c>
      <c r="K46" s="2865"/>
      <c r="L46" s="2865"/>
      <c r="M46" s="2865"/>
      <c r="N46" s="2865"/>
      <c r="O46" s="2865"/>
      <c r="P46" s="1851"/>
    </row>
    <row r="47" spans="1:16" ht="14.25" customHeight="1">
      <c r="A47" s="2945" t="s">
        <v>1829</v>
      </c>
      <c r="B47" s="2946"/>
      <c r="C47" s="2946"/>
      <c r="D47" s="2946"/>
      <c r="E47" s="2946"/>
      <c r="F47" s="2946"/>
      <c r="G47" s="2947"/>
      <c r="H47" s="2263"/>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3"/>
      <c r="I48" s="1145"/>
      <c r="J48" s="1889">
        <v>2</v>
      </c>
      <c r="K48" s="2865" t="s">
        <v>1836</v>
      </c>
      <c r="L48" s="2865"/>
      <c r="M48" s="2867">
        <f>'数据-取费表'!B2</f>
        <v>43160</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201"/>
      <c r="I50" s="2266"/>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201"/>
      <c r="I51" s="2266"/>
      <c r="J51" s="2865" t="s">
        <v>1845</v>
      </c>
      <c r="K51" s="2865"/>
      <c r="L51" s="2865"/>
      <c r="M51" s="2865"/>
      <c r="N51" s="2865"/>
      <c r="O51" s="2865"/>
      <c r="P51" s="1851"/>
    </row>
    <row r="52" spans="1:16" ht="12" customHeight="1">
      <c r="A52" s="98"/>
      <c r="B52" s="2932" t="s">
        <v>1846</v>
      </c>
      <c r="C52" s="2932"/>
      <c r="D52" s="99"/>
      <c r="E52" s="20"/>
      <c r="F52" s="97"/>
      <c r="G52" s="2858"/>
      <c r="H52" s="2201"/>
      <c r="I52" s="2266"/>
      <c r="J52" s="2267" t="s">
        <v>1847</v>
      </c>
      <c r="K52" s="2865" t="s">
        <v>1848</v>
      </c>
      <c r="L52" s="2865"/>
      <c r="M52" s="2267" t="s">
        <v>1849</v>
      </c>
      <c r="N52" s="2267" t="s">
        <v>1850</v>
      </c>
      <c r="O52" s="2267"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8"/>
      <c r="H53" s="2201"/>
      <c r="I53" s="2266"/>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8"/>
      <c r="H54" s="2201"/>
      <c r="I54" s="2266"/>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8"/>
      <c r="H55" s="2269"/>
      <c r="I55" s="2266"/>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70" t="s">
        <v>1868</v>
      </c>
      <c r="H57" s="2271"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8"/>
      <c r="H58" s="1023"/>
      <c r="I58" s="1023"/>
      <c r="J58" s="2855">
        <f>IF(AND(J56="",J57=""),4,IF(项目基本情况!I6="上海银行",J57+1,J56+1))</f>
        <v>4</v>
      </c>
      <c r="K58" s="2855" t="s">
        <v>1870</v>
      </c>
      <c r="L58" s="2272" t="s">
        <v>1871</v>
      </c>
      <c r="M58" s="784"/>
      <c r="N58" s="785">
        <f>SUMIF(M53:M57,"&lt;9e307")</f>
        <v>0</v>
      </c>
      <c r="O58" s="2273"/>
      <c r="P58" s="1847" t="e">
        <f>N58/M50</f>
        <v>#VALUE!</v>
      </c>
    </row>
    <row r="59" spans="1:16" ht="24.75">
      <c r="A59" s="100" t="s">
        <v>1852</v>
      </c>
      <c r="B59" s="2940" t="s">
        <v>1872</v>
      </c>
      <c r="C59" s="2941"/>
      <c r="D59" s="102">
        <f>IF(H59="转让取得",C82,C98)</f>
        <v>0</v>
      </c>
      <c r="E59" s="10" t="s">
        <v>1867</v>
      </c>
      <c r="F59" s="14" t="s">
        <v>48</v>
      </c>
      <c r="G59" s="2268"/>
      <c r="H59" s="2271" t="s">
        <v>1873</v>
      </c>
      <c r="I59" s="1023"/>
      <c r="J59" s="2855"/>
      <c r="K59" s="2855"/>
      <c r="L59" s="2272" t="s">
        <v>1874</v>
      </c>
      <c r="M59" s="786"/>
      <c r="N59" s="2274" t="str">
        <f>IF(H19="元",NUMBERSTRING(INT(N58),2)&amp;"元整",NUMBERSTRING(INT(N58*10000),2)&amp;"元整")</f>
        <v>零元整</v>
      </c>
      <c r="O59" s="2275"/>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9">
        <f>J58+1</f>
        <v>5</v>
      </c>
      <c r="K60" s="2855" t="s">
        <v>1877</v>
      </c>
      <c r="L60" s="1889" t="s">
        <v>1871</v>
      </c>
      <c r="M60" s="787"/>
      <c r="N60" s="788" t="e">
        <f>M50-N58</f>
        <v>#VALUE!</v>
      </c>
      <c r="O60" s="2277"/>
      <c r="P60" s="1851"/>
    </row>
    <row r="61" spans="1:16" ht="12" customHeight="1">
      <c r="A61" s="2074"/>
      <c r="B61" s="2201"/>
      <c r="C61" s="2201"/>
      <c r="D61" s="2201"/>
      <c r="E61" s="1023"/>
      <c r="F61" s="1023"/>
      <c r="G61" s="1023"/>
      <c r="H61" s="2254"/>
      <c r="I61" s="2201"/>
      <c r="J61" s="2910"/>
      <c r="K61" s="2855"/>
      <c r="L61" s="2272" t="s">
        <v>1874</v>
      </c>
      <c r="M61" s="786"/>
      <c r="N61" s="2274" t="e">
        <f>IF(H19="元",NUMBERSTRING(INT(N60),2)&amp;"元整",NUMBERSTRING(INT(N60*10000),2)&amp;"元整")</f>
        <v>#VALUE!</v>
      </c>
      <c r="O61" s="2275"/>
      <c r="P61" s="1851"/>
    </row>
    <row r="62" spans="1:16" ht="13.5" thickBot="1">
      <c r="A62" s="2956" t="s">
        <v>1878</v>
      </c>
      <c r="B62" s="2956"/>
      <c r="C62" s="2956"/>
      <c r="D62" s="2956"/>
      <c r="E62" s="2956"/>
      <c r="F62" s="1023"/>
      <c r="G62" s="1023"/>
      <c r="H62" s="2254"/>
      <c r="I62" s="2201"/>
      <c r="J62" s="1889">
        <f>J60+1</f>
        <v>6</v>
      </c>
      <c r="K62" s="2855" t="s">
        <v>1879</v>
      </c>
      <c r="L62" s="2855"/>
      <c r="M62" s="789"/>
      <c r="N62" s="790" t="e">
        <f>IF(H19="元",ROUND(N60/项目基本情况!C12,0),ROUND(N60*10000/项目基本情况!C12,0))</f>
        <v>#VALUE!</v>
      </c>
      <c r="O62" s="2278"/>
      <c r="P62" s="1851"/>
    </row>
    <row r="63" spans="1:16" ht="12.75">
      <c r="A63" s="2893" t="s">
        <v>1880</v>
      </c>
      <c r="B63" s="289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5" t="s">
        <v>1900</v>
      </c>
      <c r="B71" s="2896"/>
      <c r="C71" s="2896"/>
      <c r="D71" s="2896"/>
      <c r="E71" s="2896"/>
      <c r="F71" s="2896"/>
      <c r="G71" s="2896"/>
      <c r="H71" s="289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3" t="s">
        <v>1880</v>
      </c>
      <c r="B72" s="289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1" t="s">
        <v>1910</v>
      </c>
      <c r="F77" s="2932"/>
      <c r="G77" s="2932"/>
      <c r="H77" s="2933"/>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2" t="s">
        <v>1915</v>
      </c>
      <c r="F79" s="2863"/>
      <c r="G79" s="2863"/>
      <c r="H79" s="2883"/>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2" t="s">
        <v>1927</v>
      </c>
      <c r="F92" s="2863"/>
      <c r="G92" s="286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0" t="s">
        <v>1934</v>
      </c>
      <c r="B100" s="2881"/>
      <c r="C100" s="2881"/>
      <c r="D100" s="2882"/>
      <c r="E100" s="2201"/>
      <c r="F100" s="2890" t="s">
        <v>1935</v>
      </c>
      <c r="G100" s="2891"/>
      <c r="H100" s="2891"/>
      <c r="I100" s="2892"/>
    </row>
    <row r="101" spans="1:35" ht="15.75">
      <c r="A101" s="2897" t="s">
        <v>1936</v>
      </c>
      <c r="B101" s="2898"/>
      <c r="C101" s="721">
        <f>C4</f>
        <v>0</v>
      </c>
      <c r="D101" s="722">
        <f>D4</f>
        <v>0</v>
      </c>
      <c r="E101" s="2201"/>
      <c r="F101" s="2899" t="s">
        <v>1937</v>
      </c>
      <c r="G101" s="2901"/>
      <c r="H101" s="2982" t="s">
        <v>1938</v>
      </c>
      <c r="I101" s="2900"/>
    </row>
    <row r="102" spans="1:35" ht="15.75">
      <c r="A102" s="2983" t="s">
        <v>1998</v>
      </c>
      <c r="B102" s="2296" t="str">
        <f>IF(H19="元","总价（元）","总价（万元）")</f>
        <v>总价（元）</v>
      </c>
      <c r="C102" s="721" t="e">
        <f ca="1">C19</f>
        <v>#REF!</v>
      </c>
      <c r="D102" s="722" t="e">
        <f ca="1">D19</f>
        <v>#REF!</v>
      </c>
      <c r="E102" s="2201"/>
      <c r="F102" s="2984"/>
      <c r="G102" s="2985"/>
      <c r="H102" s="2960">
        <f>典型户型修正!B25</f>
        <v>0</v>
      </c>
      <c r="I102" s="2900"/>
    </row>
    <row r="103" spans="1:35" ht="15.75">
      <c r="A103" s="2983"/>
      <c r="B103" s="2296" t="s">
        <v>1940</v>
      </c>
      <c r="C103" s="723" t="e">
        <f ca="1">C20</f>
        <v>#REF!</v>
      </c>
      <c r="D103" s="724" t="e">
        <f ca="1">D20</f>
        <v>#REF!</v>
      </c>
      <c r="E103" s="2201"/>
      <c r="F103" s="2974" t="s">
        <v>1941</v>
      </c>
      <c r="G103" s="2975"/>
      <c r="H103" s="2297" t="str">
        <f>C109</f>
        <v>总价（元）</v>
      </c>
      <c r="I103" s="1868">
        <f>H124</f>
        <v>0</v>
      </c>
    </row>
    <row r="104" spans="1:35" ht="15">
      <c r="A104" s="2983" t="s">
        <v>1999</v>
      </c>
      <c r="B104" s="2298" t="str">
        <f>B102</f>
        <v>总价（元）</v>
      </c>
      <c r="C104" s="1191" t="e">
        <f ca="1">ROUND(IF('数据-取费表'!B4="总价",G19,IF(H19="元",G20*'数据-取费表'!E5,G20*'数据-取费表'!E5/10000)),0)</f>
        <v>#REF!</v>
      </c>
      <c r="D104" s="726"/>
      <c r="E104" s="2201"/>
      <c r="F104" s="2974"/>
      <c r="G104" s="2975"/>
      <c r="H104" s="2297" t="s">
        <v>1940</v>
      </c>
      <c r="I104" s="1051" t="e">
        <f>I124</f>
        <v>#DIV/0!</v>
      </c>
    </row>
    <row r="105" spans="1:35" ht="15.75">
      <c r="A105" s="2983"/>
      <c r="B105" s="2296" t="s">
        <v>1940</v>
      </c>
      <c r="C105" s="1193" t="e">
        <f ca="1">ROUND(IF('数据-取费表'!B4="楼面单价",G20,IF(H19="元",G19/'数据-取费表'!E5,G19*10000/'数据-取费表'!E5)),0)</f>
        <v>#REF!</v>
      </c>
      <c r="D105" s="726"/>
      <c r="E105" s="2201"/>
      <c r="F105" s="2886"/>
      <c r="G105" s="2887"/>
      <c r="H105" s="2921"/>
      <c r="I105" s="2922"/>
    </row>
    <row r="106" spans="1:35" ht="15.75">
      <c r="A106" s="2990" t="s">
        <v>2000</v>
      </c>
      <c r="B106" s="2336" t="str">
        <f>B102</f>
        <v>总价（元）</v>
      </c>
      <c r="C106" s="725">
        <f>H124</f>
        <v>0</v>
      </c>
      <c r="D106" s="1190"/>
      <c r="E106" s="2201"/>
      <c r="F106" s="2925" t="s">
        <v>1944</v>
      </c>
      <c r="G106" s="2926"/>
      <c r="H106" s="2300" t="str">
        <f>C111</f>
        <v>总额（元）</v>
      </c>
      <c r="I106" s="1868">
        <f>SUMIF(I107:I109,"&lt;9E307")</f>
        <v>0</v>
      </c>
    </row>
    <row r="107" spans="1:35" ht="15.75" thickBot="1">
      <c r="A107" s="2920"/>
      <c r="B107" s="2299" t="s">
        <v>1940</v>
      </c>
      <c r="C107" s="727" t="e">
        <f>I124</f>
        <v>#DIV/0!</v>
      </c>
      <c r="D107" s="728"/>
      <c r="E107" s="2201"/>
      <c r="F107" s="2888" t="s">
        <v>1946</v>
      </c>
      <c r="G107" s="288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88" t="s">
        <v>1947</v>
      </c>
      <c r="G108" s="2889"/>
      <c r="H108" s="2300" t="str">
        <f>C113</f>
        <v>总额（元）</v>
      </c>
      <c r="I108" s="1051">
        <f>C38</f>
        <v>0</v>
      </c>
      <c r="K108" s="2301"/>
    </row>
    <row r="109" spans="1:35" ht="15">
      <c r="A109" s="2927" t="s">
        <v>2001</v>
      </c>
      <c r="B109" s="2928"/>
      <c r="C109" s="2297" t="str">
        <f>B102</f>
        <v>总价（元）</v>
      </c>
      <c r="D109" s="1052">
        <f>H124</f>
        <v>0</v>
      </c>
      <c r="E109" s="2201"/>
      <c r="F109" s="2888" t="s">
        <v>1949</v>
      </c>
      <c r="G109" s="2889"/>
      <c r="H109" s="2300" t="str">
        <f>C114</f>
        <v>总额（元）</v>
      </c>
      <c r="I109" s="1051">
        <f>C39</f>
        <v>0</v>
      </c>
    </row>
    <row r="110" spans="1:35" ht="15.75">
      <c r="A110" s="2927"/>
      <c r="B110" s="2928"/>
      <c r="C110" s="2297" t="s">
        <v>1940</v>
      </c>
      <c r="D110" s="1053" t="e">
        <f>I124</f>
        <v>#DIV/0!</v>
      </c>
      <c r="E110" s="2201"/>
      <c r="F110" s="2886"/>
      <c r="G110" s="2887"/>
      <c r="H110" s="2923"/>
      <c r="I110" s="2924"/>
    </row>
    <row r="111" spans="1:35" ht="28.5" customHeight="1">
      <c r="A111" s="2970" t="s">
        <v>1948</v>
      </c>
      <c r="B111" s="2971"/>
      <c r="C111" s="2300" t="str">
        <f>IF(H19="元","总额（元）","总额（万元）")</f>
        <v>总额（元）</v>
      </c>
      <c r="D111" s="1052">
        <f>IF(D37="正常操作",I107+I108+I109,I108+I109)</f>
        <v>0</v>
      </c>
      <c r="E111" s="2201"/>
      <c r="F111" s="2868" t="str">
        <f>IF(项目基本情况!F5="已注销","——","3.房地产抵押价值")</f>
        <v>3.房地产抵押价值</v>
      </c>
      <c r="G111" s="2869"/>
      <c r="H111" s="2337" t="str">
        <f>C115</f>
        <v>总价（元）</v>
      </c>
      <c r="I111" s="1868">
        <f>IF(F111="——","——",I103-I106)</f>
        <v>0</v>
      </c>
    </row>
    <row r="112" spans="1:35" ht="15">
      <c r="A112" s="2888" t="s">
        <v>1946</v>
      </c>
      <c r="B112" s="2889"/>
      <c r="C112" s="2300" t="str">
        <f>C111</f>
        <v>总额（元）</v>
      </c>
      <c r="D112" s="638">
        <f>IF(D37="同一抵押权人同一抵押物续贷",C37&amp;"（未扣减，详见特别提示）",C37)</f>
        <v>0</v>
      </c>
      <c r="E112" s="2201"/>
      <c r="F112" s="2870"/>
      <c r="G112" s="2871"/>
      <c r="H112" s="2297" t="s">
        <v>1940</v>
      </c>
      <c r="I112" s="2303" t="e">
        <f>D116</f>
        <v>#DIV/0!</v>
      </c>
    </row>
    <row r="113" spans="1:26" ht="15.75">
      <c r="A113" s="2888" t="s">
        <v>1947</v>
      </c>
      <c r="B113" s="2889"/>
      <c r="C113" s="2300" t="str">
        <f>C111</f>
        <v>总额（元）</v>
      </c>
      <c r="D113" s="638">
        <f>C38</f>
        <v>0</v>
      </c>
      <c r="E113" s="2201"/>
      <c r="F113" s="2868" t="str">
        <f>IF(项目基本情况!F5="已注销及未注销","4.抵押担保权已注销时的房地产抵押价值",IF(项目基本情况!F5="已注销","3.抵押担保权已注销时的房地产抵押价值","——"))</f>
        <v>——</v>
      </c>
      <c r="G113" s="2869"/>
      <c r="H113" s="2337" t="str">
        <f>C117</f>
        <v>总价（元）</v>
      </c>
      <c r="I113" s="1868" t="str">
        <f>IF(F113="——","——",I103-I108-I109)</f>
        <v>——</v>
      </c>
    </row>
    <row r="114" spans="1:26" ht="15">
      <c r="A114" s="2888" t="s">
        <v>1949</v>
      </c>
      <c r="B114" s="2889"/>
      <c r="C114" s="2300" t="str">
        <f>C111</f>
        <v>总额（元）</v>
      </c>
      <c r="D114" s="638">
        <f>C39</f>
        <v>0</v>
      </c>
      <c r="E114" s="2201"/>
      <c r="F114" s="2870"/>
      <c r="G114" s="2871"/>
      <c r="H114" s="2297" t="s">
        <v>1940</v>
      </c>
      <c r="I114" s="1051" t="str">
        <f>D118</f>
        <v>——</v>
      </c>
    </row>
    <row r="115" spans="1:26" ht="15.75">
      <c r="A115" s="2927" t="str">
        <f>IF(项目基本情况!F5="已注销","——","3.房地产抵押价值")</f>
        <v>3.房地产抵押价值</v>
      </c>
      <c r="B115" s="2928"/>
      <c r="C115" s="2297" t="str">
        <f>B102</f>
        <v>总价（元）</v>
      </c>
      <c r="D115" s="1052">
        <f>IF(A115="——","——",D109-D111)</f>
        <v>0</v>
      </c>
      <c r="E115" s="2201"/>
      <c r="F115" s="2868" t="str">
        <f>IF(项目基本情况!G5="抵押净值",IF(OR(项目基本情况!F5="已注销",项目基本情况!F5="房地产抵押价值"),"4.抵押净值","5.抵押净值"),"——")</f>
        <v>——</v>
      </c>
      <c r="G115" s="2869"/>
      <c r="H115" s="2297" t="str">
        <f>C119</f>
        <v>总价（元）</v>
      </c>
      <c r="I115" s="1868" t="str">
        <f>IF(F115="——","——",N60)</f>
        <v>——</v>
      </c>
    </row>
    <row r="116" spans="1:26" ht="15.75" thickBot="1">
      <c r="A116" s="2927"/>
      <c r="B116" s="2928"/>
      <c r="C116" s="2297" t="s">
        <v>2002</v>
      </c>
      <c r="D116" s="1053" t="e">
        <f>ROUND(IF(D115=D109,D110,IF(H19="元",D115/B124,D115*10000/B124)),0)</f>
        <v>#DIV/0!</v>
      </c>
      <c r="E116" s="2201"/>
      <c r="F116" s="2961"/>
      <c r="G116" s="2962"/>
      <c r="H116" s="2305"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7" t="str">
        <f>B102</f>
        <v>总价（元）</v>
      </c>
      <c r="D117" s="1052" t="str">
        <f>IF(A117="——","——",D109-D113-D114)</f>
        <v>——</v>
      </c>
      <c r="E117" s="2201"/>
      <c r="F117" s="2864"/>
      <c r="G117" s="2864"/>
      <c r="H117" s="2906"/>
      <c r="I117" s="2906"/>
      <c r="N117" s="55"/>
      <c r="O117" s="55"/>
    </row>
    <row r="118" spans="1:26" s="1851" customFormat="1" ht="15">
      <c r="A118" s="2927"/>
      <c r="B118" s="2928"/>
      <c r="C118" s="2297" t="s">
        <v>2002</v>
      </c>
      <c r="D118" s="1053" t="str">
        <f>IF(A117="——","——",IF(H19="元",ROUND(D117/B124,0),ROUND(D117*10000/B124,0)))</f>
        <v>——</v>
      </c>
      <c r="E118" s="2201"/>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2020142</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15040</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10746</v>
      </c>
      <c r="D9" s="1540">
        <f>IF('数据-取费表'!B10="住宅",IF(B1="仅计算典型户型",'数据-取费表'!E5,'数据-取费表'!B5),0)</f>
        <v>134.32</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134.32</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438689</v>
      </c>
      <c r="D33" s="184"/>
      <c r="E33" s="1534"/>
      <c r="F33" s="192"/>
      <c r="G33" s="185"/>
    </row>
    <row r="34" spans="1:7" s="207" customFormat="1" ht="13.5" customHeight="1">
      <c r="A34" s="177" t="s">
        <v>2045</v>
      </c>
      <c r="B34" s="178" t="s">
        <v>2067</v>
      </c>
      <c r="C34" s="200">
        <f>IF(B1="仅计算典型户型",'数据-取费表'!F18,'数据-取费表'!E18)</f>
        <v>376096</v>
      </c>
      <c r="D34" s="1535"/>
      <c r="E34" s="200"/>
      <c r="F34" s="1546" t="str">
        <f>IF('数据-取费表'!B25=0,"",'数据-取费表'!E20)</f>
        <v/>
      </c>
      <c r="G34" s="180"/>
    </row>
    <row r="35" spans="1:7" ht="13.5" customHeight="1">
      <c r="A35" s="177" t="s">
        <v>2019</v>
      </c>
      <c r="B35" s="178" t="s">
        <v>2068</v>
      </c>
      <c r="C35" s="200">
        <f>ROUND(C34*F35,0)</f>
        <v>11283</v>
      </c>
      <c r="D35" s="200"/>
      <c r="E35" s="200"/>
      <c r="F35" s="1547">
        <f>'数据-取费表'!E21</f>
        <v>0.03</v>
      </c>
      <c r="G35" s="180" t="s">
        <v>2069</v>
      </c>
    </row>
    <row r="36" spans="1:7" ht="24">
      <c r="A36" s="177" t="s">
        <v>2021</v>
      </c>
      <c r="B36" s="178" t="s">
        <v>2070</v>
      </c>
      <c r="C36" s="200">
        <f>ROUND(IF('数据-取费表'!B10="住宅",C34*F36,0),0)</f>
        <v>18805</v>
      </c>
      <c r="D36" s="200"/>
      <c r="E36" s="200"/>
      <c r="F36" s="1547">
        <f>'数据-取费表'!E22</f>
        <v>0.05</v>
      </c>
      <c r="G36" s="208" t="s">
        <v>2071</v>
      </c>
    </row>
    <row r="37" spans="1:7" s="207" customFormat="1" ht="13.5" customHeight="1">
      <c r="A37" s="177" t="s">
        <v>2052</v>
      </c>
      <c r="B37" s="178" t="s">
        <v>2072</v>
      </c>
      <c r="C37" s="200">
        <f>ROUND(E37*D37,0)</f>
        <v>26864</v>
      </c>
      <c r="D37" s="1535">
        <f>IF(B1="仅计算典型户型",'数据-取费表'!E5,'数据-取费表'!B5)</f>
        <v>134.32</v>
      </c>
      <c r="E37" s="200">
        <f>'数据-取费表'!E23</f>
        <v>200</v>
      </c>
      <c r="F37" s="1547"/>
      <c r="G37" s="209" t="s">
        <v>2073</v>
      </c>
    </row>
    <row r="38" spans="1:7" ht="13.5" customHeight="1">
      <c r="A38" s="177" t="s">
        <v>2074</v>
      </c>
      <c r="B38" s="178" t="s">
        <v>2075</v>
      </c>
      <c r="C38" s="200">
        <f>ROUND(C34*F38,0)</f>
        <v>5641</v>
      </c>
      <c r="D38" s="200"/>
      <c r="E38" s="200"/>
      <c r="F38" s="1547">
        <f>'数据-取费表'!E24</f>
        <v>1.4999999999999999E-2</v>
      </c>
      <c r="G38" s="180" t="s">
        <v>2069</v>
      </c>
    </row>
    <row r="39" spans="1:7" s="176" customFormat="1" ht="13.5" customHeight="1">
      <c r="A39" s="205" t="s">
        <v>2034</v>
      </c>
      <c r="B39" s="174" t="s">
        <v>2037</v>
      </c>
      <c r="C39" s="184">
        <f>ROUND(C33*F20,0)</f>
        <v>8774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15848</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15537</v>
      </c>
      <c r="D42" s="189"/>
      <c r="E42" s="189"/>
      <c r="F42" s="190"/>
      <c r="G42" s="2992" t="s">
        <v>2079</v>
      </c>
    </row>
    <row r="43" spans="1:7" ht="13.5" customHeight="1">
      <c r="A43" s="177" t="s">
        <v>2019</v>
      </c>
      <c r="B43" s="178" t="s">
        <v>2048</v>
      </c>
      <c r="C43" s="189">
        <f ca="1">ROUND(IF('数据-取费表'!B23&lt;=1,C39*F22*'数据-取费表'!B22/2,C39*(POWER((1+F22),'数据-取费表'!B22/2)-1)),0)</f>
        <v>311</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111866</v>
      </c>
      <c r="D45" s="186">
        <f>C47</f>
        <v>5.0000000000000001E-3</v>
      </c>
      <c r="E45" s="187" t="s">
        <v>2077</v>
      </c>
      <c r="F45" s="197"/>
      <c r="G45" s="198" t="s">
        <v>2080</v>
      </c>
    </row>
    <row r="46" spans="1:7" s="176" customFormat="1" ht="13.5" customHeight="1">
      <c r="A46" s="177" t="s">
        <v>2045</v>
      </c>
      <c r="B46" s="199" t="s">
        <v>2081</v>
      </c>
      <c r="C46" s="200">
        <f>ROUND((C33+C39)*F27,0)</f>
        <v>111866</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624514</v>
      </c>
      <c r="D49" s="184"/>
      <c r="E49" s="184"/>
      <c r="F49" s="211"/>
      <c r="G49" s="185" t="s">
        <v>2087</v>
      </c>
    </row>
    <row r="50" spans="1:7" s="207" customFormat="1" ht="24">
      <c r="A50" s="1307" t="s">
        <v>2088</v>
      </c>
      <c r="B50" s="174" t="s">
        <v>2089</v>
      </c>
      <c r="C50" s="184"/>
      <c r="D50" s="184"/>
      <c r="E50" s="184"/>
      <c r="F50" s="211">
        <f>IF('数据-取费表'!B25=0,'数据-取费表'!E20,1)</f>
        <v>0.82</v>
      </c>
      <c r="G50" s="198" t="s">
        <v>2090</v>
      </c>
    </row>
    <row r="51" spans="1:7" ht="16.5" customHeight="1">
      <c r="A51" s="1307" t="s">
        <v>2091</v>
      </c>
      <c r="B51" s="174" t="s">
        <v>2092</v>
      </c>
      <c r="C51" s="184">
        <f ca="1">ROUND(C49*F50,0)</f>
        <v>512101</v>
      </c>
      <c r="D51" s="184"/>
      <c r="E51" s="184"/>
      <c r="F51" s="211"/>
      <c r="G51" s="185" t="s">
        <v>2093</v>
      </c>
    </row>
    <row r="52" spans="1:7" s="173" customFormat="1" ht="16.5" thickBot="1">
      <c r="A52" s="212" t="s">
        <v>2094</v>
      </c>
      <c r="B52" s="213"/>
      <c r="C52" s="214">
        <f ca="1">C31+C51</f>
        <v>2020142</v>
      </c>
      <c r="D52" s="213"/>
      <c r="E52" s="213"/>
      <c r="F52" s="213"/>
      <c r="G52" s="215"/>
    </row>
    <row r="55" spans="1:7" ht="15">
      <c r="B55" s="217" t="s">
        <v>2095</v>
      </c>
      <c r="C55" s="218"/>
    </row>
    <row r="56" spans="1:7">
      <c r="B56" s="220" t="s">
        <v>2096</v>
      </c>
      <c r="C56" s="221">
        <f ca="1">ROUND(C51/C52,3)</f>
        <v>0.253</v>
      </c>
    </row>
    <row r="57" spans="1:7">
      <c r="B57" s="220" t="s">
        <v>2097</v>
      </c>
      <c r="C57" s="222">
        <f ca="1">1-C56</f>
        <v>0.747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0.18000000000000005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5" t="s">
        <v>1025</v>
      </c>
      <c r="B1" s="2996"/>
      <c r="C1" s="2997"/>
      <c r="D1" s="2998">
        <f>SUM(I10,I15,I20,I21,I23)</f>
        <v>0</v>
      </c>
      <c r="E1" s="2998"/>
      <c r="F1" s="2998"/>
      <c r="G1" s="2998"/>
      <c r="H1" s="2998"/>
      <c r="I1" s="2999"/>
    </row>
    <row r="2" spans="1:9">
      <c r="A2" s="3000" t="s">
        <v>1026</v>
      </c>
      <c r="B2" s="3001" t="s">
        <v>975</v>
      </c>
      <c r="C2" s="3001"/>
      <c r="D2" s="1391" t="s">
        <v>976</v>
      </c>
      <c r="E2" s="1391" t="s">
        <v>977</v>
      </c>
      <c r="F2" s="1391" t="s">
        <v>978</v>
      </c>
      <c r="G2" s="1391" t="s">
        <v>979</v>
      </c>
      <c r="H2" s="1391" t="s">
        <v>980</v>
      </c>
      <c r="I2" s="1392" t="s">
        <v>981</v>
      </c>
    </row>
    <row r="3" spans="1:9">
      <c r="A3" s="3000"/>
      <c r="B3" s="3001" t="s">
        <v>982</v>
      </c>
      <c r="C3" s="3001"/>
      <c r="D3" s="1393"/>
      <c r="E3" s="1391"/>
      <c r="F3" s="1394"/>
      <c r="G3" s="1394"/>
      <c r="H3" s="1395"/>
      <c r="I3" s="1396">
        <f>ROUND(D3*E3*F3*G3*H3/10000,0)</f>
        <v>0</v>
      </c>
    </row>
    <row r="4" spans="1:9">
      <c r="A4" s="3000"/>
      <c r="B4" s="3001" t="s">
        <v>983</v>
      </c>
      <c r="C4" s="3001"/>
      <c r="D4" s="1393"/>
      <c r="E4" s="1391"/>
      <c r="F4" s="1394"/>
      <c r="G4" s="1394"/>
      <c r="H4" s="1395"/>
      <c r="I4" s="1396">
        <f t="shared" ref="I4:I9" si="0">ROUND(D4*E4*F4*G4*H4/10000,0)</f>
        <v>0</v>
      </c>
    </row>
    <row r="5" spans="1:9">
      <c r="A5" s="3000"/>
      <c r="B5" s="3001" t="s">
        <v>984</v>
      </c>
      <c r="C5" s="3001"/>
      <c r="D5" s="1393"/>
      <c r="E5" s="1391"/>
      <c r="F5" s="1394"/>
      <c r="G5" s="1394"/>
      <c r="H5" s="1395"/>
      <c r="I5" s="1396">
        <f t="shared" si="0"/>
        <v>0</v>
      </c>
    </row>
    <row r="6" spans="1:9">
      <c r="A6" s="3000"/>
      <c r="B6" s="3001" t="s">
        <v>985</v>
      </c>
      <c r="C6" s="3001"/>
      <c r="D6" s="1393"/>
      <c r="E6" s="1391"/>
      <c r="F6" s="1394"/>
      <c r="G6" s="1394"/>
      <c r="H6" s="1395"/>
      <c r="I6" s="1396">
        <f t="shared" si="0"/>
        <v>0</v>
      </c>
    </row>
    <row r="7" spans="1:9">
      <c r="A7" s="3000"/>
      <c r="B7" s="3001" t="s">
        <v>986</v>
      </c>
      <c r="C7" s="3001"/>
      <c r="D7" s="1393"/>
      <c r="E7" s="1391"/>
      <c r="F7" s="1394"/>
      <c r="G7" s="1394"/>
      <c r="H7" s="1395"/>
      <c r="I7" s="1396">
        <f t="shared" si="0"/>
        <v>0</v>
      </c>
    </row>
    <row r="8" spans="1:9">
      <c r="A8" s="3000"/>
      <c r="B8" s="3001" t="s">
        <v>987</v>
      </c>
      <c r="C8" s="3001"/>
      <c r="D8" s="1393"/>
      <c r="E8" s="1391"/>
      <c r="F8" s="1394"/>
      <c r="G8" s="1394"/>
      <c r="H8" s="1395"/>
      <c r="I8" s="1396">
        <f t="shared" si="0"/>
        <v>0</v>
      </c>
    </row>
    <row r="9" spans="1:9">
      <c r="A9" s="3000"/>
      <c r="B9" s="3001" t="s">
        <v>988</v>
      </c>
      <c r="C9" s="3001"/>
      <c r="D9" s="1393"/>
      <c r="E9" s="1391"/>
      <c r="F9" s="1394"/>
      <c r="G9" s="1394"/>
      <c r="H9" s="1395"/>
      <c r="I9" s="1396">
        <f t="shared" si="0"/>
        <v>0</v>
      </c>
    </row>
    <row r="10" spans="1:9">
      <c r="A10" s="3000"/>
      <c r="B10" s="3002" t="s">
        <v>989</v>
      </c>
      <c r="C10" s="3002"/>
      <c r="D10" s="1397">
        <v>527</v>
      </c>
      <c r="E10" s="1397" t="e">
        <f>ROUND(D1*10000/D10/H9,0)</f>
        <v>#DIV/0!</v>
      </c>
      <c r="F10" s="1398"/>
      <c r="G10" s="1398"/>
      <c r="H10" s="1399"/>
      <c r="I10" s="1400">
        <f>SUM(I3:I9)</f>
        <v>0</v>
      </c>
    </row>
    <row r="11" spans="1:9" ht="14.25">
      <c r="A11" s="3000" t="s">
        <v>1027</v>
      </c>
      <c r="B11" s="3001" t="s">
        <v>990</v>
      </c>
      <c r="C11" s="3001"/>
      <c r="D11" s="1393" t="s">
        <v>991</v>
      </c>
      <c r="E11" s="1393" t="s">
        <v>992</v>
      </c>
      <c r="F11" s="1394" t="s">
        <v>993</v>
      </c>
      <c r="G11" s="1394" t="s">
        <v>980</v>
      </c>
      <c r="H11" s="1401" t="s">
        <v>994</v>
      </c>
      <c r="I11" s="1392" t="s">
        <v>981</v>
      </c>
    </row>
    <row r="12" spans="1:9">
      <c r="A12" s="3000"/>
      <c r="B12" s="3001" t="s">
        <v>995</v>
      </c>
      <c r="C12" s="3001"/>
      <c r="D12" s="1393"/>
      <c r="E12" s="1393"/>
      <c r="F12" s="1394"/>
      <c r="G12" s="1395"/>
      <c r="H12" s="1402"/>
      <c r="I12" s="1392">
        <f>ROUND(D12*E12*F12*G12/10000,0)</f>
        <v>0</v>
      </c>
    </row>
    <row r="13" spans="1:9">
      <c r="A13" s="3000"/>
      <c r="B13" s="3001" t="s">
        <v>996</v>
      </c>
      <c r="C13" s="3001"/>
      <c r="D13" s="1393"/>
      <c r="E13" s="1393"/>
      <c r="F13" s="1394"/>
      <c r="G13" s="1395"/>
      <c r="H13" s="1402"/>
      <c r="I13" s="1392">
        <f>ROUND(D13*E13*F13*G13/10000,0)</f>
        <v>0</v>
      </c>
    </row>
    <row r="14" spans="1:9">
      <c r="A14" s="3000"/>
      <c r="B14" s="3001" t="s">
        <v>997</v>
      </c>
      <c r="C14" s="3001"/>
      <c r="D14" s="1393"/>
      <c r="E14" s="1393"/>
      <c r="F14" s="1394"/>
      <c r="G14" s="1395"/>
      <c r="H14" s="1402"/>
      <c r="I14" s="1392">
        <f>ROUND(D14*E14*F14*G14/10000,0)</f>
        <v>0</v>
      </c>
    </row>
    <row r="15" spans="1:9">
      <c r="A15" s="3000"/>
      <c r="B15" s="3002" t="s">
        <v>989</v>
      </c>
      <c r="C15" s="3002"/>
      <c r="D15" s="1397"/>
      <c r="E15" s="1397">
        <f>SUM(E12:E14)</f>
        <v>0</v>
      </c>
      <c r="F15" s="1398"/>
      <c r="G15" s="1395"/>
      <c r="H15" s="1402"/>
      <c r="I15" s="1403">
        <f>SUM(I12:I14)</f>
        <v>0</v>
      </c>
    </row>
    <row r="16" spans="1:9" ht="24">
      <c r="A16" s="3000" t="s">
        <v>1028</v>
      </c>
      <c r="B16" s="3001" t="s">
        <v>998</v>
      </c>
      <c r="C16" s="3001"/>
      <c r="D16" s="1393" t="s">
        <v>976</v>
      </c>
      <c r="E16" s="1404" t="s">
        <v>999</v>
      </c>
      <c r="F16" s="1394" t="s">
        <v>1000</v>
      </c>
      <c r="G16" s="1395" t="s">
        <v>980</v>
      </c>
      <c r="H16" s="1401" t="s">
        <v>994</v>
      </c>
      <c r="I16" s="1392" t="s">
        <v>981</v>
      </c>
    </row>
    <row r="17" spans="1:9" ht="14.25">
      <c r="A17" s="3000"/>
      <c r="B17" s="3001" t="s">
        <v>1001</v>
      </c>
      <c r="C17" s="3001"/>
      <c r="D17" s="1393"/>
      <c r="E17" s="1393"/>
      <c r="F17" s="1394"/>
      <c r="G17" s="1395"/>
      <c r="H17" s="1405"/>
      <c r="I17" s="1406">
        <f>ROUND(D17*E17*F17*G17/10000,0)</f>
        <v>0</v>
      </c>
    </row>
    <row r="18" spans="1:9" ht="14.25">
      <c r="A18" s="3000"/>
      <c r="B18" s="3001" t="s">
        <v>1002</v>
      </c>
      <c r="C18" s="3001"/>
      <c r="D18" s="1393"/>
      <c r="E18" s="1393"/>
      <c r="F18" s="1394"/>
      <c r="G18" s="1395"/>
      <c r="H18" s="1405"/>
      <c r="I18" s="1406">
        <f>ROUND(D18*E18*F18*G18/10000,0)</f>
        <v>0</v>
      </c>
    </row>
    <row r="19" spans="1:9" ht="14.25">
      <c r="A19" s="3000"/>
      <c r="B19" s="3001" t="s">
        <v>1003</v>
      </c>
      <c r="C19" s="3001"/>
      <c r="D19" s="1393"/>
      <c r="E19" s="1393"/>
      <c r="F19" s="1394"/>
      <c r="G19" s="1395"/>
      <c r="H19" s="1405"/>
      <c r="I19" s="1406">
        <f>ROUND(D19*E19*F19*G19/10000,0)</f>
        <v>0</v>
      </c>
    </row>
    <row r="20" spans="1:9">
      <c r="A20" s="3000"/>
      <c r="B20" s="3002" t="s">
        <v>989</v>
      </c>
      <c r="C20" s="3002"/>
      <c r="D20" s="1397">
        <f>SUM(D17:D19)</f>
        <v>0</v>
      </c>
      <c r="E20" s="1397"/>
      <c r="F20" s="1398"/>
      <c r="G20" s="1395"/>
      <c r="H20" s="1402"/>
      <c r="I20" s="1403">
        <f>SUM(I17:I19)</f>
        <v>0</v>
      </c>
    </row>
    <row r="21" spans="1:9">
      <c r="A21" s="3000" t="s">
        <v>1029</v>
      </c>
      <c r="B21" s="3004"/>
      <c r="C21" s="3004"/>
      <c r="D21" s="3004"/>
      <c r="E21" s="3004"/>
      <c r="F21" s="3004"/>
      <c r="G21" s="3004"/>
      <c r="H21" s="1407">
        <v>0.1</v>
      </c>
      <c r="I21" s="1400">
        <f>ROUND(I10*H21,0)</f>
        <v>0</v>
      </c>
    </row>
    <row r="22" spans="1:9" ht="14.25">
      <c r="A22" s="3005" t="s">
        <v>1030</v>
      </c>
      <c r="B22" s="3006"/>
      <c r="C22" s="3007"/>
      <c r="D22" s="1408" t="s">
        <v>1004</v>
      </c>
      <c r="E22" s="1408" t="s">
        <v>1005</v>
      </c>
      <c r="F22" s="1409" t="s">
        <v>980</v>
      </c>
      <c r="G22" s="1409" t="s">
        <v>1006</v>
      </c>
      <c r="H22" s="1401" t="s">
        <v>994</v>
      </c>
      <c r="I22" s="1392" t="s">
        <v>981</v>
      </c>
    </row>
    <row r="23" spans="1:9" ht="14.25" thickBot="1">
      <c r="A23" s="3008"/>
      <c r="B23" s="3009"/>
      <c r="C23" s="3010"/>
      <c r="D23" s="1410"/>
      <c r="E23" s="1410"/>
      <c r="F23" s="1410"/>
      <c r="G23" s="1411"/>
      <c r="H23" s="1412"/>
      <c r="I23" s="1413">
        <f>ROUND(E23*D23*F23*(1-G23)/10000,0)</f>
        <v>0</v>
      </c>
    </row>
    <row r="26" spans="1:9">
      <c r="A26" s="1414" t="s">
        <v>1007</v>
      </c>
      <c r="B26" s="1414"/>
      <c r="C26" s="1414"/>
      <c r="D26" s="1414"/>
      <c r="E26" s="3011">
        <f>C27-C30-C31-C32</f>
        <v>0</v>
      </c>
      <c r="F26" s="3011"/>
      <c r="G26" s="3011"/>
      <c r="H26" s="1835" t="s">
        <v>1223</v>
      </c>
    </row>
    <row r="27" spans="1:9">
      <c r="A27" s="1415">
        <v>1</v>
      </c>
      <c r="B27" s="1416" t="s">
        <v>1008</v>
      </c>
      <c r="C27" s="1416">
        <f>C28+C29</f>
        <v>0</v>
      </c>
      <c r="D27" s="1416"/>
      <c r="E27" s="3012"/>
      <c r="F27" s="3012"/>
      <c r="G27" s="3012"/>
    </row>
    <row r="28" spans="1:9">
      <c r="A28" s="1417" t="s">
        <v>1009</v>
      </c>
      <c r="B28" s="1416" t="s">
        <v>1010</v>
      </c>
      <c r="C28" s="1416"/>
      <c r="D28" s="1416"/>
      <c r="E28" s="3012"/>
      <c r="F28" s="3012"/>
      <c r="G28" s="3012"/>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3"/>
      <c r="F32" s="3003"/>
      <c r="G32" s="3003"/>
    </row>
    <row r="33" spans="1:7" hidden="1">
      <c r="A33" s="3013" t="s">
        <v>1019</v>
      </c>
      <c r="B33" s="3014"/>
      <c r="C33" s="3014"/>
      <c r="D33" s="3015"/>
      <c r="E33" s="3011"/>
      <c r="F33" s="3011"/>
      <c r="G33" s="3011"/>
    </row>
    <row r="34" spans="1:7" hidden="1">
      <c r="A34" s="1419">
        <v>1</v>
      </c>
      <c r="B34" s="1416" t="s">
        <v>1020</v>
      </c>
      <c r="C34" s="1416"/>
      <c r="D34" s="1416"/>
      <c r="E34" s="3012"/>
      <c r="F34" s="3012"/>
      <c r="G34" s="3012"/>
    </row>
    <row r="35" spans="1:7" hidden="1">
      <c r="A35" s="1419">
        <v>2</v>
      </c>
      <c r="B35" s="1416" t="s">
        <v>1021</v>
      </c>
      <c r="C35" s="1416"/>
      <c r="D35" s="1416"/>
      <c r="E35" s="3012"/>
      <c r="F35" s="3012"/>
      <c r="G35" s="3012"/>
    </row>
    <row r="36" spans="1:7" hidden="1">
      <c r="A36" s="1419">
        <v>3</v>
      </c>
      <c r="B36" s="1416" t="s">
        <v>1022</v>
      </c>
      <c r="C36" s="1416"/>
      <c r="D36" s="1416"/>
      <c r="E36" s="3012"/>
      <c r="F36" s="3012"/>
      <c r="G36" s="3012"/>
    </row>
    <row r="37" spans="1:7" hidden="1">
      <c r="A37" s="1419">
        <v>4</v>
      </c>
      <c r="B37" s="1416" t="s">
        <v>1023</v>
      </c>
      <c r="C37" s="1416"/>
      <c r="D37" s="1416"/>
      <c r="E37" s="3012"/>
      <c r="F37" s="3012"/>
      <c r="G37" s="3012"/>
    </row>
    <row r="38" spans="1:7" hidden="1">
      <c r="A38" s="3013" t="s">
        <v>1024</v>
      </c>
      <c r="B38" s="3014"/>
      <c r="C38" s="3014"/>
      <c r="D38" s="3015"/>
      <c r="E38" s="3011"/>
      <c r="F38" s="3011"/>
      <c r="G38" s="30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19" t="s">
        <v>2309</v>
      </c>
      <c r="D4" s="3020"/>
      <c r="E4" s="3020"/>
      <c r="F4" s="3020"/>
      <c r="G4" s="3020"/>
      <c r="H4" s="3020"/>
      <c r="I4" s="3020"/>
      <c r="J4" s="3020"/>
      <c r="K4" s="3020"/>
      <c r="L4" s="3020"/>
      <c r="M4" s="3020"/>
      <c r="N4" s="3020"/>
      <c r="O4" s="3020"/>
      <c r="P4" s="3020"/>
      <c r="Q4" s="3020"/>
      <c r="R4" s="3020"/>
      <c r="S4" s="302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6" t="s">
        <v>45</v>
      </c>
      <c r="D25" s="3017"/>
      <c r="E25" s="3017"/>
      <c r="F25" s="3017"/>
      <c r="G25" s="3017"/>
      <c r="H25" s="3017"/>
      <c r="I25" s="3017"/>
      <c r="J25" s="3017"/>
      <c r="K25" s="3017"/>
      <c r="L25" s="3017"/>
      <c r="M25" s="3017"/>
      <c r="N25" s="3017"/>
      <c r="O25" s="3017"/>
      <c r="P25" s="3017"/>
      <c r="Q25" s="301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zoomScale="90" zoomScaleNormal="90" zoomScaleSheetLayoutView="100" workbookViewId="0">
      <selection activeCell="D34" sqref="D3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6893807</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51324</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171225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171000</v>
      </c>
      <c r="D6" s="81" t="s">
        <v>2806</v>
      </c>
      <c r="E6" s="320" t="s">
        <v>2110</v>
      </c>
      <c r="F6" s="321">
        <f>'数据-取费表'!B29</f>
        <v>15000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225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512101</v>
      </c>
      <c r="D13" s="1424" t="s">
        <v>2125</v>
      </c>
      <c r="E13" s="1424" t="s">
        <v>2126</v>
      </c>
      <c r="F13" s="1425">
        <f>'数据-取费表'!E20</f>
        <v>0.82</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376096</v>
      </c>
      <c r="D14" s="1894" t="s">
        <v>2129</v>
      </c>
      <c r="E14" s="1895"/>
      <c r="F14" s="980"/>
      <c r="G14" s="1241"/>
      <c r="H14" s="338" t="s">
        <v>2108</v>
      </c>
      <c r="I14" s="320" t="s">
        <v>2130</v>
      </c>
      <c r="J14" s="14">
        <f ca="1">C29</f>
        <v>624514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11283</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18805</v>
      </c>
      <c r="D16" s="320" t="s">
        <v>2133</v>
      </c>
      <c r="E16" s="320" t="s">
        <v>2134</v>
      </c>
      <c r="F16" s="343">
        <f>IF('数据-取费表'!B10="住宅",'数据-取费表'!E22,0)</f>
        <v>0.05</v>
      </c>
      <c r="G16" s="1241"/>
      <c r="H16" s="1422" t="s">
        <v>14</v>
      </c>
      <c r="I16" s="1423" t="s">
        <v>2139</v>
      </c>
      <c r="J16" s="328">
        <f ca="1">ROUND(J17+J22+J23+J24,0)</f>
        <v>6245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26864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5641</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438689</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8774</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6245</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15848</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-6245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111866</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0.04</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624514</v>
      </c>
      <c r="D29" s="1435"/>
      <c r="E29" s="1433"/>
      <c r="F29" s="1436"/>
      <c r="G29" s="792"/>
      <c r="H29" s="357" t="s">
        <v>24</v>
      </c>
      <c r="I29" s="358" t="s">
        <v>2204</v>
      </c>
      <c r="J29" s="359">
        <f ca="1">ROUND(J26/(1+F40)^F41,0)</f>
        <v>0</v>
      </c>
      <c r="K29" s="360" t="s">
        <v>2205</v>
      </c>
      <c r="L29" s="361"/>
      <c r="M29" s="362">
        <f>IF(D1="仅计算典型户型",'数据-取费表'!E5,'数据-取费表'!B5)</f>
        <v>134.32</v>
      </c>
    </row>
    <row r="30" spans="1:37" ht="18" customHeight="1" thickTop="1">
      <c r="A30" s="1422" t="s">
        <v>14</v>
      </c>
      <c r="B30" s="1423" t="s">
        <v>2206</v>
      </c>
      <c r="C30" s="328">
        <f ca="1">ROUND(C31+C36+C37+C38,0)</f>
        <v>17030</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8561.2999999999993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40968</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6245</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512</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1712</v>
      </c>
      <c r="D38" s="1435" t="s">
        <v>2181</v>
      </c>
      <c r="E38" s="1433" t="s">
        <v>2177</v>
      </c>
      <c r="F38" s="1428">
        <f>'数据-取费表'!B46</f>
        <v>0.01</v>
      </c>
      <c r="G38" s="792"/>
      <c r="H38" s="1232"/>
      <c r="I38" s="366" t="s">
        <v>2219</v>
      </c>
      <c r="J38" s="221">
        <f ca="1">ROUND(J34/C39,3)</f>
        <v>0.26600000000000001</v>
      </c>
      <c r="K38" s="1237"/>
      <c r="L38" s="1232"/>
      <c r="M38" s="1232"/>
    </row>
    <row r="39" spans="1:18" ht="18" customHeight="1" thickTop="1">
      <c r="A39" s="1422" t="s">
        <v>22</v>
      </c>
      <c r="B39" s="1437" t="s">
        <v>2220</v>
      </c>
      <c r="C39" s="328">
        <f ca="1">C5-C30</f>
        <v>154195</v>
      </c>
      <c r="D39" s="1438" t="s">
        <v>2221</v>
      </c>
      <c r="E39" s="1439"/>
      <c r="F39" s="1440"/>
      <c r="G39" s="792"/>
      <c r="H39" s="1232"/>
      <c r="I39" s="366" t="s">
        <v>2222</v>
      </c>
      <c r="J39" s="221">
        <f ca="1">1-J38</f>
        <v>0.73399999999999999</v>
      </c>
      <c r="K39" s="1237"/>
      <c r="L39" s="1232"/>
      <c r="M39" s="1232"/>
    </row>
    <row r="40" spans="1:18" s="792" customFormat="1" ht="18" customHeight="1">
      <c r="A40" s="317" t="s">
        <v>23</v>
      </c>
      <c r="B40" s="318" t="s">
        <v>2223</v>
      </c>
      <c r="C40" s="319">
        <f ca="1">ROUND(C39*(1-((1+F42)/(1+F40))^F41)/(F40-F42),0)</f>
        <v>6893807</v>
      </c>
      <c r="D40" s="347" t="s">
        <v>2191</v>
      </c>
      <c r="E40" s="320" t="s">
        <v>2192</v>
      </c>
      <c r="F40" s="330">
        <f>'数据-取费表'!B16</f>
        <v>0.04</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52.5</v>
      </c>
      <c r="H41" s="1239"/>
      <c r="I41" s="220" t="s">
        <v>2096</v>
      </c>
      <c r="J41" s="221">
        <f ca="1">ROUND(C13/C40,3)</f>
        <v>7.3999999999999996E-2</v>
      </c>
      <c r="K41" s="1236"/>
      <c r="L41" s="1239"/>
      <c r="M41" s="1239"/>
      <c r="Q41" s="796"/>
    </row>
    <row r="42" spans="1:18" s="792" customFormat="1" ht="18" customHeight="1">
      <c r="A42" s="326"/>
      <c r="B42" s="327"/>
      <c r="C42" s="328"/>
      <c r="D42" s="350"/>
      <c r="E42" s="320" t="s">
        <v>2201</v>
      </c>
      <c r="F42" s="330">
        <f>'数据-取费表'!B31</f>
        <v>3.5000000000000003E-2</v>
      </c>
      <c r="H42" s="1239"/>
      <c r="I42" s="220" t="s">
        <v>2097</v>
      </c>
      <c r="J42" s="222">
        <f ca="1">1-J41</f>
        <v>0.92600000000000005</v>
      </c>
      <c r="K42" s="1236"/>
      <c r="L42" s="1239"/>
      <c r="M42" s="1239"/>
      <c r="Q42" s="796"/>
    </row>
    <row r="43" spans="1:18" s="792" customFormat="1" ht="18" customHeight="1" thickBot="1">
      <c r="A43" s="357" t="s">
        <v>24</v>
      </c>
      <c r="B43" s="358" t="s">
        <v>2226</v>
      </c>
      <c r="C43" s="359">
        <f ca="1">ROUND(C40/F43,0)</f>
        <v>51324</v>
      </c>
      <c r="D43" s="360" t="s">
        <v>2227</v>
      </c>
      <c r="E43" s="361" t="s">
        <v>2228</v>
      </c>
      <c r="F43" s="362">
        <f>IF(D1="仅计算典型户型",'数据-取费表'!E5,'数据-取费表'!B5)</f>
        <v>134.32</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6893807</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-7041182</v>
      </c>
      <c r="D47" s="2351" t="str">
        <f>C2</f>
        <v>元</v>
      </c>
      <c r="E47" s="777"/>
      <c r="F47" s="777"/>
      <c r="I47" s="2352" t="s">
        <v>2239</v>
      </c>
      <c r="J47" s="1345"/>
      <c r="K47" s="1346"/>
      <c r="L47" s="1359">
        <f>IF(M48="住宅",0,IF(L49&gt;J52,L61,J61))</f>
        <v>0</v>
      </c>
      <c r="O47" s="1373" t="s">
        <v>960</v>
      </c>
      <c r="P47" s="1370" t="s">
        <v>2240</v>
      </c>
      <c r="Q47" s="1371">
        <f ca="1">C29</f>
        <v>624514</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52.5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2002</v>
      </c>
      <c r="K50" s="2360" t="s">
        <v>2256</v>
      </c>
      <c r="L50" s="1348"/>
      <c r="O50" s="1373" t="s">
        <v>963</v>
      </c>
      <c r="P50" s="1370" t="s">
        <v>2257</v>
      </c>
      <c r="Q50" s="1371">
        <f>J54</f>
        <v>-16</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6893807</v>
      </c>
      <c r="R51" s="1372" t="s">
        <v>965</v>
      </c>
    </row>
    <row r="52" spans="1:18" s="792" customFormat="1" ht="16.5" thickBot="1">
      <c r="A52" s="322"/>
      <c r="B52" s="323"/>
      <c r="C52" s="324"/>
      <c r="D52" s="325"/>
      <c r="E52" s="320" t="s">
        <v>2113</v>
      </c>
      <c r="F52" s="321">
        <f>F8</f>
        <v>12</v>
      </c>
      <c r="I52" s="2361" t="s">
        <v>2261</v>
      </c>
      <c r="J52" s="1350">
        <f>IF(J50="",J51,J50+J51-YEAR('数据-取费表'!B2))</f>
        <v>-16</v>
      </c>
      <c r="K52" s="2362" t="s">
        <v>2262</v>
      </c>
      <c r="L52" s="1351">
        <f ca="1">ROUND(-PV('数据-取费表'!B15,L49,(C40-C13*J35)),0)</f>
        <v>149465500</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-16</v>
      </c>
      <c r="K54" s="3022" t="s">
        <v>2805</v>
      </c>
      <c r="L54" s="3023"/>
      <c r="O54" s="1369" t="s">
        <v>958</v>
      </c>
      <c r="P54" s="1370" t="s">
        <v>2234</v>
      </c>
      <c r="Q54" s="1371">
        <f ca="1">C40+J29</f>
        <v>6893807</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512101</v>
      </c>
      <c r="D57" s="1296"/>
      <c r="E57" s="1297"/>
      <c r="F57" s="1304"/>
      <c r="I57" s="2371" t="s">
        <v>2272</v>
      </c>
      <c r="J57" s="1357" t="s">
        <v>2868</v>
      </c>
      <c r="K57" s="2356" t="s">
        <v>2273</v>
      </c>
      <c r="L57" s="1129">
        <f>IF(L49&lt;J52,"——",L49-J52)</f>
        <v>68.5</v>
      </c>
      <c r="O57" s="1373" t="s">
        <v>961</v>
      </c>
      <c r="P57" s="1370" t="s">
        <v>2274</v>
      </c>
      <c r="Q57" s="1374">
        <f>L53</f>
        <v>0</v>
      </c>
      <c r="R57" s="1372"/>
    </row>
    <row r="58" spans="1:18" s="792" customFormat="1" ht="29.25" thickBot="1">
      <c r="A58" s="1303"/>
      <c r="B58" s="320" t="s">
        <v>2203</v>
      </c>
      <c r="C58" s="189">
        <f ca="1">C29</f>
        <v>624514</v>
      </c>
      <c r="D58" s="1296"/>
      <c r="E58" s="1297"/>
      <c r="F58" s="1304"/>
      <c r="I58" s="2372" t="s">
        <v>2275</v>
      </c>
      <c r="J58" s="1356" t="str">
        <f>IF(OR(M48="住宅",J52&lt;L49,J57="是"),"——",J52-L49)</f>
        <v>——</v>
      </c>
      <c r="K58" s="2356" t="s">
        <v>2276</v>
      </c>
      <c r="L58" s="1129">
        <f ca="1">IF(L49&lt;J52,"——",IF(L56="比较法",L50,IF(L56="基准地价",L51,L52)))</f>
        <v>149465500</v>
      </c>
      <c r="O58" s="1373" t="s">
        <v>962</v>
      </c>
      <c r="P58" s="1370" t="s">
        <v>2277</v>
      </c>
      <c r="Q58" s="1371" t="e">
        <f>L59</f>
        <v>#DIV/0!</v>
      </c>
      <c r="R58" s="1372" t="s">
        <v>2278</v>
      </c>
    </row>
    <row r="59" spans="1:18" s="792" customFormat="1" ht="29.25" thickBot="1">
      <c r="A59" s="333" t="s">
        <v>14</v>
      </c>
      <c r="B59" s="334" t="s">
        <v>2206</v>
      </c>
      <c r="C59" s="335">
        <f ca="1">ROUND(C60+C65+C66+C67,0)</f>
        <v>6757</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6893807</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6893807</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6245</v>
      </c>
      <c r="D65" s="1899" t="s">
        <v>2216</v>
      </c>
      <c r="E65" s="320" t="s">
        <v>2160</v>
      </c>
      <c r="F65" s="351">
        <f t="shared" si="0"/>
        <v>0.01</v>
      </c>
      <c r="I65" s="2375" t="s">
        <v>2297</v>
      </c>
      <c r="J65" s="1880">
        <v>50</v>
      </c>
      <c r="K65" s="1880">
        <v>35</v>
      </c>
      <c r="L65" s="1880">
        <v>60</v>
      </c>
      <c r="M65" s="1879">
        <v>0</v>
      </c>
      <c r="O65" s="1373" t="s">
        <v>960</v>
      </c>
      <c r="P65" s="1370" t="s">
        <v>2271</v>
      </c>
      <c r="Q65" s="1375">
        <f ca="1">L52</f>
        <v>149465500</v>
      </c>
      <c r="R65" s="1376" t="s">
        <v>2298</v>
      </c>
    </row>
    <row r="66" spans="1:18" s="792" customFormat="1" ht="20.25" thickBot="1">
      <c r="A66" s="338" t="s">
        <v>20</v>
      </c>
      <c r="B66" s="320" t="s">
        <v>2175</v>
      </c>
      <c r="C66" s="14">
        <f ca="1">ROUND(C57*F66,0)</f>
        <v>512</v>
      </c>
      <c r="D66" s="1899" t="s">
        <v>2176</v>
      </c>
      <c r="E66" s="320" t="s">
        <v>2177</v>
      </c>
      <c r="F66" s="352">
        <f t="shared" si="0"/>
        <v>1E-3</v>
      </c>
      <c r="I66" s="2375" t="s">
        <v>2299</v>
      </c>
      <c r="J66" s="1880">
        <v>40</v>
      </c>
      <c r="K66" s="1880">
        <v>30</v>
      </c>
      <c r="L66" s="1880">
        <v>50</v>
      </c>
      <c r="M66" s="1878">
        <v>0.02</v>
      </c>
      <c r="O66" s="1373" t="s">
        <v>961</v>
      </c>
      <c r="P66" s="1377" t="s">
        <v>2300</v>
      </c>
      <c r="Q66" s="1371">
        <f ca="1">ROUND(Q67-Q68*Q69,0)</f>
        <v>113227</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154195</v>
      </c>
      <c r="R67" s="1372" t="s">
        <v>2235</v>
      </c>
    </row>
    <row r="68" spans="1:18" ht="15.75" thickBot="1">
      <c r="A68" s="333" t="s">
        <v>22</v>
      </c>
      <c r="B68" s="90" t="s">
        <v>2185</v>
      </c>
      <c r="C68" s="335">
        <f ca="1">C49-C59</f>
        <v>-6757</v>
      </c>
      <c r="D68" s="1894" t="s">
        <v>2186</v>
      </c>
      <c r="E68" s="1898"/>
      <c r="F68" s="354"/>
      <c r="H68" s="792"/>
      <c r="I68" s="792"/>
      <c r="J68" s="792"/>
      <c r="K68" s="792"/>
      <c r="L68" s="792"/>
      <c r="M68" s="792"/>
      <c r="O68" s="1373" t="s">
        <v>967</v>
      </c>
      <c r="P68" s="1377" t="s">
        <v>2302</v>
      </c>
      <c r="Q68" s="1371">
        <f ca="1">C13</f>
        <v>512101</v>
      </c>
      <c r="R68" s="1372" t="s">
        <v>2235</v>
      </c>
    </row>
    <row r="69" spans="1:18" ht="15.75" thickBot="1">
      <c r="A69" s="317" t="s">
        <v>23</v>
      </c>
      <c r="B69" s="318" t="s">
        <v>2223</v>
      </c>
      <c r="C69" s="319">
        <f ca="1">ROUND(C68*(1-((1+F71)/(1+F69))^F70)/(F69-F71),0)</f>
        <v>-147375</v>
      </c>
      <c r="D69" s="347" t="s">
        <v>2191</v>
      </c>
      <c r="E69" s="320" t="s">
        <v>2192</v>
      </c>
      <c r="F69" s="330">
        <f>F40</f>
        <v>0.04</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52.5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-1097</v>
      </c>
      <c r="D72" s="360" t="s">
        <v>2227</v>
      </c>
      <c r="E72" s="361" t="s">
        <v>2228</v>
      </c>
      <c r="F72" s="362">
        <f>F43</f>
        <v>134.32</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6893807</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G48" sqref="G48"/>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10057210</v>
      </c>
      <c r="C2" s="164" t="str">
        <f>'数据-取费表'!B3</f>
        <v>元</v>
      </c>
      <c r="D2" s="2391" t="s">
        <v>1257</v>
      </c>
      <c r="E2" s="1849">
        <f ca="1">SUMIF(INDIRECT("'"&amp;G2&amp;"'"&amp;"!A:A"),"承租人权益价值",INDIRECT("'"&amp;G2&amp;"'"&amp;"!c:c"))</f>
        <v>-7041182</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74875</v>
      </c>
      <c r="C3" s="380" t="s">
        <v>2341</v>
      </c>
      <c r="D3" s="379">
        <f>IF(C1="仅计算典型户型",'数据-取费表'!E5,'数据-取费表'!B5)</f>
        <v>134.32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7" t="s">
        <v>2343</v>
      </c>
      <c r="D4" s="3028"/>
      <c r="E4" s="3029" t="s">
        <v>2344</v>
      </c>
      <c r="F4" s="3030"/>
      <c r="G4" s="3027" t="s">
        <v>2345</v>
      </c>
      <c r="H4" s="3028"/>
      <c r="I4" s="3027" t="s">
        <v>2346</v>
      </c>
      <c r="J4" s="3028"/>
      <c r="K4" s="2402"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4" t="s">
        <v>2345</v>
      </c>
      <c r="AC4" s="3024" t="s">
        <v>2346</v>
      </c>
    </row>
    <row r="5" spans="1:29" ht="36" customHeight="1" thickBot="1">
      <c r="A5" s="384"/>
      <c r="B5" s="385"/>
      <c r="C5" s="3046" t="s">
        <v>2929</v>
      </c>
      <c r="D5" s="3047"/>
      <c r="E5" s="3044" t="s">
        <v>2930</v>
      </c>
      <c r="F5" s="3045"/>
      <c r="G5" s="3044" t="s">
        <v>2912</v>
      </c>
      <c r="H5" s="3045"/>
      <c r="I5" s="3044" t="s">
        <v>2912</v>
      </c>
      <c r="J5" s="3045"/>
      <c r="K5" s="2403"/>
      <c r="L5" s="1245"/>
      <c r="M5" s="1246"/>
      <c r="N5" s="1246"/>
      <c r="O5" s="1246"/>
      <c r="P5" s="3033"/>
      <c r="Q5" s="3034"/>
      <c r="R5" s="3039"/>
      <c r="S5" s="3040"/>
      <c r="T5" s="3039"/>
      <c r="U5" s="3040"/>
      <c r="V5" s="3043"/>
      <c r="W5" s="3043"/>
      <c r="X5" s="1906"/>
      <c r="Y5" s="3039"/>
      <c r="Z5" s="3040"/>
      <c r="AA5" s="3025"/>
      <c r="AB5" s="3025"/>
      <c r="AC5" s="3025"/>
    </row>
    <row r="6" spans="1:29" ht="15.75" hidden="1" thickBot="1">
      <c r="A6" s="386"/>
      <c r="B6" s="387"/>
      <c r="C6" s="3048"/>
      <c r="D6" s="3049"/>
      <c r="E6" s="3050" t="s">
        <v>2353</v>
      </c>
      <c r="F6" s="3051"/>
      <c r="G6" s="3059" t="s">
        <v>2353</v>
      </c>
      <c r="H6" s="3049"/>
      <c r="I6" s="3059" t="s">
        <v>2353</v>
      </c>
      <c r="J6" s="3049"/>
      <c r="K6" s="2403"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v>43139</v>
      </c>
      <c r="F7" s="393">
        <f>SUMIF(58:58,YEAR(E7)&amp;"-"&amp;MONTH(E7),59:59)</f>
        <v>100</v>
      </c>
      <c r="G7" s="392">
        <v>43125</v>
      </c>
      <c r="H7" s="391">
        <f>SUMIF(58:58,YEAR(G7)&amp;"-"&amp;MONTH(G7),59:59)</f>
        <v>100</v>
      </c>
      <c r="I7" s="392">
        <v>43131</v>
      </c>
      <c r="J7" s="391">
        <f>SUMIF(58:58,YEAR(I7)&amp;"-"&amp;MONTH(I7),59:59)</f>
        <v>100</v>
      </c>
      <c r="K7" s="2404"/>
      <c r="L7" s="1247"/>
      <c r="M7" s="1248"/>
      <c r="N7" s="1248"/>
      <c r="O7" s="1248"/>
      <c r="P7" s="3060" t="s">
        <v>2356</v>
      </c>
      <c r="Q7" s="3062"/>
      <c r="R7" s="750" t="s">
        <v>34</v>
      </c>
      <c r="S7" s="751">
        <f t="shared" ref="S7:S15" si="0">F7</f>
        <v>100</v>
      </c>
      <c r="T7" s="750" t="s">
        <v>34</v>
      </c>
      <c r="U7" s="751">
        <f t="shared" ref="U7:U15" si="1">H7</f>
        <v>100</v>
      </c>
      <c r="V7" s="750" t="s">
        <v>34</v>
      </c>
      <c r="W7" s="751">
        <f t="shared" ref="W7:W15" si="2">J7</f>
        <v>100</v>
      </c>
      <c r="X7" s="752"/>
      <c r="Y7" s="3060" t="s">
        <v>2356</v>
      </c>
      <c r="Z7" s="3061"/>
      <c r="AA7" s="753">
        <f>D7/F7</f>
        <v>1</v>
      </c>
      <c r="AB7" s="753">
        <f>D7/H7</f>
        <v>1</v>
      </c>
      <c r="AC7" s="753">
        <f>D7/J7</f>
        <v>1</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60" t="s">
        <v>2359</v>
      </c>
      <c r="Q8" s="3061"/>
      <c r="R8" s="750" t="s">
        <v>34</v>
      </c>
      <c r="S8" s="751">
        <f t="shared" si="0"/>
        <v>100</v>
      </c>
      <c r="T8" s="750" t="s">
        <v>34</v>
      </c>
      <c r="U8" s="751">
        <f t="shared" si="1"/>
        <v>100</v>
      </c>
      <c r="V8" s="750" t="s">
        <v>34</v>
      </c>
      <c r="W8" s="751">
        <f t="shared" si="2"/>
        <v>100</v>
      </c>
      <c r="X8" s="752"/>
      <c r="Y8" s="3060" t="s">
        <v>2359</v>
      </c>
      <c r="Z8" s="3061"/>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75" thickBot="1">
      <c r="A10" s="402"/>
      <c r="B10" s="403" t="s">
        <v>2364</v>
      </c>
      <c r="C10" s="404" t="s">
        <v>2913</v>
      </c>
      <c r="D10" s="52">
        <v>100</v>
      </c>
      <c r="E10" s="405" t="s">
        <v>2913</v>
      </c>
      <c r="F10" s="406">
        <f>SUMIF(65:65,E10,66:66)-SUMIF(65:65,C10,66:66)+100</f>
        <v>100</v>
      </c>
      <c r="G10" s="404" t="s">
        <v>2913</v>
      </c>
      <c r="H10" s="52">
        <f>SUMIF(65:65,G10,66:66)-SUMIF(65:65,C10,66:66)+100</f>
        <v>100</v>
      </c>
      <c r="I10" s="404" t="s">
        <v>2913</v>
      </c>
      <c r="J10" s="52">
        <f>SUMIF(65:65,I10,66:66)-SUMIF(65:65,C10,66:66)+100</f>
        <v>100</v>
      </c>
      <c r="K10" s="407">
        <v>1</v>
      </c>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3"/>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3"/>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3"/>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3"/>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估价对象周边有蓝堡国际公寓、光华欣居、金地国际花园、光辉里小区等居住小区，小区规模和社区发展完善程度较好，综合评价居住社区成熟度较好</v>
      </c>
      <c r="D15" s="421">
        <v>100</v>
      </c>
      <c r="E15" s="2733" t="s">
        <v>2908</v>
      </c>
      <c r="F15" s="423">
        <f>SUMIF(76:76,E16,77:77)-SUMIF(76:76,C16,77:77)+100</f>
        <v>100</v>
      </c>
      <c r="G15" s="2733" t="s">
        <v>2908</v>
      </c>
      <c r="H15" s="421">
        <f>SUMIF(76:76,G16,77:77)-SUMIF(76:76,C16,77:77)+100</f>
        <v>100</v>
      </c>
      <c r="I15" s="2733" t="s">
        <v>2908</v>
      </c>
      <c r="J15" s="421">
        <f>SUMIF(76:76,I16,77:77)-SUMIF(76:76,C16,77:77)+100</f>
        <v>100</v>
      </c>
      <c r="K15" s="425">
        <v>1</v>
      </c>
      <c r="L15" s="1255"/>
      <c r="M15" s="1246"/>
      <c r="N15" s="1246"/>
      <c r="O15" s="1246"/>
      <c r="P15" s="3066" t="s">
        <v>2367</v>
      </c>
      <c r="Q15" s="1905" t="str">
        <f t="shared" si="6"/>
        <v>居住社区成熟度</v>
      </c>
      <c r="R15" s="754" t="s">
        <v>28</v>
      </c>
      <c r="S15" s="755">
        <f t="shared" si="0"/>
        <v>100</v>
      </c>
      <c r="T15" s="754" t="s">
        <v>28</v>
      </c>
      <c r="U15" s="755">
        <f t="shared" si="1"/>
        <v>100</v>
      </c>
      <c r="V15" s="754" t="s">
        <v>28</v>
      </c>
      <c r="W15" s="755">
        <f t="shared" si="2"/>
        <v>100</v>
      </c>
      <c r="X15" s="1906"/>
      <c r="Y15" s="305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7"/>
      <c r="Q16" s="1905"/>
      <c r="R16" s="754"/>
      <c r="S16" s="755"/>
      <c r="T16" s="754"/>
      <c r="U16" s="755"/>
      <c r="V16" s="754"/>
      <c r="W16" s="755"/>
      <c r="X16" s="1906"/>
      <c r="Y16" s="3053"/>
      <c r="Z16" s="1908"/>
      <c r="AA16" s="1909">
        <v>1</v>
      </c>
      <c r="AB16" s="1909">
        <v>1</v>
      </c>
      <c r="AC16" s="1909">
        <v>1</v>
      </c>
    </row>
    <row r="17" spans="1:29" ht="147" customHeight="1">
      <c r="A17" s="409"/>
      <c r="B17" s="432" t="s">
        <v>1751</v>
      </c>
      <c r="C17" s="2413" t="str">
        <f>估价对象房地状况!C6</f>
        <v>估价对象紧邻城市主干道——光华路，临近地铁1、14号线（大望路站），以估价对象为中心半径2公里范围内有30路、31路、95路、101路、112路等多条公交线路，综合评价交通便捷度较好</v>
      </c>
      <c r="D17" s="431">
        <v>100</v>
      </c>
      <c r="E17" s="2761" t="s">
        <v>2909</v>
      </c>
      <c r="F17" s="434">
        <f>SUMIF(78:78,E18,79:79)-SUMIF(78:78,C18,79:79)+100</f>
        <v>100</v>
      </c>
      <c r="G17" s="2761" t="s">
        <v>2909</v>
      </c>
      <c r="H17" s="436">
        <f>SUMIF(78:78,G18,79:79)-SUMIF(78:78,C18,79:79)+100</f>
        <v>100</v>
      </c>
      <c r="I17" s="2761" t="s">
        <v>2909</v>
      </c>
      <c r="J17" s="436">
        <f>SUMIF(78:78,I18,79:79)-SUMIF(78:78,C18,79:79)+100</f>
        <v>100</v>
      </c>
      <c r="K17" s="425">
        <v>1</v>
      </c>
      <c r="L17" s="1255"/>
      <c r="M17" s="1246"/>
      <c r="N17" s="1246"/>
      <c r="O17" s="1246"/>
      <c r="P17" s="3067"/>
      <c r="Q17" s="1905" t="str">
        <f>B17</f>
        <v>交通便捷度</v>
      </c>
      <c r="R17" s="754" t="s">
        <v>28</v>
      </c>
      <c r="S17" s="755">
        <f>F17</f>
        <v>100</v>
      </c>
      <c r="T17" s="754" t="s">
        <v>28</v>
      </c>
      <c r="U17" s="755">
        <f>H17</f>
        <v>100</v>
      </c>
      <c r="V17" s="754" t="s">
        <v>28</v>
      </c>
      <c r="W17" s="755">
        <f>J17</f>
        <v>100</v>
      </c>
      <c r="X17" s="1906"/>
      <c r="Y17" s="3053"/>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3" t="s">
        <v>2893</v>
      </c>
      <c r="F19" s="440">
        <f>SUMIF(80:80,E20,81:81)-SUMIF(80:80,C20,81:81)+100</f>
        <v>100</v>
      </c>
      <c r="G19" s="2724" t="s">
        <v>2893</v>
      </c>
      <c r="H19" s="431">
        <f>SUMIF(80:80,G20,81:81)-SUMIF(80:80,C20,81:81)+100</f>
        <v>100</v>
      </c>
      <c r="I19" s="2723" t="s">
        <v>2893</v>
      </c>
      <c r="J19" s="431">
        <f>SUMIF(80:80,I20,81:81)-SUMIF(80:80,C20,81:81)+100</f>
        <v>100</v>
      </c>
      <c r="K19" s="425">
        <v>1</v>
      </c>
      <c r="L19" s="1255"/>
      <c r="M19" s="1246"/>
      <c r="N19" s="1246"/>
      <c r="O19" s="1246"/>
      <c r="P19" s="3067"/>
      <c r="Q19" s="1905" t="str">
        <f>B19</f>
        <v>公共配套设施</v>
      </c>
      <c r="R19" s="754" t="s">
        <v>28</v>
      </c>
      <c r="S19" s="755">
        <f>F19</f>
        <v>100</v>
      </c>
      <c r="T19" s="754" t="s">
        <v>28</v>
      </c>
      <c r="U19" s="755">
        <f>H19</f>
        <v>100</v>
      </c>
      <c r="V19" s="754" t="s">
        <v>28</v>
      </c>
      <c r="W19" s="755">
        <f>J19</f>
        <v>100</v>
      </c>
      <c r="X19" s="1906"/>
      <c r="Y19" s="3053"/>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67"/>
      <c r="Q20" s="1905"/>
      <c r="R20" s="754"/>
      <c r="S20" s="755"/>
      <c r="T20" s="754"/>
      <c r="U20" s="755"/>
      <c r="V20" s="754"/>
      <c r="W20" s="755"/>
      <c r="X20" s="1906"/>
      <c r="Y20" s="3053"/>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3" t="s">
        <v>2906</v>
      </c>
      <c r="F21" s="440">
        <f>SUMIF(82:82,E22,83:83)-SUMIF(82:82,C22,83:83)+100</f>
        <v>100</v>
      </c>
      <c r="G21" s="2723" t="s">
        <v>2906</v>
      </c>
      <c r="H21" s="431">
        <f>SUMIF(82:82,G22,83:83)-SUMIF(82:82,C22,83:83)+100</f>
        <v>100</v>
      </c>
      <c r="I21" s="2723" t="s">
        <v>2906</v>
      </c>
      <c r="J21" s="431">
        <f>SUMIF(82:82,I22,83:83)-SUMIF(82:82,C22,83:83)+100</f>
        <v>100</v>
      </c>
      <c r="K21" s="425">
        <v>1</v>
      </c>
      <c r="L21" s="1255"/>
      <c r="M21" s="1246"/>
      <c r="N21" s="1246"/>
      <c r="O21" s="1246"/>
      <c r="P21" s="3067"/>
      <c r="Q21" s="1905" t="str">
        <f>B21</f>
        <v>基础设施水平</v>
      </c>
      <c r="R21" s="754" t="s">
        <v>28</v>
      </c>
      <c r="S21" s="755">
        <f>F21</f>
        <v>100</v>
      </c>
      <c r="T21" s="754" t="s">
        <v>28</v>
      </c>
      <c r="U21" s="755">
        <f>H21</f>
        <v>100</v>
      </c>
      <c r="V21" s="754" t="s">
        <v>28</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67"/>
      <c r="Q22" s="1905"/>
      <c r="R22" s="754"/>
      <c r="S22" s="755"/>
      <c r="T22" s="754"/>
      <c r="U22" s="755"/>
      <c r="V22" s="754"/>
      <c r="W22" s="755"/>
      <c r="X22" s="1906"/>
      <c r="Y22" s="3053"/>
      <c r="Z22" s="1908"/>
      <c r="AA22" s="1909">
        <v>1</v>
      </c>
      <c r="AB22" s="1909">
        <v>1</v>
      </c>
      <c r="AC22" s="1909">
        <v>1</v>
      </c>
    </row>
    <row r="23" spans="1:29" ht="75.75" customHeight="1">
      <c r="A23" s="409"/>
      <c r="B23" s="432" t="s">
        <v>1756</v>
      </c>
      <c r="C23" s="2413" t="str">
        <f>估价对象房地状况!C9</f>
        <v>自然环境：木头公园等；人文环境：首都经济贸易大学等，综合评价环境状况较好</v>
      </c>
      <c r="D23" s="431">
        <v>100</v>
      </c>
      <c r="E23" s="2762" t="s">
        <v>2910</v>
      </c>
      <c r="F23" s="434">
        <f>SUMIF(84:84,E24,85:85)-SUMIF(84:84,C24,85:85)+100</f>
        <v>100</v>
      </c>
      <c r="G23" s="2762" t="s">
        <v>2910</v>
      </c>
      <c r="H23" s="431">
        <f>SUMIF(84:84,G24,85:85)-SUMIF(84:84,C24,85:85)+100</f>
        <v>100</v>
      </c>
      <c r="I23" s="2762" t="s">
        <v>2910</v>
      </c>
      <c r="J23" s="431">
        <f>SUMIF(84:84,I24,85:85)-SUMIF(84:84,C24,85:85)+100</f>
        <v>100</v>
      </c>
      <c r="K23" s="425">
        <v>1</v>
      </c>
      <c r="L23" s="1255"/>
      <c r="M23" s="1246"/>
      <c r="N23" s="1246"/>
      <c r="O23" s="1246"/>
      <c r="P23" s="3067"/>
      <c r="Q23" s="1905" t="str">
        <f>B23</f>
        <v>自然及人文环境</v>
      </c>
      <c r="R23" s="754" t="s">
        <v>28</v>
      </c>
      <c r="S23" s="755">
        <f>F23</f>
        <v>100</v>
      </c>
      <c r="T23" s="754" t="s">
        <v>28</v>
      </c>
      <c r="U23" s="755">
        <f>H23</f>
        <v>100</v>
      </c>
      <c r="V23" s="754" t="s">
        <v>28</v>
      </c>
      <c r="W23" s="755">
        <f>J23</f>
        <v>100</v>
      </c>
      <c r="X23" s="1906"/>
      <c r="Y23" s="3053"/>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7"/>
      <c r="Q24" s="1905"/>
      <c r="R24" s="754"/>
      <c r="S24" s="755"/>
      <c r="T24" s="754"/>
      <c r="U24" s="755"/>
      <c r="V24" s="754"/>
      <c r="W24" s="755"/>
      <c r="X24" s="1906"/>
      <c r="Y24" s="305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7"/>
      <c r="Q25" s="1905" t="str">
        <f t="shared" ref="Q25:Q46" si="11">B25</f>
        <v>楼层-1</v>
      </c>
      <c r="R25" s="754" t="s">
        <v>28</v>
      </c>
      <c r="S25" s="755">
        <f>F25</f>
        <v>100</v>
      </c>
      <c r="T25" s="754" t="s">
        <v>28</v>
      </c>
      <c r="U25" s="755">
        <f>H25</f>
        <v>100</v>
      </c>
      <c r="V25" s="754" t="s">
        <v>28</v>
      </c>
      <c r="W25" s="755">
        <f>J25</f>
        <v>100</v>
      </c>
      <c r="X25" s="1906"/>
      <c r="Y25" s="3053"/>
      <c r="Z25" s="1908" t="str">
        <f>Q25</f>
        <v>楼层-1</v>
      </c>
      <c r="AA25" s="1909">
        <f t="shared" si="3"/>
        <v>1</v>
      </c>
      <c r="AB25" s="1909">
        <f t="shared" si="4"/>
        <v>1</v>
      </c>
      <c r="AC25" s="1909">
        <f t="shared" si="5"/>
        <v>1</v>
      </c>
    </row>
    <row r="26" spans="1:29" ht="15">
      <c r="A26" s="409"/>
      <c r="B26" s="403" t="s">
        <v>2369</v>
      </c>
      <c r="C26" s="442" t="s">
        <v>2914</v>
      </c>
      <c r="D26" s="416">
        <v>100</v>
      </c>
      <c r="E26" s="2417" t="s">
        <v>2915</v>
      </c>
      <c r="F26" s="443">
        <f>SUMIF(88:88,E26,89:89)-SUMIF(88:88,C26,89:89)+100</f>
        <v>95</v>
      </c>
      <c r="G26" s="2418" t="s">
        <v>2915</v>
      </c>
      <c r="H26" s="416">
        <f>SUMIF(88:88,G26,89:89)-SUMIF(88:88,C26,89:89)+100</f>
        <v>95</v>
      </c>
      <c r="I26" s="2417" t="s">
        <v>2915</v>
      </c>
      <c r="J26" s="416">
        <f>SUMIF(88:88,I26,89:89)-SUMIF(88:88,C26,89:89)+100</f>
        <v>95</v>
      </c>
      <c r="K26" s="407">
        <v>1</v>
      </c>
      <c r="L26" s="1255"/>
      <c r="M26" s="1246"/>
      <c r="N26" s="1246"/>
      <c r="O26" s="1246"/>
      <c r="P26" s="3067"/>
      <c r="Q26" s="1905" t="str">
        <f t="shared" si="11"/>
        <v>朝向</v>
      </c>
      <c r="R26" s="754" t="s">
        <v>28</v>
      </c>
      <c r="S26" s="755">
        <f>F26</f>
        <v>95</v>
      </c>
      <c r="T26" s="754" t="s">
        <v>28</v>
      </c>
      <c r="U26" s="755">
        <f>H26</f>
        <v>95</v>
      </c>
      <c r="V26" s="754" t="s">
        <v>28</v>
      </c>
      <c r="W26" s="755">
        <f>J26</f>
        <v>95</v>
      </c>
      <c r="X26" s="1906"/>
      <c r="Y26" s="3053"/>
      <c r="Z26" s="1908" t="str">
        <f>Q26</f>
        <v>朝向</v>
      </c>
      <c r="AA26" s="1909">
        <f t="shared" si="3"/>
        <v>1.0526315789473684</v>
      </c>
      <c r="AB26" s="1909">
        <f t="shared" si="4"/>
        <v>1.0526315789473684</v>
      </c>
      <c r="AC26" s="1909">
        <f t="shared" si="5"/>
        <v>1.0526315789473684</v>
      </c>
    </row>
    <row r="27" spans="1:29" s="35" customFormat="1" ht="15">
      <c r="A27" s="412"/>
      <c r="B27" s="2406" t="s">
        <v>2370</v>
      </c>
      <c r="C27" s="2728" t="s">
        <v>2916</v>
      </c>
      <c r="D27" s="444">
        <v>100</v>
      </c>
      <c r="E27" s="2728" t="s">
        <v>2916</v>
      </c>
      <c r="F27" s="446">
        <f>SUMIF(90:90,E27,91:91)-SUMIF(90:90,C27,91:91)+100</f>
        <v>100</v>
      </c>
      <c r="G27" s="2728" t="s">
        <v>2916</v>
      </c>
      <c r="H27" s="444">
        <f>SUMIF(90:90,G27,91:91)-SUMIF(90:90,C27,91:91)+100</f>
        <v>100</v>
      </c>
      <c r="I27" s="2728" t="s">
        <v>2916</v>
      </c>
      <c r="J27" s="444">
        <f>SUMIF(90:90,I27,91:91)-SUMIF(90:90,C27,91:91)+100</f>
        <v>100</v>
      </c>
      <c r="K27" s="2407"/>
      <c r="L27" s="1247"/>
      <c r="M27" s="1248"/>
      <c r="N27" s="1248"/>
      <c r="O27" s="1248"/>
      <c r="P27" s="3067"/>
      <c r="Q27" s="1893" t="str">
        <f t="shared" si="11"/>
        <v>道路级别</v>
      </c>
      <c r="R27" s="750" t="s">
        <v>28</v>
      </c>
      <c r="S27" s="751">
        <f>F27</f>
        <v>100</v>
      </c>
      <c r="T27" s="750" t="s">
        <v>28</v>
      </c>
      <c r="U27" s="751">
        <f>H27</f>
        <v>100</v>
      </c>
      <c r="V27" s="750" t="s">
        <v>28</v>
      </c>
      <c r="W27" s="751">
        <f>J27</f>
        <v>100</v>
      </c>
      <c r="X27" s="752"/>
      <c r="Y27" s="3053"/>
      <c r="Z27" s="23" t="str">
        <f>Q27</f>
        <v>道路级别</v>
      </c>
      <c r="AA27" s="1909">
        <f>D27/F27</f>
        <v>1</v>
      </c>
      <c r="AB27" s="1909">
        <f>D27/H27</f>
        <v>1</v>
      </c>
      <c r="AC27" s="1909">
        <f>D27/J27</f>
        <v>1</v>
      </c>
    </row>
    <row r="28" spans="1:29" ht="15" hidden="1">
      <c r="A28" s="409"/>
      <c r="B28" s="2720" t="s">
        <v>2827</v>
      </c>
      <c r="C28" s="415"/>
      <c r="D28" s="416">
        <v>100</v>
      </c>
      <c r="E28" s="2729"/>
      <c r="F28" s="443">
        <f>SUMIF(92:92,E28,93:93)-SUMIF(92:92,C28,93:93)+100</f>
        <v>100</v>
      </c>
      <c r="G28" s="2729"/>
      <c r="H28" s="416">
        <f>SUMIF(92:92,G28,93:93)-SUMIF(92:92,C28,93:93)+100</f>
        <v>100</v>
      </c>
      <c r="I28" s="2729"/>
      <c r="J28" s="416">
        <f>SUMIF(92:92,I28,93:93)-SUMIF(92:92,C28,93:93)+100</f>
        <v>100</v>
      </c>
      <c r="K28" s="2407"/>
      <c r="L28" s="1255"/>
      <c r="M28" s="1246"/>
      <c r="N28" s="1246"/>
      <c r="O28" s="1246"/>
      <c r="P28" s="3067"/>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3"/>
      <c r="Z28" s="1908" t="str">
        <f t="shared" ref="Z28:Z46" si="15">Q28</f>
        <v>楼层</v>
      </c>
      <c r="AA28" s="1909">
        <f t="shared" si="3"/>
        <v>1</v>
      </c>
      <c r="AB28" s="1909">
        <f t="shared" si="4"/>
        <v>1</v>
      </c>
      <c r="AC28" s="1909">
        <f t="shared" si="5"/>
        <v>1</v>
      </c>
    </row>
    <row r="29" spans="1:29" ht="15.75" thickBot="1">
      <c r="A29" s="409"/>
      <c r="B29" s="2720" t="s">
        <v>2900</v>
      </c>
      <c r="C29" s="415" t="s">
        <v>2917</v>
      </c>
      <c r="D29" s="416">
        <v>100</v>
      </c>
      <c r="E29" s="2729" t="s">
        <v>2918</v>
      </c>
      <c r="F29" s="443">
        <f>SUMIF(94:94,E29,95:95)-SUMIF(94:94,C29,95:95)+100</f>
        <v>98</v>
      </c>
      <c r="G29" s="2729" t="s">
        <v>2919</v>
      </c>
      <c r="H29" s="416">
        <f>SUMIF(94:94,G29,95:95)-SUMIF(94:94,C29,95:95)+100</f>
        <v>100</v>
      </c>
      <c r="I29" s="2729" t="s">
        <v>2920</v>
      </c>
      <c r="J29" s="416">
        <f>SUMIF(94:94,I29,95:95)-SUMIF(94:94,C29,95:95)+100</f>
        <v>98</v>
      </c>
      <c r="K29" s="2407"/>
      <c r="L29" s="1255"/>
      <c r="M29" s="1246"/>
      <c r="N29" s="1246"/>
      <c r="O29" s="1246"/>
      <c r="P29" s="3067"/>
      <c r="Q29" s="1905" t="str">
        <f t="shared" si="11"/>
        <v>楼层</v>
      </c>
      <c r="R29" s="754" t="s">
        <v>28</v>
      </c>
      <c r="S29" s="755">
        <f t="shared" si="12"/>
        <v>98</v>
      </c>
      <c r="T29" s="754" t="s">
        <v>28</v>
      </c>
      <c r="U29" s="755">
        <f t="shared" si="13"/>
        <v>100</v>
      </c>
      <c r="V29" s="754" t="s">
        <v>28</v>
      </c>
      <c r="W29" s="755">
        <f t="shared" si="14"/>
        <v>98</v>
      </c>
      <c r="X29" s="1906"/>
      <c r="Y29" s="3053"/>
      <c r="Z29" s="1908" t="str">
        <f t="shared" si="15"/>
        <v>楼层</v>
      </c>
      <c r="AA29" s="1909">
        <f t="shared" si="3"/>
        <v>1.0204081632653061</v>
      </c>
      <c r="AB29" s="1909">
        <f t="shared" si="4"/>
        <v>1</v>
      </c>
      <c r="AC29" s="1909">
        <f t="shared" si="5"/>
        <v>1.0204081632653061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7"/>
      <c r="Q30" s="1905">
        <f t="shared" si="11"/>
        <v>111</v>
      </c>
      <c r="R30" s="754" t="s">
        <v>28</v>
      </c>
      <c r="S30" s="755">
        <f t="shared" si="12"/>
        <v>100</v>
      </c>
      <c r="T30" s="754" t="s">
        <v>28</v>
      </c>
      <c r="U30" s="755">
        <f t="shared" si="13"/>
        <v>100</v>
      </c>
      <c r="V30" s="754" t="s">
        <v>28</v>
      </c>
      <c r="W30" s="755">
        <f t="shared" si="14"/>
        <v>100</v>
      </c>
      <c r="X30" s="1906"/>
      <c r="Y30" s="305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7"/>
      <c r="Q31" s="1905">
        <f t="shared" si="11"/>
        <v>111</v>
      </c>
      <c r="R31" s="754" t="s">
        <v>28</v>
      </c>
      <c r="S31" s="755">
        <f t="shared" si="12"/>
        <v>100</v>
      </c>
      <c r="T31" s="754" t="s">
        <v>28</v>
      </c>
      <c r="U31" s="755">
        <f t="shared" si="13"/>
        <v>100</v>
      </c>
      <c r="V31" s="754" t="s">
        <v>28</v>
      </c>
      <c r="W31" s="755">
        <f t="shared" si="14"/>
        <v>100</v>
      </c>
      <c r="X31" s="1906"/>
      <c r="Y31" s="3053"/>
      <c r="Z31" s="1908">
        <f t="shared" si="15"/>
        <v>111</v>
      </c>
      <c r="AA31" s="1909">
        <f t="shared" si="3"/>
        <v>1</v>
      </c>
      <c r="AB31" s="1909">
        <f t="shared" si="4"/>
        <v>1</v>
      </c>
      <c r="AC31" s="1909">
        <f t="shared" si="5"/>
        <v>1</v>
      </c>
    </row>
    <row r="32" spans="1:29" ht="15">
      <c r="A32" s="420" t="s">
        <v>2371</v>
      </c>
      <c r="B32" s="28" t="s">
        <v>2372</v>
      </c>
      <c r="C32" s="2420" t="s">
        <v>2921</v>
      </c>
      <c r="D32" s="449">
        <v>100</v>
      </c>
      <c r="E32" s="2421" t="s">
        <v>2921</v>
      </c>
      <c r="F32" s="443">
        <f>SUMIF(100:100,E32,101:101)-SUMIF(100:100,C32,101:101)+100</f>
        <v>100</v>
      </c>
      <c r="G32" s="2420" t="s">
        <v>2921</v>
      </c>
      <c r="H32" s="449">
        <f>SUMIF(100:100,G32,101:101)-SUMIF(100:100,C32,101:101)+100</f>
        <v>100</v>
      </c>
      <c r="I32" s="2421" t="s">
        <v>2921</v>
      </c>
      <c r="J32" s="416">
        <f>SUMIF(100:100,I32,101:101)-SUMIF(100:100,C32,101:101)+100</f>
        <v>100</v>
      </c>
      <c r="K32" s="407">
        <v>2</v>
      </c>
      <c r="L32" s="1255"/>
      <c r="M32" s="1246"/>
      <c r="N32" s="1246"/>
      <c r="O32" s="1246"/>
      <c r="P32" s="3054" t="s">
        <v>2373</v>
      </c>
      <c r="Q32" s="1905" t="str">
        <f t="shared" si="11"/>
        <v>建筑类型</v>
      </c>
      <c r="R32" s="754" t="s">
        <v>28</v>
      </c>
      <c r="S32" s="755">
        <f t="shared" si="12"/>
        <v>100</v>
      </c>
      <c r="T32" s="754" t="s">
        <v>28</v>
      </c>
      <c r="U32" s="755">
        <f t="shared" si="13"/>
        <v>100</v>
      </c>
      <c r="V32" s="754" t="s">
        <v>28</v>
      </c>
      <c r="W32" s="755">
        <f t="shared" si="14"/>
        <v>100</v>
      </c>
      <c r="X32" s="1906"/>
      <c r="Y32" s="3057"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134.32</v>
      </c>
      <c r="D33" s="52">
        <v>100</v>
      </c>
      <c r="E33" s="411">
        <v>53.03</v>
      </c>
      <c r="F33" s="406">
        <f>LOOKUP(E33,103:103,104:104)-LOOKUP(C33,103:103,104:104)+100</f>
        <v>104.5</v>
      </c>
      <c r="G33" s="411">
        <v>54.02</v>
      </c>
      <c r="H33" s="52">
        <f>LOOKUP(G33,103:103,104:104)-LOOKUP(C33,103:103,104:104)+100</f>
        <v>104.5</v>
      </c>
      <c r="I33" s="411">
        <v>48.69</v>
      </c>
      <c r="J33" s="52">
        <f>LOOKUP(I33,103:103,104:104)-LOOKUP(C33,103:103,104:104)+100</f>
        <v>104.5</v>
      </c>
      <c r="K33" s="2407"/>
      <c r="L33" s="1253"/>
      <c r="M33" s="1256"/>
      <c r="N33" s="1256"/>
      <c r="O33" s="1256"/>
      <c r="P33" s="3055"/>
      <c r="Q33" s="756" t="str">
        <f t="shared" si="11"/>
        <v>项目建筑规模</v>
      </c>
      <c r="R33" s="757" t="s">
        <v>28</v>
      </c>
      <c r="S33" s="758">
        <f t="shared" si="12"/>
        <v>104.5</v>
      </c>
      <c r="T33" s="757" t="s">
        <v>28</v>
      </c>
      <c r="U33" s="758">
        <f t="shared" si="13"/>
        <v>104.5</v>
      </c>
      <c r="V33" s="757" t="s">
        <v>28</v>
      </c>
      <c r="W33" s="758">
        <f t="shared" si="14"/>
        <v>104.5</v>
      </c>
      <c r="X33" s="759"/>
      <c r="Y33" s="3057"/>
      <c r="Z33" s="760" t="str">
        <f t="shared" si="15"/>
        <v>项目建筑规模</v>
      </c>
      <c r="AA33" s="1909">
        <f t="shared" si="3"/>
        <v>0.9569377990430622</v>
      </c>
      <c r="AB33" s="1909">
        <f t="shared" si="4"/>
        <v>0.9569377990430622</v>
      </c>
      <c r="AC33" s="1909">
        <f t="shared" si="5"/>
        <v>0.9569377990430622</v>
      </c>
    </row>
    <row r="34" spans="1:29" ht="15">
      <c r="A34" s="454"/>
      <c r="B34" s="403" t="s">
        <v>2375</v>
      </c>
      <c r="C34" s="2422" t="s">
        <v>2922</v>
      </c>
      <c r="D34" s="416">
        <v>100</v>
      </c>
      <c r="E34" s="2423" t="s">
        <v>2922</v>
      </c>
      <c r="F34" s="443">
        <f>SUMIF(105:105,E34,106:106)-SUMIF(105:105,C34,106:106)+100</f>
        <v>100</v>
      </c>
      <c r="G34" s="2422" t="s">
        <v>2922</v>
      </c>
      <c r="H34" s="416">
        <f>SUMIF(105:105,G34,106:106)-SUMIF(105:105,C34,106:106)+100</f>
        <v>100</v>
      </c>
      <c r="I34" s="2423" t="s">
        <v>2922</v>
      </c>
      <c r="J34" s="416">
        <f>SUMIF(105:105,I34,106:106)-SUMIF(105:105,C34,106:106)+100</f>
        <v>100</v>
      </c>
      <c r="K34" s="407">
        <v>2</v>
      </c>
      <c r="L34" s="1255"/>
      <c r="M34" s="1246"/>
      <c r="N34" s="1246"/>
      <c r="O34" s="1246"/>
      <c r="P34" s="3055"/>
      <c r="Q34" s="1905" t="str">
        <f t="shared" si="11"/>
        <v>建筑结构</v>
      </c>
      <c r="R34" s="754" t="s">
        <v>28</v>
      </c>
      <c r="S34" s="755">
        <f t="shared" si="12"/>
        <v>100</v>
      </c>
      <c r="T34" s="754" t="s">
        <v>28</v>
      </c>
      <c r="U34" s="755">
        <f t="shared" si="13"/>
        <v>100</v>
      </c>
      <c r="V34" s="754" t="s">
        <v>28</v>
      </c>
      <c r="W34" s="755">
        <f t="shared" si="14"/>
        <v>100</v>
      </c>
      <c r="X34" s="1906"/>
      <c r="Y34" s="305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5"/>
      <c r="Q35" s="1905" t="str">
        <f t="shared" si="11"/>
        <v>建筑品质</v>
      </c>
      <c r="R35" s="754" t="s">
        <v>28</v>
      </c>
      <c r="S35" s="755">
        <f t="shared" si="12"/>
        <v>100</v>
      </c>
      <c r="T35" s="754" t="s">
        <v>28</v>
      </c>
      <c r="U35" s="755">
        <f t="shared" si="13"/>
        <v>100</v>
      </c>
      <c r="V35" s="754" t="s">
        <v>28</v>
      </c>
      <c r="W35" s="755">
        <f t="shared" si="14"/>
        <v>100</v>
      </c>
      <c r="X35" s="1906"/>
      <c r="Y35" s="3057"/>
      <c r="Z35" s="1908" t="str">
        <f t="shared" si="15"/>
        <v>建筑品质</v>
      </c>
      <c r="AA35" s="1909">
        <f t="shared" si="3"/>
        <v>1</v>
      </c>
      <c r="AB35" s="1909">
        <f t="shared" si="4"/>
        <v>1</v>
      </c>
      <c r="AC35" s="1909">
        <f t="shared" si="5"/>
        <v>1</v>
      </c>
    </row>
    <row r="36" spans="1:29" ht="15">
      <c r="A36" s="454"/>
      <c r="B36" s="403" t="s">
        <v>2377</v>
      </c>
      <c r="C36" s="2418" t="s">
        <v>2904</v>
      </c>
      <c r="D36" s="416">
        <v>100</v>
      </c>
      <c r="E36" s="2417" t="s">
        <v>2904</v>
      </c>
      <c r="F36" s="443">
        <f>SUMIF(109:109,E36,110:110)-SUMIF(109:109,C36,110:110)+100</f>
        <v>100</v>
      </c>
      <c r="G36" s="2418" t="s">
        <v>2904</v>
      </c>
      <c r="H36" s="416">
        <f>SUMIF(109:109,G36,110:110)-SUMIF(109:109,C36,110:110)+100</f>
        <v>100</v>
      </c>
      <c r="I36" s="2417" t="s">
        <v>2904</v>
      </c>
      <c r="J36" s="416">
        <f>SUMIF(109:109,I36,110:110)-SUMIF(109:109,C36,110:110)+100</f>
        <v>100</v>
      </c>
      <c r="K36" s="407">
        <v>3</v>
      </c>
      <c r="L36" s="1255"/>
      <c r="M36" s="1246"/>
      <c r="N36" s="1246"/>
      <c r="O36" s="1246"/>
      <c r="P36" s="3055"/>
      <c r="Q36" s="1905" t="str">
        <f t="shared" si="11"/>
        <v>公共部分装修</v>
      </c>
      <c r="R36" s="754" t="s">
        <v>28</v>
      </c>
      <c r="S36" s="755">
        <f t="shared" si="12"/>
        <v>100</v>
      </c>
      <c r="T36" s="754" t="s">
        <v>28</v>
      </c>
      <c r="U36" s="755">
        <f t="shared" si="13"/>
        <v>100</v>
      </c>
      <c r="V36" s="754" t="s">
        <v>28</v>
      </c>
      <c r="W36" s="755">
        <f t="shared" si="14"/>
        <v>100</v>
      </c>
      <c r="X36" s="1906"/>
      <c r="Y36" s="305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5"/>
      <c r="Q37" s="1893" t="str">
        <f t="shared" si="11"/>
        <v>成新度</v>
      </c>
      <c r="R37" s="750" t="s">
        <v>28</v>
      </c>
      <c r="S37" s="751">
        <f t="shared" si="12"/>
        <v>100</v>
      </c>
      <c r="T37" s="750" t="s">
        <v>28</v>
      </c>
      <c r="U37" s="751">
        <f t="shared" si="13"/>
        <v>100</v>
      </c>
      <c r="V37" s="750" t="s">
        <v>28</v>
      </c>
      <c r="W37" s="751">
        <f t="shared" si="14"/>
        <v>100</v>
      </c>
      <c r="X37" s="752"/>
      <c r="Y37" s="3057"/>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55" t="s">
        <v>2373</v>
      </c>
      <c r="Q38" s="1905" t="str">
        <f t="shared" si="11"/>
        <v>物业管理</v>
      </c>
      <c r="R38" s="754" t="s">
        <v>28</v>
      </c>
      <c r="S38" s="755">
        <f t="shared" si="12"/>
        <v>100</v>
      </c>
      <c r="T38" s="754" t="s">
        <v>28</v>
      </c>
      <c r="U38" s="755">
        <f t="shared" si="13"/>
        <v>100</v>
      </c>
      <c r="V38" s="754" t="s">
        <v>28</v>
      </c>
      <c r="W38" s="755">
        <f t="shared" si="14"/>
        <v>100</v>
      </c>
      <c r="X38" s="1906"/>
      <c r="Y38" s="3057" t="s">
        <v>2373</v>
      </c>
      <c r="Z38" s="1908" t="str">
        <f t="shared" si="15"/>
        <v>物业管理</v>
      </c>
      <c r="AA38" s="1909">
        <f t="shared" si="3"/>
        <v>1</v>
      </c>
      <c r="AB38" s="1909">
        <f t="shared" si="4"/>
        <v>1</v>
      </c>
      <c r="AC38" s="1909">
        <f t="shared" si="5"/>
        <v>1</v>
      </c>
    </row>
    <row r="39" spans="1:29" ht="15">
      <c r="A39" s="454"/>
      <c r="B39" s="403" t="s">
        <v>2380</v>
      </c>
      <c r="C39" s="2418" t="s">
        <v>2923</v>
      </c>
      <c r="D39" s="416">
        <v>100</v>
      </c>
      <c r="E39" s="2417" t="s">
        <v>2923</v>
      </c>
      <c r="F39" s="443">
        <f>SUMIF(116:116,E39,117:117)-SUMIF(116:116,C39,117:117)+100</f>
        <v>100</v>
      </c>
      <c r="G39" s="2418" t="s">
        <v>2923</v>
      </c>
      <c r="H39" s="416">
        <f>SUMIF(116:116,G39,117:117)-SUMIF(116:116,C39,117:117)+100</f>
        <v>100</v>
      </c>
      <c r="I39" s="2417" t="s">
        <v>2923</v>
      </c>
      <c r="J39" s="416">
        <f>SUMIF(116:116,I39,117:117)-SUMIF(116:116,C39,117:117)+100</f>
        <v>100</v>
      </c>
      <c r="K39" s="407">
        <v>2</v>
      </c>
      <c r="L39" s="1255"/>
      <c r="M39" s="1246"/>
      <c r="N39" s="1246"/>
      <c r="O39" s="1246"/>
      <c r="P39" s="3055"/>
      <c r="Q39" s="1905" t="str">
        <f t="shared" si="11"/>
        <v>市政基础设施</v>
      </c>
      <c r="R39" s="754" t="s">
        <v>28</v>
      </c>
      <c r="S39" s="755">
        <f t="shared" si="12"/>
        <v>100</v>
      </c>
      <c r="T39" s="754" t="s">
        <v>28</v>
      </c>
      <c r="U39" s="755">
        <f t="shared" si="13"/>
        <v>100</v>
      </c>
      <c r="V39" s="754" t="s">
        <v>28</v>
      </c>
      <c r="W39" s="755">
        <f t="shared" si="14"/>
        <v>100</v>
      </c>
      <c r="X39" s="1906"/>
      <c r="Y39" s="3057"/>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55"/>
      <c r="Q40" s="1905" t="str">
        <f t="shared" si="11"/>
        <v>房型</v>
      </c>
      <c r="R40" s="754" t="s">
        <v>28</v>
      </c>
      <c r="S40" s="755">
        <f t="shared" si="12"/>
        <v>100</v>
      </c>
      <c r="T40" s="754" t="s">
        <v>28</v>
      </c>
      <c r="U40" s="755">
        <f t="shared" si="13"/>
        <v>100</v>
      </c>
      <c r="V40" s="754" t="s">
        <v>28</v>
      </c>
      <c r="W40" s="755">
        <f t="shared" si="14"/>
        <v>100</v>
      </c>
      <c r="X40" s="1906"/>
      <c r="Y40" s="305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5"/>
      <c r="Q41" s="756" t="str">
        <f t="shared" si="11"/>
        <v>单套/主力户型建筑面积</v>
      </c>
      <c r="R41" s="757" t="s">
        <v>28</v>
      </c>
      <c r="S41" s="758">
        <f t="shared" si="12"/>
        <v>100</v>
      </c>
      <c r="T41" s="757" t="s">
        <v>28</v>
      </c>
      <c r="U41" s="758">
        <f t="shared" si="13"/>
        <v>100</v>
      </c>
      <c r="V41" s="757" t="s">
        <v>28</v>
      </c>
      <c r="W41" s="758">
        <f t="shared" si="14"/>
        <v>100</v>
      </c>
      <c r="X41" s="759"/>
      <c r="Y41" s="3057"/>
      <c r="Z41" s="760" t="str">
        <f t="shared" si="15"/>
        <v>单套/主力户型建筑面积</v>
      </c>
      <c r="AA41" s="1909">
        <f t="shared" si="3"/>
        <v>1</v>
      </c>
      <c r="AB41" s="1909">
        <f t="shared" si="4"/>
        <v>1</v>
      </c>
      <c r="AC41" s="1909">
        <f t="shared" si="5"/>
        <v>1</v>
      </c>
    </row>
    <row r="42" spans="1:29" ht="15">
      <c r="A42" s="454"/>
      <c r="B42" s="403" t="s">
        <v>2383</v>
      </c>
      <c r="C42" s="2418" t="s">
        <v>2924</v>
      </c>
      <c r="D42" s="416">
        <v>100</v>
      </c>
      <c r="E42" s="2417" t="s">
        <v>2904</v>
      </c>
      <c r="F42" s="443">
        <f>SUMIF(122:122,E42,123:123)-SUMIF(122:122,C42,123:123)+100</f>
        <v>105</v>
      </c>
      <c r="G42" s="2418" t="s">
        <v>2904</v>
      </c>
      <c r="H42" s="416">
        <f>SUMIF(122:122,G42,123:123)-SUMIF(122:122,C42,123:123)+100</f>
        <v>105</v>
      </c>
      <c r="I42" s="2417" t="s">
        <v>2904</v>
      </c>
      <c r="J42" s="416">
        <f>SUMIF(122:122,I42,123:123)-SUMIF(122:122,C42,123:123)+100</f>
        <v>105</v>
      </c>
      <c r="K42" s="407">
        <v>2.5</v>
      </c>
      <c r="L42" s="1255"/>
      <c r="M42" s="1246"/>
      <c r="N42" s="1246"/>
      <c r="O42" s="1246"/>
      <c r="P42" s="3055"/>
      <c r="Q42" s="1905" t="str">
        <f t="shared" si="11"/>
        <v>内部装修</v>
      </c>
      <c r="R42" s="754" t="s">
        <v>28</v>
      </c>
      <c r="S42" s="755">
        <f t="shared" si="12"/>
        <v>105</v>
      </c>
      <c r="T42" s="754" t="s">
        <v>28</v>
      </c>
      <c r="U42" s="755">
        <f t="shared" si="13"/>
        <v>105</v>
      </c>
      <c r="V42" s="754" t="s">
        <v>28</v>
      </c>
      <c r="W42" s="755">
        <f t="shared" si="14"/>
        <v>105</v>
      </c>
      <c r="X42" s="1906"/>
      <c r="Y42" s="3057"/>
      <c r="Z42" s="1908" t="str">
        <f t="shared" si="15"/>
        <v>内部装修</v>
      </c>
      <c r="AA42" s="1909">
        <f t="shared" si="3"/>
        <v>0.95238095238095233</v>
      </c>
      <c r="AB42" s="1909">
        <f t="shared" si="4"/>
        <v>0.95238095238095233</v>
      </c>
      <c r="AC42" s="1909">
        <f t="shared" si="5"/>
        <v>0.95238095238095233</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55"/>
      <c r="Q43" s="1905" t="str">
        <f t="shared" si="11"/>
        <v>内部装修维护情况</v>
      </c>
      <c r="R43" s="754" t="s">
        <v>28</v>
      </c>
      <c r="S43" s="755">
        <f t="shared" si="12"/>
        <v>100</v>
      </c>
      <c r="T43" s="754" t="s">
        <v>28</v>
      </c>
      <c r="U43" s="755">
        <f t="shared" si="13"/>
        <v>100</v>
      </c>
      <c r="V43" s="754" t="s">
        <v>28</v>
      </c>
      <c r="W43" s="755">
        <f t="shared" si="14"/>
        <v>100</v>
      </c>
      <c r="X43" s="1906"/>
      <c r="Y43" s="3057"/>
      <c r="Z43" s="1908" t="str">
        <f t="shared" si="15"/>
        <v>内部装修维护情况</v>
      </c>
      <c r="AA43" s="1909">
        <f t="shared" si="3"/>
        <v>1</v>
      </c>
      <c r="AB43" s="1909">
        <f t="shared" si="4"/>
        <v>1</v>
      </c>
      <c r="AC43" s="1909">
        <f t="shared" si="5"/>
        <v>1</v>
      </c>
    </row>
    <row r="44" spans="1:29" s="35" customFormat="1" ht="15.75" thickBot="1">
      <c r="A44" s="455"/>
      <c r="B44" s="2720" t="s">
        <v>2826</v>
      </c>
      <c r="C44" s="451">
        <v>2002</v>
      </c>
      <c r="D44" s="52">
        <v>100</v>
      </c>
      <c r="E44" s="451">
        <v>2002</v>
      </c>
      <c r="F44" s="406">
        <f>SUMIF(126:126,E44,127:127)-SUMIF(126:126,C44,127:127)+100</f>
        <v>100</v>
      </c>
      <c r="G44" s="451">
        <v>2002</v>
      </c>
      <c r="H44" s="52">
        <f>SUMIF(126:126,G44,127:127)-SUMIF(126:126,C44,127:127)+100</f>
        <v>100</v>
      </c>
      <c r="I44" s="451">
        <v>2002</v>
      </c>
      <c r="J44" s="52">
        <f>SUMIF(126:126,I44,127:127)-SUMIF(126:126,C44,127:127)+100</f>
        <v>100</v>
      </c>
      <c r="K44" s="2407"/>
      <c r="L44" s="1247"/>
      <c r="M44" s="1248"/>
      <c r="N44" s="1248"/>
      <c r="O44" s="1248"/>
      <c r="P44" s="3055"/>
      <c r="Q44" s="1893" t="str">
        <f t="shared" si="11"/>
        <v>建成年代</v>
      </c>
      <c r="R44" s="750" t="s">
        <v>28</v>
      </c>
      <c r="S44" s="751">
        <f t="shared" si="12"/>
        <v>100</v>
      </c>
      <c r="T44" s="750" t="s">
        <v>28</v>
      </c>
      <c r="U44" s="751">
        <f t="shared" si="13"/>
        <v>100</v>
      </c>
      <c r="V44" s="750" t="s">
        <v>28</v>
      </c>
      <c r="W44" s="751">
        <f t="shared" si="14"/>
        <v>100</v>
      </c>
      <c r="X44" s="752"/>
      <c r="Y44" s="3057"/>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5"/>
      <c r="Q45" s="1905">
        <f t="shared" si="11"/>
        <v>111</v>
      </c>
      <c r="R45" s="754" t="s">
        <v>28</v>
      </c>
      <c r="S45" s="755">
        <f t="shared" si="12"/>
        <v>100</v>
      </c>
      <c r="T45" s="754" t="s">
        <v>28</v>
      </c>
      <c r="U45" s="755">
        <f t="shared" si="13"/>
        <v>100</v>
      </c>
      <c r="V45" s="754" t="s">
        <v>28</v>
      </c>
      <c r="W45" s="755">
        <f t="shared" si="14"/>
        <v>100</v>
      </c>
      <c r="X45" s="1906"/>
      <c r="Y45" s="305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6"/>
      <c r="Q46" s="1905">
        <f t="shared" si="11"/>
        <v>111</v>
      </c>
      <c r="R46" s="754" t="s">
        <v>27</v>
      </c>
      <c r="S46" s="755">
        <f t="shared" si="12"/>
        <v>100</v>
      </c>
      <c r="T46" s="754" t="s">
        <v>27</v>
      </c>
      <c r="U46" s="755">
        <f t="shared" si="13"/>
        <v>100</v>
      </c>
      <c r="V46" s="754" t="s">
        <v>27</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26</v>
      </c>
      <c r="D47" s="1505"/>
      <c r="E47" s="1506">
        <v>75430</v>
      </c>
      <c r="F47" s="1507"/>
      <c r="G47" s="1508">
        <v>77749</v>
      </c>
      <c r="H47" s="1509"/>
      <c r="I47" s="1506">
        <v>77840</v>
      </c>
      <c r="J47" s="1509"/>
      <c r="K47" s="2424"/>
      <c r="L47" s="1258"/>
      <c r="M47" s="1259"/>
      <c r="N47" s="1246"/>
      <c r="O47" s="1259"/>
      <c r="P47" s="3064" t="str">
        <f>A47</f>
        <v>成交单价（元/平方米）</v>
      </c>
      <c r="Q47" s="3064"/>
      <c r="R47" s="3065">
        <f>E47</f>
        <v>75430</v>
      </c>
      <c r="S47" s="3065"/>
      <c r="T47" s="3065">
        <f>G47</f>
        <v>77749</v>
      </c>
      <c r="U47" s="3065"/>
      <c r="V47" s="3065">
        <f>I47</f>
        <v>77840</v>
      </c>
      <c r="W47" s="3065"/>
      <c r="X47" s="739"/>
      <c r="Y47" s="761"/>
      <c r="Z47" s="739"/>
      <c r="AA47" s="739"/>
      <c r="AB47" s="739"/>
      <c r="AC47" s="739"/>
    </row>
    <row r="48" spans="1:29" ht="15.75" thickBot="1">
      <c r="A48" s="468" t="s">
        <v>2386</v>
      </c>
      <c r="B48" s="469"/>
      <c r="C48" s="1510">
        <f>R49</f>
        <v>74875</v>
      </c>
      <c r="D48" s="1511"/>
      <c r="E48" s="1512">
        <f>R48</f>
        <v>73840</v>
      </c>
      <c r="F48" s="1512"/>
      <c r="G48" s="1510">
        <f>T48</f>
        <v>74587</v>
      </c>
      <c r="H48" s="1511"/>
      <c r="I48" s="1512">
        <f>V48</f>
        <v>76199</v>
      </c>
      <c r="J48" s="1511"/>
      <c r="K48" s="2425"/>
      <c r="L48" s="1258"/>
      <c r="M48" s="1259"/>
      <c r="N48" s="1259"/>
      <c r="O48" s="1259"/>
      <c r="P48" s="3064" t="str">
        <f>A48</f>
        <v>比较价值（元/平方米）</v>
      </c>
      <c r="Q48" s="3064"/>
      <c r="R48" s="3065">
        <f>IF(E1="售价",ROUND(PRODUCT(R47,AA7:AA46),0),ROUND(PRODUCT(R47,AA7:AA46),1))</f>
        <v>73840</v>
      </c>
      <c r="S48" s="3065"/>
      <c r="T48" s="3068">
        <f>IF(E1="售价",ROUND(PRODUCT(T47,AB7:AB46),0),ROUND(PRODUCT(T47,AB7:AB46),1))</f>
        <v>74587</v>
      </c>
      <c r="U48" s="3069"/>
      <c r="V48" s="3065">
        <f>IF(E1="售价",ROUND(PRODUCT(V47,AC7:AC46),0),ROUND(PRODUCT(V47,AC7:AC46),1))</f>
        <v>76199</v>
      </c>
      <c r="W48" s="3065"/>
      <c r="X48" s="739"/>
      <c r="Y48" s="739"/>
      <c r="Z48" s="739"/>
      <c r="AA48" s="739"/>
      <c r="AB48" s="739"/>
      <c r="AC48" s="739"/>
    </row>
    <row r="49" spans="1:29" ht="15.75" thickBot="1">
      <c r="A49" s="474" t="s">
        <v>2387</v>
      </c>
      <c r="B49" s="475"/>
      <c r="C49" s="1513">
        <f>R49</f>
        <v>74875</v>
      </c>
      <c r="D49" s="1514"/>
      <c r="E49" s="1514"/>
      <c r="F49" s="1514"/>
      <c r="G49" s="1514"/>
      <c r="H49" s="1514"/>
      <c r="I49" s="1514"/>
      <c r="J49" s="1514"/>
      <c r="K49" s="2426"/>
      <c r="L49" s="1258"/>
      <c r="M49" s="1259"/>
      <c r="N49" s="1259"/>
      <c r="O49" s="1259"/>
      <c r="P49" s="3070" t="str">
        <f>A49</f>
        <v>估价对象XX用房的比较价值（楼面单价，元/平方米）</v>
      </c>
      <c r="Q49" s="3071"/>
      <c r="R49" s="3072">
        <f>IF(E1="售价",ROUND(AVERAGE(R48:V48),0),ROUND(AVERAGE(R48:V48),1))</f>
        <v>74875</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2.1533044420368297E-2</v>
      </c>
      <c r="F52" s="482" t="str">
        <f>IF(OR(E52&gt;=0.3,E52&lt;=-0.3),"超过30%","")</f>
        <v/>
      </c>
      <c r="G52" s="481">
        <f>IF(G47&lt;G48,G48/G47-1,G47/G48-1)</f>
        <v>4.2393446579162664E-2</v>
      </c>
      <c r="H52" s="482" t="str">
        <f>IF(OR(G52&gt;=0.3,G52&lt;=-0.3),"超过30%","")</f>
        <v/>
      </c>
      <c r="I52" s="481">
        <f>IF(I47&lt;I48,I48/I47-1,I47/I48-1)</f>
        <v>2.1535715691807011E-2</v>
      </c>
      <c r="J52" s="482" t="str">
        <f>IF(OR(I52&gt;=0.3,I52&lt;=-0.3),"超过30%","")</f>
        <v/>
      </c>
      <c r="K52" s="1264"/>
      <c r="L52" s="1260"/>
      <c r="M52" s="1259"/>
      <c r="N52" s="1259"/>
      <c r="O52" s="1259"/>
    </row>
    <row r="53" spans="1:29" ht="13.5" customHeight="1">
      <c r="A53" s="1259"/>
      <c r="B53" s="1259"/>
      <c r="C53" s="479" t="s">
        <v>2389</v>
      </c>
      <c r="D53" s="483"/>
      <c r="E53" s="481">
        <f>IF(E48&lt;G48,G48/E48-1,E48/G48-1)</f>
        <v>1.0116468039003346E-2</v>
      </c>
      <c r="F53" s="482" t="str">
        <f>IF(OR(E53&gt;=0.2,E53&lt;=-0.2),"超过20%","")</f>
        <v/>
      </c>
      <c r="G53" s="481">
        <f>IF(G48&lt;I48,I48/G48-1,G48/I48-1)</f>
        <v>2.161234531486711E-2</v>
      </c>
      <c r="H53" s="482" t="str">
        <f>IF(OR(G53&gt;=0.2,G53&lt;=-0.2),"超过20%","")</f>
        <v/>
      </c>
      <c r="I53" s="481">
        <f>IF(I48&lt;E48,E48/I48-1,I48/E48-1)</f>
        <v>3.1947453954496163E-2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3.0743735914092518E-2</v>
      </c>
      <c r="F54" s="482" t="str">
        <f>IF(OR(E54&gt;=0.3,E54&lt;=-0.3),"超过30%","")</f>
        <v/>
      </c>
      <c r="G54" s="481">
        <f>IF(G47&lt;I47,I47/G47-1,G47/I47-1)</f>
        <v>1.1704330602322344E-3</v>
      </c>
      <c r="H54" s="482" t="str">
        <f>IF(OR(G54&gt;=0.3,G54&lt;=-0.3),"超过30%","")</f>
        <v/>
      </c>
      <c r="I54" s="481">
        <f>IF(I47&lt;E47,E47/I47-1,I47/E47-1)</f>
        <v>3.1950152459233827E-2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2018-3</v>
      </c>
      <c r="D58" s="1685">
        <f>EDATE(C58,-1)</f>
        <v>43132</v>
      </c>
      <c r="E58" s="1685">
        <f t="shared" ref="E58:O58" si="16">EDATE(D58,-1)</f>
        <v>43101</v>
      </c>
      <c r="F58" s="1685">
        <f t="shared" si="16"/>
        <v>43070</v>
      </c>
      <c r="G58" s="1685">
        <f t="shared" si="16"/>
        <v>43040</v>
      </c>
      <c r="H58" s="1685">
        <f t="shared" si="16"/>
        <v>43009</v>
      </c>
      <c r="I58" s="1685">
        <f t="shared" si="16"/>
        <v>42979</v>
      </c>
      <c r="J58" s="1685">
        <f t="shared" si="16"/>
        <v>42948</v>
      </c>
      <c r="K58" s="1685">
        <f t="shared" si="16"/>
        <v>42917</v>
      </c>
      <c r="L58" s="1685">
        <f t="shared" si="16"/>
        <v>42887</v>
      </c>
      <c r="M58" s="1685">
        <f t="shared" si="16"/>
        <v>42856</v>
      </c>
      <c r="N58" s="1685">
        <f t="shared" si="16"/>
        <v>42826</v>
      </c>
      <c r="O58" s="1685">
        <f t="shared" si="16"/>
        <v>42795</v>
      </c>
      <c r="P58" s="2430"/>
    </row>
    <row r="59" spans="1:29" s="35" customFormat="1" ht="15">
      <c r="A59" s="491"/>
      <c r="B59" s="492"/>
      <c r="C59" s="624">
        <v>100</v>
      </c>
      <c r="D59" s="494">
        <v>100</v>
      </c>
      <c r="E59" s="494">
        <v>100</v>
      </c>
      <c r="F59" s="494">
        <v>101</v>
      </c>
      <c r="G59" s="494">
        <v>101</v>
      </c>
      <c r="H59" s="494">
        <v>101</v>
      </c>
      <c r="I59" s="494">
        <v>102</v>
      </c>
      <c r="J59" s="494">
        <v>102</v>
      </c>
      <c r="K59" s="494"/>
      <c r="L59" s="494"/>
      <c r="M59" s="495"/>
      <c r="N59" s="494">
        <v>106</v>
      </c>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6" t="s">
        <v>2828</v>
      </c>
      <c r="D88" s="2726" t="s">
        <v>2829</v>
      </c>
      <c r="E88" s="2726" t="s">
        <v>2830</v>
      </c>
      <c r="F88" s="2726" t="s">
        <v>2831</v>
      </c>
      <c r="G88" s="2726" t="s">
        <v>2832</v>
      </c>
      <c r="H88" s="2726" t="s">
        <v>2833</v>
      </c>
      <c r="I88" s="2726" t="s">
        <v>2834</v>
      </c>
      <c r="J88" s="2726" t="s">
        <v>2835</v>
      </c>
      <c r="K88" s="2727" t="s">
        <v>2895</v>
      </c>
      <c r="L88" s="2727" t="s">
        <v>2902</v>
      </c>
      <c r="M88" s="2760"/>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6" t="s">
        <v>2836</v>
      </c>
      <c r="D90" s="2726" t="s">
        <v>2837</v>
      </c>
      <c r="E90" s="2726" t="s">
        <v>2838</v>
      </c>
      <c r="F90" s="2726" t="s">
        <v>2839</v>
      </c>
      <c r="G90" s="2726"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2896</v>
      </c>
      <c r="D92" s="2729" t="s">
        <v>2897</v>
      </c>
      <c r="E92" s="2729" t="s">
        <v>2899</v>
      </c>
      <c r="F92" s="2729" t="s">
        <v>2898</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2925</v>
      </c>
      <c r="D94" s="2759" t="s">
        <v>2926</v>
      </c>
      <c r="E94" s="2759" t="s">
        <v>2927</v>
      </c>
      <c r="F94" s="2759" t="s">
        <v>2928</v>
      </c>
      <c r="G94" s="568"/>
      <c r="H94" s="568"/>
      <c r="I94" s="568"/>
      <c r="J94" s="568"/>
      <c r="K94" s="569"/>
      <c r="L94" s="570"/>
      <c r="M94" s="571"/>
      <c r="N94" s="1269"/>
      <c r="O94" s="1269"/>
      <c r="P94" s="2433"/>
      <c r="Q94" s="486"/>
    </row>
    <row r="95" spans="1:17" ht="15.75" thickBot="1">
      <c r="A95" s="517"/>
      <c r="B95" s="527"/>
      <c r="C95" s="545">
        <v>100</v>
      </c>
      <c r="D95" s="545">
        <v>98</v>
      </c>
      <c r="E95" s="545">
        <v>100</v>
      </c>
      <c r="F95" s="545">
        <v>98</v>
      </c>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0" t="s">
        <v>2841</v>
      </c>
      <c r="D100" s="2730" t="s">
        <v>2842</v>
      </c>
      <c r="E100" s="2731" t="s">
        <v>2845</v>
      </c>
      <c r="F100" s="2730" t="s">
        <v>2843</v>
      </c>
      <c r="G100" s="2730"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98.5</v>
      </c>
      <c r="E104" s="519">
        <f>D104-1.5</f>
        <v>97</v>
      </c>
      <c r="F104" s="519">
        <f t="shared" ref="F104:I104" si="24">E104-1.5</f>
        <v>95.5</v>
      </c>
      <c r="G104" s="519">
        <f t="shared" si="24"/>
        <v>94</v>
      </c>
      <c r="H104" s="519">
        <f t="shared" si="24"/>
        <v>92.5</v>
      </c>
      <c r="I104" s="519">
        <f t="shared" si="24"/>
        <v>91</v>
      </c>
      <c r="J104" s="519"/>
      <c r="K104" s="519"/>
      <c r="L104" s="519"/>
      <c r="M104" s="519"/>
      <c r="N104" s="1270"/>
      <c r="O104" s="1270"/>
      <c r="P104" s="2434"/>
      <c r="Q104" s="544"/>
    </row>
    <row r="105" spans="1:17" ht="15" thickTop="1">
      <c r="A105" s="584"/>
      <c r="B105" s="522" t="s">
        <v>2422</v>
      </c>
      <c r="C105" s="2726" t="s">
        <v>2846</v>
      </c>
      <c r="D105" s="2726" t="s">
        <v>2847</v>
      </c>
      <c r="E105" s="2732" t="s">
        <v>2848</v>
      </c>
      <c r="F105" s="2732"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5">C106-$K34</f>
        <v>98</v>
      </c>
      <c r="E106" s="528">
        <f t="shared" si="25"/>
        <v>96</v>
      </c>
      <c r="F106" s="528">
        <f t="shared" si="25"/>
        <v>94</v>
      </c>
      <c r="G106" s="528">
        <f t="shared" si="25"/>
        <v>92</v>
      </c>
      <c r="H106" s="528">
        <f t="shared" si="25"/>
        <v>90</v>
      </c>
      <c r="I106" s="528">
        <f t="shared" si="25"/>
        <v>88</v>
      </c>
      <c r="J106" s="528">
        <f t="shared" si="25"/>
        <v>86</v>
      </c>
      <c r="K106" s="528">
        <f t="shared" si="25"/>
        <v>84</v>
      </c>
      <c r="L106" s="528">
        <f t="shared" si="25"/>
        <v>82</v>
      </c>
      <c r="M106" s="528">
        <f t="shared" si="25"/>
        <v>80</v>
      </c>
      <c r="N106" s="1270"/>
      <c r="O106" s="1270"/>
      <c r="P106" s="2433"/>
      <c r="Q106" s="486"/>
    </row>
    <row r="107" spans="1:17" ht="15" hidden="1" thickTop="1">
      <c r="A107" s="584"/>
      <c r="B107" s="522" t="s">
        <v>2423</v>
      </c>
      <c r="C107" s="2726" t="s">
        <v>2850</v>
      </c>
      <c r="D107" s="2726" t="s">
        <v>2851</v>
      </c>
      <c r="E107" s="2726" t="s">
        <v>2852</v>
      </c>
      <c r="F107" s="2732"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6">C108-$K35</f>
        <v>100</v>
      </c>
      <c r="E108" s="528">
        <f t="shared" si="26"/>
        <v>100</v>
      </c>
      <c r="F108" s="528">
        <f t="shared" si="26"/>
        <v>100</v>
      </c>
      <c r="G108" s="528">
        <f t="shared" si="26"/>
        <v>100</v>
      </c>
      <c r="H108" s="528">
        <f t="shared" si="26"/>
        <v>100</v>
      </c>
      <c r="I108" s="528">
        <f t="shared" si="26"/>
        <v>100</v>
      </c>
      <c r="J108" s="528">
        <f t="shared" si="26"/>
        <v>100</v>
      </c>
      <c r="K108" s="528">
        <f t="shared" si="26"/>
        <v>100</v>
      </c>
      <c r="L108" s="528">
        <f t="shared" si="26"/>
        <v>100</v>
      </c>
      <c r="M108" s="528">
        <f t="shared" si="26"/>
        <v>100</v>
      </c>
      <c r="N108" s="1270"/>
      <c r="O108" s="1270"/>
      <c r="P108" s="2433"/>
      <c r="Q108" s="486"/>
    </row>
    <row r="109" spans="1:17" ht="15" thickTop="1">
      <c r="A109" s="584"/>
      <c r="B109" s="522" t="s">
        <v>2424</v>
      </c>
      <c r="C109" s="2726" t="s">
        <v>2850</v>
      </c>
      <c r="D109" s="2726" t="s">
        <v>2851</v>
      </c>
      <c r="E109" s="2726" t="s">
        <v>2852</v>
      </c>
      <c r="F109" s="2732"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7">C110-$K36</f>
        <v>97</v>
      </c>
      <c r="E110" s="528">
        <f t="shared" si="27"/>
        <v>94</v>
      </c>
      <c r="F110" s="528">
        <f t="shared" si="27"/>
        <v>91</v>
      </c>
      <c r="G110" s="528">
        <f t="shared" si="27"/>
        <v>88</v>
      </c>
      <c r="H110" s="528">
        <f t="shared" si="27"/>
        <v>85</v>
      </c>
      <c r="I110" s="528">
        <f t="shared" si="27"/>
        <v>82</v>
      </c>
      <c r="J110" s="528">
        <f t="shared" si="27"/>
        <v>79</v>
      </c>
      <c r="K110" s="528">
        <f t="shared" si="27"/>
        <v>76</v>
      </c>
      <c r="L110" s="528">
        <f t="shared" si="27"/>
        <v>73</v>
      </c>
      <c r="M110" s="528">
        <f t="shared" si="27"/>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6" t="s">
        <v>2854</v>
      </c>
      <c r="D114" s="2726"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8">C115-$K38</f>
        <v>98</v>
      </c>
      <c r="E115" s="528">
        <f t="shared" si="28"/>
        <v>96</v>
      </c>
      <c r="F115" s="528">
        <f t="shared" si="28"/>
        <v>94</v>
      </c>
      <c r="G115" s="528">
        <f t="shared" si="28"/>
        <v>92</v>
      </c>
      <c r="H115" s="528">
        <f t="shared" si="28"/>
        <v>90</v>
      </c>
      <c r="I115" s="528">
        <f t="shared" si="28"/>
        <v>88</v>
      </c>
      <c r="J115" s="528">
        <f t="shared" si="28"/>
        <v>86</v>
      </c>
      <c r="K115" s="528">
        <f t="shared" si="28"/>
        <v>84</v>
      </c>
      <c r="L115" s="528">
        <f t="shared" si="28"/>
        <v>82</v>
      </c>
      <c r="M115" s="528">
        <f t="shared" si="28"/>
        <v>80</v>
      </c>
      <c r="N115" s="1270"/>
      <c r="O115" s="1270"/>
      <c r="P115" s="2433"/>
      <c r="Q115" s="486"/>
    </row>
    <row r="116" spans="1:17" ht="15" thickTop="1">
      <c r="A116" s="584"/>
      <c r="B116" s="522" t="s">
        <v>2427</v>
      </c>
      <c r="C116" s="2726" t="s">
        <v>2857</v>
      </c>
      <c r="D116" s="2726" t="s">
        <v>2858</v>
      </c>
      <c r="E116" s="2726" t="s">
        <v>2859</v>
      </c>
      <c r="F116" s="2726" t="s">
        <v>2860</v>
      </c>
      <c r="G116" s="2726"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2" t="s">
        <v>2862</v>
      </c>
      <c r="D118" s="2732" t="s">
        <v>2863</v>
      </c>
      <c r="E118" s="2734"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9">C119-$K40</f>
        <v>95</v>
      </c>
      <c r="E119" s="528">
        <f t="shared" si="29"/>
        <v>90</v>
      </c>
      <c r="F119" s="528">
        <f t="shared" si="29"/>
        <v>85</v>
      </c>
      <c r="G119" s="528">
        <f t="shared" si="29"/>
        <v>80</v>
      </c>
      <c r="H119" s="528">
        <f t="shared" si="29"/>
        <v>75</v>
      </c>
      <c r="I119" s="528">
        <f t="shared" si="29"/>
        <v>70</v>
      </c>
      <c r="J119" s="528">
        <f t="shared" si="29"/>
        <v>65</v>
      </c>
      <c r="K119" s="528">
        <f t="shared" si="29"/>
        <v>60</v>
      </c>
      <c r="L119" s="528">
        <f t="shared" si="29"/>
        <v>55</v>
      </c>
      <c r="M119" s="528">
        <f t="shared" si="29"/>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6" t="s">
        <v>2850</v>
      </c>
      <c r="D122" s="2726" t="s">
        <v>2851</v>
      </c>
      <c r="E122" s="2726" t="s">
        <v>2852</v>
      </c>
      <c r="F122" s="2732"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30">C123-$K42</f>
        <v>97.5</v>
      </c>
      <c r="E123" s="528">
        <f t="shared" si="30"/>
        <v>95</v>
      </c>
      <c r="F123" s="528">
        <f t="shared" si="30"/>
        <v>92.5</v>
      </c>
      <c r="G123" s="528">
        <f t="shared" si="30"/>
        <v>90</v>
      </c>
      <c r="H123" s="528">
        <f t="shared" si="30"/>
        <v>87.5</v>
      </c>
      <c r="I123" s="528">
        <f t="shared" si="30"/>
        <v>85</v>
      </c>
      <c r="J123" s="528">
        <f t="shared" si="30"/>
        <v>82.5</v>
      </c>
      <c r="K123" s="528">
        <f t="shared" si="30"/>
        <v>80</v>
      </c>
      <c r="L123" s="528">
        <f t="shared" si="30"/>
        <v>77.5</v>
      </c>
      <c r="M123" s="528">
        <f t="shared" si="30"/>
        <v>75</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1997</v>
      </c>
      <c r="D126" s="538">
        <v>1996</v>
      </c>
      <c r="E126" s="538">
        <v>1993</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99.8</v>
      </c>
      <c r="E127" s="519">
        <v>98.4</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115" zoomScale="106" zoomScaleNormal="106" workbookViewId="0">
      <selection activeCell="B103" sqref="A103:B103"/>
    </sheetView>
  </sheetViews>
  <sheetFormatPr defaultRowHeight="13.5"/>
  <sheetData>
    <row r="74" spans="1:1">
      <c r="A74" s="1915" t="s">
        <v>2903</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134.32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43160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942.45630000000006</v>
      </c>
      <c r="C5" s="1836">
        <f ca="1">ROUND(B5*10000/$B$1,0)</f>
        <v>70165</v>
      </c>
      <c r="D5" s="1836" t="e">
        <f ca="1">ROUND(B5*10000/$B$2,0)</f>
        <v>#DIV/0!</v>
      </c>
      <c r="E5" s="1837"/>
      <c r="F5" s="1841"/>
      <c r="G5" s="1841"/>
    </row>
    <row r="6" spans="1:9" ht="16.5">
      <c r="A6" s="1836" t="s">
        <v>1237</v>
      </c>
      <c r="B6" s="1836">
        <f ca="1">SUM(G14:G23)</f>
        <v>942.45630000000006</v>
      </c>
      <c r="C6" s="1836">
        <f t="shared" ref="C6:C8" ca="1" si="0">ROUND(B6*10000/$B$1,0)</f>
        <v>70165</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134.32</v>
      </c>
      <c r="C14" s="1840">
        <f>项目基本情况!C13</f>
        <v>0</v>
      </c>
      <c r="D14" s="1840">
        <f ca="1">IF('数据-取费表'!B3="万元",IF(A14="估价对象1（结果表）",结果表!H121,'结果表 (1修多)'!H124),IF(A14="估价对象1（结果表）",结果表!H121,'结果表 (1修多)'!H124)/10000)</f>
        <v>942.45630000000006</v>
      </c>
      <c r="E14" s="1840">
        <f ca="1">ROUND(D14*10000/B14,0)</f>
        <v>70165</v>
      </c>
      <c r="F14" s="1840" t="e">
        <f ca="1">ROUND(D14*10000/C14,0)</f>
        <v>#DIV/0!</v>
      </c>
      <c r="G14" s="1840">
        <f ca="1">IF('数据-取费表'!B3="万元",IF(A14="估价对象1（结果表）",结果表!D125,'结果表 (1修多)'!D128),IF(A14="估价对象1（结果表）",结果表!D125,'结果表 (1修多)'!D128)/10000)</f>
        <v>942.45630000000006</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134.32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43"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43"/>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43"/>
      <c r="AC6" s="3026"/>
    </row>
    <row r="7" spans="1:29" s="35" customFormat="1" ht="15.75" thickBot="1">
      <c r="A7" s="388" t="s">
        <v>2355</v>
      </c>
      <c r="B7" s="389"/>
      <c r="C7" s="390">
        <f>'数据-取费表'!B2</f>
        <v>43160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3"/>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3"/>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3"/>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3"/>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6" t="s">
        <v>2367</v>
      </c>
      <c r="Q15" s="1905" t="str">
        <f t="shared" si="6"/>
        <v>商业繁华度</v>
      </c>
      <c r="R15" s="754" t="s">
        <v>25</v>
      </c>
      <c r="S15" s="755">
        <f t="shared" si="0"/>
        <v>100</v>
      </c>
      <c r="T15" s="754" t="s">
        <v>25</v>
      </c>
      <c r="U15" s="755">
        <f t="shared" si="1"/>
        <v>100</v>
      </c>
      <c r="V15" s="754" t="s">
        <v>25</v>
      </c>
      <c r="W15" s="755">
        <f t="shared" si="2"/>
        <v>100</v>
      </c>
      <c r="X15" s="1906"/>
      <c r="Y15" s="305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7"/>
      <c r="Q16" s="1905"/>
      <c r="R16" s="754"/>
      <c r="S16" s="755"/>
      <c r="T16" s="754"/>
      <c r="U16" s="755"/>
      <c r="V16" s="754"/>
      <c r="W16" s="755"/>
      <c r="X16" s="1906"/>
      <c r="Y16" s="3053"/>
      <c r="Z16" s="1908"/>
      <c r="AA16" s="1909">
        <v>1</v>
      </c>
      <c r="AB16" s="1909">
        <v>1</v>
      </c>
      <c r="AC16" s="1909">
        <v>1</v>
      </c>
    </row>
    <row r="17" spans="1:29" ht="185.25">
      <c r="A17" s="409"/>
      <c r="B17" s="432" t="s">
        <v>1751</v>
      </c>
      <c r="C17" s="2413" t="str">
        <f>估价对象房地状况!C6</f>
        <v>估价对象紧邻城市主干道——光华路，临近地铁1、14号线（大望路站），以估价对象为中心半径2公里范围内有30路、31路、95路、101路、112路等多条公交线路，综合评价交通便捷度较好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7"/>
      <c r="Q20" s="1905"/>
      <c r="R20" s="754"/>
      <c r="S20" s="755"/>
      <c r="T20" s="754"/>
      <c r="U20" s="755"/>
      <c r="V20" s="754"/>
      <c r="W20" s="755"/>
      <c r="X20" s="1906"/>
      <c r="Y20" s="3053"/>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7"/>
      <c r="Q22" s="1905"/>
      <c r="R22" s="754"/>
      <c r="S22" s="755"/>
      <c r="T22" s="754"/>
      <c r="U22" s="755"/>
      <c r="V22" s="754"/>
      <c r="W22" s="755"/>
      <c r="X22" s="1906"/>
      <c r="Y22" s="3053"/>
      <c r="Z22" s="1908"/>
      <c r="AA22" s="1909">
        <v>1</v>
      </c>
      <c r="AB22" s="1909">
        <v>1</v>
      </c>
      <c r="AC22" s="1909">
        <v>1</v>
      </c>
    </row>
    <row r="23" spans="1:29" ht="85.5">
      <c r="A23" s="409"/>
      <c r="B23" s="432" t="s">
        <v>1756</v>
      </c>
      <c r="C23" s="2464" t="str">
        <f>估价对象房地状况!C9</f>
        <v>自然环境：木头公园等；人文环境：首都经济贸易大学等，综合评价环境状况较好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7"/>
      <c r="Q23" s="1905" t="str">
        <f>B23</f>
        <v>自然及人文环境</v>
      </c>
      <c r="R23" s="754" t="s">
        <v>25</v>
      </c>
      <c r="S23" s="755">
        <f>F23</f>
        <v>100</v>
      </c>
      <c r="T23" s="754" t="s">
        <v>25</v>
      </c>
      <c r="U23" s="755">
        <f>H23</f>
        <v>100</v>
      </c>
      <c r="V23" s="754" t="s">
        <v>25</v>
      </c>
      <c r="W23" s="755">
        <f>J23</f>
        <v>100</v>
      </c>
      <c r="X23" s="1906"/>
      <c r="Y23" s="305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7"/>
      <c r="Q24" s="1905"/>
      <c r="R24" s="754"/>
      <c r="S24" s="755"/>
      <c r="T24" s="754"/>
      <c r="U24" s="755"/>
      <c r="V24" s="754"/>
      <c r="W24" s="755"/>
      <c r="X24" s="1906"/>
      <c r="Y24" s="305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7"/>
      <c r="Q25" s="1905" t="str">
        <f t="shared" ref="Q25:Q46" si="11">B25</f>
        <v>临街状况</v>
      </c>
      <c r="R25" s="754" t="s">
        <v>25</v>
      </c>
      <c r="S25" s="755">
        <f>F25</f>
        <v>100</v>
      </c>
      <c r="T25" s="754" t="s">
        <v>25</v>
      </c>
      <c r="U25" s="755">
        <f>H25</f>
        <v>100</v>
      </c>
      <c r="V25" s="754" t="s">
        <v>25</v>
      </c>
      <c r="W25" s="755">
        <f>J25</f>
        <v>100</v>
      </c>
      <c r="X25" s="1906"/>
      <c r="Y25" s="305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7"/>
      <c r="Q26" s="1905" t="str">
        <f t="shared" si="11"/>
        <v>平面位置/可视性</v>
      </c>
      <c r="R26" s="754" t="s">
        <v>25</v>
      </c>
      <c r="S26" s="755">
        <f>F26</f>
        <v>100</v>
      </c>
      <c r="T26" s="754" t="s">
        <v>25</v>
      </c>
      <c r="U26" s="755">
        <f>H26</f>
        <v>100</v>
      </c>
      <c r="V26" s="754" t="s">
        <v>25</v>
      </c>
      <c r="W26" s="755">
        <f>J26</f>
        <v>100</v>
      </c>
      <c r="X26" s="1906"/>
      <c r="Y26" s="305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7"/>
      <c r="Q27" s="1893" t="str">
        <f t="shared" si="11"/>
        <v>人流量</v>
      </c>
      <c r="R27" s="750" t="s">
        <v>25</v>
      </c>
      <c r="S27" s="751">
        <f>F27</f>
        <v>100</v>
      </c>
      <c r="T27" s="750" t="s">
        <v>25</v>
      </c>
      <c r="U27" s="751">
        <f>H27</f>
        <v>100</v>
      </c>
      <c r="V27" s="750" t="s">
        <v>25</v>
      </c>
      <c r="W27" s="751">
        <f>J27</f>
        <v>100</v>
      </c>
      <c r="X27" s="752"/>
      <c r="Y27" s="305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7"/>
      <c r="Q29" s="1905">
        <f t="shared" si="11"/>
        <v>111</v>
      </c>
      <c r="R29" s="754" t="s">
        <v>25</v>
      </c>
      <c r="S29" s="755">
        <f t="shared" si="12"/>
        <v>100</v>
      </c>
      <c r="T29" s="754" t="s">
        <v>25</v>
      </c>
      <c r="U29" s="755">
        <f t="shared" si="13"/>
        <v>100</v>
      </c>
      <c r="V29" s="754" t="s">
        <v>25</v>
      </c>
      <c r="W29" s="755">
        <f t="shared" si="14"/>
        <v>100</v>
      </c>
      <c r="X29" s="1906"/>
      <c r="Y29" s="305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4" t="s">
        <v>2373</v>
      </c>
      <c r="Q32" s="1905" t="str">
        <f t="shared" si="11"/>
        <v>商业类型</v>
      </c>
      <c r="R32" s="754" t="s">
        <v>25</v>
      </c>
      <c r="S32" s="755">
        <f t="shared" si="12"/>
        <v>100</v>
      </c>
      <c r="T32" s="754" t="s">
        <v>25</v>
      </c>
      <c r="U32" s="755">
        <f t="shared" si="13"/>
        <v>100</v>
      </c>
      <c r="V32" s="754" t="s">
        <v>25</v>
      </c>
      <c r="W32" s="755">
        <f t="shared" si="14"/>
        <v>100</v>
      </c>
      <c r="X32" s="1906"/>
      <c r="Y32" s="305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5"/>
      <c r="Q33" s="756" t="str">
        <f t="shared" si="11"/>
        <v>项目建筑规模</v>
      </c>
      <c r="R33" s="757" t="s">
        <v>25</v>
      </c>
      <c r="S33" s="758" t="e">
        <f t="shared" si="12"/>
        <v>#N/A</v>
      </c>
      <c r="T33" s="757" t="s">
        <v>25</v>
      </c>
      <c r="U33" s="758" t="e">
        <f t="shared" si="13"/>
        <v>#N/A</v>
      </c>
      <c r="V33" s="757" t="s">
        <v>25</v>
      </c>
      <c r="W33" s="758" t="e">
        <f t="shared" si="14"/>
        <v>#N/A</v>
      </c>
      <c r="X33" s="759"/>
      <c r="Y33" s="305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5"/>
      <c r="Q34" s="1905" t="str">
        <f t="shared" si="11"/>
        <v>建筑结构</v>
      </c>
      <c r="R34" s="754" t="s">
        <v>25</v>
      </c>
      <c r="S34" s="755">
        <f t="shared" si="12"/>
        <v>100</v>
      </c>
      <c r="T34" s="754" t="s">
        <v>25</v>
      </c>
      <c r="U34" s="755">
        <f t="shared" si="13"/>
        <v>100</v>
      </c>
      <c r="V34" s="754" t="s">
        <v>25</v>
      </c>
      <c r="W34" s="755">
        <f t="shared" si="14"/>
        <v>100</v>
      </c>
      <c r="X34" s="1906"/>
      <c r="Y34" s="305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5"/>
      <c r="Q35" s="1905" t="str">
        <f t="shared" si="11"/>
        <v>公共部分装修</v>
      </c>
      <c r="R35" s="754" t="s">
        <v>25</v>
      </c>
      <c r="S35" s="755">
        <f t="shared" si="12"/>
        <v>100</v>
      </c>
      <c r="T35" s="754" t="s">
        <v>25</v>
      </c>
      <c r="U35" s="755">
        <f t="shared" si="13"/>
        <v>100</v>
      </c>
      <c r="V35" s="754" t="s">
        <v>25</v>
      </c>
      <c r="W35" s="755">
        <f t="shared" si="14"/>
        <v>100</v>
      </c>
      <c r="X35" s="1906"/>
      <c r="Y35" s="305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5"/>
      <c r="Q36" s="1905" t="str">
        <f t="shared" si="11"/>
        <v>成新度</v>
      </c>
      <c r="R36" s="754" t="s">
        <v>25</v>
      </c>
      <c r="S36" s="755" t="e">
        <f t="shared" si="12"/>
        <v>#N/A</v>
      </c>
      <c r="T36" s="754" t="s">
        <v>25</v>
      </c>
      <c r="U36" s="755" t="e">
        <f t="shared" si="13"/>
        <v>#N/A</v>
      </c>
      <c r="V36" s="754" t="s">
        <v>25</v>
      </c>
      <c r="W36" s="755" t="e">
        <f t="shared" si="14"/>
        <v>#N/A</v>
      </c>
      <c r="X36" s="1906"/>
      <c r="Y36" s="305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5"/>
      <c r="Q37" s="1893" t="str">
        <f t="shared" si="11"/>
        <v>市政基础设施</v>
      </c>
      <c r="R37" s="750" t="s">
        <v>25</v>
      </c>
      <c r="S37" s="751">
        <f t="shared" si="12"/>
        <v>100</v>
      </c>
      <c r="T37" s="750" t="s">
        <v>25</v>
      </c>
      <c r="U37" s="751">
        <f t="shared" si="13"/>
        <v>100</v>
      </c>
      <c r="V37" s="750" t="s">
        <v>25</v>
      </c>
      <c r="W37" s="751">
        <f t="shared" si="14"/>
        <v>100</v>
      </c>
      <c r="X37" s="752"/>
      <c r="Y37" s="305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5" t="s">
        <v>2373</v>
      </c>
      <c r="Q38" s="1905" t="str">
        <f t="shared" si="11"/>
        <v>业态</v>
      </c>
      <c r="R38" s="754" t="s">
        <v>25</v>
      </c>
      <c r="S38" s="755">
        <f t="shared" si="12"/>
        <v>100</v>
      </c>
      <c r="T38" s="754" t="s">
        <v>25</v>
      </c>
      <c r="U38" s="755">
        <f t="shared" si="13"/>
        <v>100</v>
      </c>
      <c r="V38" s="754" t="s">
        <v>25</v>
      </c>
      <c r="W38" s="755">
        <f t="shared" si="14"/>
        <v>100</v>
      </c>
      <c r="X38" s="1906"/>
      <c r="Y38" s="305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5"/>
      <c r="Q39" s="1905" t="str">
        <f t="shared" si="11"/>
        <v>层高</v>
      </c>
      <c r="R39" s="754" t="s">
        <v>25</v>
      </c>
      <c r="S39" s="755">
        <f t="shared" si="12"/>
        <v>100</v>
      </c>
      <c r="T39" s="754" t="s">
        <v>25</v>
      </c>
      <c r="U39" s="755">
        <f t="shared" si="13"/>
        <v>100</v>
      </c>
      <c r="V39" s="754" t="s">
        <v>25</v>
      </c>
      <c r="W39" s="755">
        <f t="shared" si="14"/>
        <v>100</v>
      </c>
      <c r="X39" s="1906"/>
      <c r="Y39" s="305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5"/>
      <c r="Q40" s="1905" t="str">
        <f t="shared" si="11"/>
        <v>单套建筑面积</v>
      </c>
      <c r="R40" s="754" t="s">
        <v>25</v>
      </c>
      <c r="S40" s="755">
        <f t="shared" si="12"/>
        <v>100</v>
      </c>
      <c r="T40" s="754" t="s">
        <v>25</v>
      </c>
      <c r="U40" s="755">
        <f t="shared" si="13"/>
        <v>100</v>
      </c>
      <c r="V40" s="754" t="s">
        <v>25</v>
      </c>
      <c r="W40" s="755">
        <f t="shared" si="14"/>
        <v>100</v>
      </c>
      <c r="X40" s="1906"/>
      <c r="Y40" s="305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5"/>
      <c r="Q41" s="756" t="str">
        <f t="shared" si="11"/>
        <v>进深比</v>
      </c>
      <c r="R41" s="757" t="s">
        <v>25</v>
      </c>
      <c r="S41" s="758">
        <f t="shared" si="12"/>
        <v>100</v>
      </c>
      <c r="T41" s="757" t="s">
        <v>25</v>
      </c>
      <c r="U41" s="758">
        <f t="shared" si="13"/>
        <v>100</v>
      </c>
      <c r="V41" s="757" t="s">
        <v>25</v>
      </c>
      <c r="W41" s="758">
        <f t="shared" si="14"/>
        <v>100</v>
      </c>
      <c r="X41" s="759"/>
      <c r="Y41" s="305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5"/>
      <c r="Q42" s="1905" t="str">
        <f t="shared" si="11"/>
        <v>内部装修</v>
      </c>
      <c r="R42" s="754" t="s">
        <v>25</v>
      </c>
      <c r="S42" s="755">
        <f t="shared" si="12"/>
        <v>100</v>
      </c>
      <c r="T42" s="754" t="s">
        <v>25</v>
      </c>
      <c r="U42" s="755">
        <f t="shared" si="13"/>
        <v>100</v>
      </c>
      <c r="V42" s="754" t="s">
        <v>25</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5"/>
      <c r="Q43" s="1905" t="str">
        <f t="shared" si="11"/>
        <v>内部装修维护情况</v>
      </c>
      <c r="R43" s="754" t="s">
        <v>25</v>
      </c>
      <c r="S43" s="755">
        <f t="shared" si="12"/>
        <v>100</v>
      </c>
      <c r="T43" s="754" t="s">
        <v>25</v>
      </c>
      <c r="U43" s="755">
        <f t="shared" si="13"/>
        <v>100</v>
      </c>
      <c r="V43" s="754" t="s">
        <v>25</v>
      </c>
      <c r="W43" s="755">
        <f t="shared" si="14"/>
        <v>100</v>
      </c>
      <c r="X43" s="1906"/>
      <c r="Y43" s="305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5"/>
      <c r="Q44" s="1893">
        <f t="shared" si="11"/>
        <v>111</v>
      </c>
      <c r="R44" s="750" t="s">
        <v>25</v>
      </c>
      <c r="S44" s="751">
        <f t="shared" si="12"/>
        <v>100</v>
      </c>
      <c r="T44" s="750" t="s">
        <v>25</v>
      </c>
      <c r="U44" s="751">
        <f t="shared" si="13"/>
        <v>100</v>
      </c>
      <c r="V44" s="750" t="s">
        <v>25</v>
      </c>
      <c r="W44" s="751">
        <f t="shared" si="14"/>
        <v>100</v>
      </c>
      <c r="X44" s="752"/>
      <c r="Y44" s="305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5"/>
      <c r="Q45" s="1905">
        <f t="shared" si="11"/>
        <v>111</v>
      </c>
      <c r="R45" s="754" t="s">
        <v>25</v>
      </c>
      <c r="S45" s="755">
        <f t="shared" si="12"/>
        <v>100</v>
      </c>
      <c r="T45" s="754" t="s">
        <v>25</v>
      </c>
      <c r="U45" s="755">
        <f t="shared" si="13"/>
        <v>100</v>
      </c>
      <c r="V45" s="754" t="s">
        <v>25</v>
      </c>
      <c r="W45" s="755">
        <f t="shared" si="14"/>
        <v>100</v>
      </c>
      <c r="X45" s="1906"/>
      <c r="Y45" s="305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6"/>
      <c r="Q46" s="1905">
        <f t="shared" si="11"/>
        <v>111</v>
      </c>
      <c r="R46" s="754" t="s">
        <v>25</v>
      </c>
      <c r="S46" s="755">
        <f t="shared" si="12"/>
        <v>100</v>
      </c>
      <c r="T46" s="754" t="s">
        <v>25</v>
      </c>
      <c r="U46" s="755">
        <f t="shared" si="13"/>
        <v>100</v>
      </c>
      <c r="V46" s="754" t="s">
        <v>25</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4" t="str">
        <f>A47</f>
        <v>成交单价（元/平方米）</v>
      </c>
      <c r="Q47" s="3064"/>
      <c r="R47" s="3065">
        <f>E47</f>
        <v>0</v>
      </c>
      <c r="S47" s="3065"/>
      <c r="T47" s="3065">
        <f>G47</f>
        <v>0</v>
      </c>
      <c r="U47" s="3065"/>
      <c r="V47" s="3065">
        <f>I47</f>
        <v>0</v>
      </c>
      <c r="W47" s="306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0" t="str">
        <f>A49</f>
        <v>估价对象XX用房的比较价值（楼面单价，元/平方米）</v>
      </c>
      <c r="Q49" s="3071"/>
      <c r="R49" s="3072" t="e">
        <f>IF(E1="售价",ROUND(AVERAGE(R48:V48),0),ROUND(AVERAGE(R48:V48),1))</f>
        <v>#DIV/0!</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2018-3</v>
      </c>
      <c r="D58" s="1685">
        <f>EDATE(C58,-1)</f>
        <v>43132</v>
      </c>
      <c r="E58" s="1685">
        <f t="shared" ref="E58:O58" si="16">EDATE(D58,-1)</f>
        <v>43101</v>
      </c>
      <c r="F58" s="1685">
        <f t="shared" si="16"/>
        <v>43070</v>
      </c>
      <c r="G58" s="1685">
        <f t="shared" si="16"/>
        <v>43040</v>
      </c>
      <c r="H58" s="1685">
        <f t="shared" si="16"/>
        <v>43009</v>
      </c>
      <c r="I58" s="1685">
        <f t="shared" si="16"/>
        <v>42979</v>
      </c>
      <c r="J58" s="1685">
        <f t="shared" si="16"/>
        <v>42948</v>
      </c>
      <c r="K58" s="1685">
        <f t="shared" si="16"/>
        <v>42917</v>
      </c>
      <c r="L58" s="1685">
        <f t="shared" si="16"/>
        <v>42887</v>
      </c>
      <c r="M58" s="1685">
        <f t="shared" si="16"/>
        <v>42856</v>
      </c>
      <c r="N58" s="1685">
        <f t="shared" si="16"/>
        <v>42826</v>
      </c>
      <c r="O58" s="1685">
        <f t="shared" si="16"/>
        <v>42795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134.32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77" t="s">
        <v>2348</v>
      </c>
      <c r="Q4" s="3032"/>
      <c r="R4" s="3037" t="s">
        <v>2344</v>
      </c>
      <c r="S4" s="3038"/>
      <c r="T4" s="3037" t="s">
        <v>2345</v>
      </c>
      <c r="U4" s="3038"/>
      <c r="V4" s="3043" t="s">
        <v>2346</v>
      </c>
      <c r="W4" s="3043"/>
      <c r="X4" s="1906"/>
      <c r="Y4" s="3037" t="s">
        <v>2348</v>
      </c>
      <c r="Z4" s="3038"/>
      <c r="AA4" s="3024" t="s">
        <v>2344</v>
      </c>
      <c r="AB4" s="3024"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78"/>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79"/>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2"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2" t="s">
        <v>2359</v>
      </c>
      <c r="Q8" s="3061"/>
      <c r="R8" s="750" t="s">
        <v>25</v>
      </c>
      <c r="S8" s="751">
        <f t="shared" si="0"/>
        <v>0</v>
      </c>
      <c r="T8" s="750" t="s">
        <v>25</v>
      </c>
      <c r="U8" s="751">
        <f t="shared" si="1"/>
        <v>0</v>
      </c>
      <c r="V8" s="750" t="s">
        <v>25</v>
      </c>
      <c r="W8" s="751">
        <f t="shared" si="2"/>
        <v>0</v>
      </c>
      <c r="X8" s="752"/>
      <c r="Y8" s="3060" t="s">
        <v>2359</v>
      </c>
      <c r="Z8" s="3061"/>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1"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2" t="s">
        <v>2367</v>
      </c>
      <c r="Q15" s="1905" t="str">
        <f t="shared" si="6"/>
        <v>办公集聚程度</v>
      </c>
      <c r="R15" s="754" t="s">
        <v>25</v>
      </c>
      <c r="S15" s="755">
        <f t="shared" si="0"/>
        <v>100</v>
      </c>
      <c r="T15" s="754" t="s">
        <v>25</v>
      </c>
      <c r="U15" s="755">
        <f t="shared" si="1"/>
        <v>100</v>
      </c>
      <c r="V15" s="754" t="s">
        <v>25</v>
      </c>
      <c r="W15" s="755">
        <f t="shared" si="2"/>
        <v>100</v>
      </c>
      <c r="X15" s="1906"/>
      <c r="Y15" s="305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4"/>
      <c r="Q16" s="1905"/>
      <c r="R16" s="754"/>
      <c r="S16" s="755"/>
      <c r="T16" s="754"/>
      <c r="U16" s="755"/>
      <c r="V16" s="754"/>
      <c r="W16" s="755"/>
      <c r="X16" s="1906"/>
      <c r="Y16" s="3053"/>
      <c r="Z16" s="1908"/>
      <c r="AA16" s="1909">
        <v>1</v>
      </c>
      <c r="AB16" s="1909">
        <v>1</v>
      </c>
      <c r="AC16" s="1909">
        <v>1</v>
      </c>
    </row>
    <row r="17" spans="1:29" ht="185.25">
      <c r="A17" s="409"/>
      <c r="B17" s="616" t="s">
        <v>1751</v>
      </c>
      <c r="C17" s="2475" t="str">
        <f>估价对象房地状况!C6</f>
        <v>估价对象紧邻城市主干道——光华路，临近地铁1、14号线（大望路站），以估价对象为中心半径2公里范围内有30路、31路、95路、101路、112路等多条公交线路，综合评价交通便捷度较好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4"/>
      <c r="Q18" s="1905"/>
      <c r="R18" s="754"/>
      <c r="S18" s="755"/>
      <c r="T18" s="754"/>
      <c r="U18" s="755"/>
      <c r="V18" s="754"/>
      <c r="W18" s="755"/>
      <c r="X18" s="1906"/>
      <c r="Y18" s="3053"/>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4"/>
      <c r="Q20" s="1905"/>
      <c r="R20" s="754"/>
      <c r="S20" s="755"/>
      <c r="T20" s="754"/>
      <c r="U20" s="755"/>
      <c r="V20" s="754"/>
      <c r="W20" s="755"/>
      <c r="X20" s="1906"/>
      <c r="Y20" s="3053"/>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4"/>
      <c r="Q22" s="1905"/>
      <c r="R22" s="754"/>
      <c r="S22" s="755"/>
      <c r="T22" s="754"/>
      <c r="U22" s="755"/>
      <c r="V22" s="754"/>
      <c r="W22" s="755"/>
      <c r="X22" s="1906"/>
      <c r="Y22" s="3053"/>
      <c r="Z22" s="1908"/>
      <c r="AA22" s="1909">
        <v>1</v>
      </c>
      <c r="AB22" s="1909">
        <v>1</v>
      </c>
      <c r="AC22" s="1909">
        <v>1</v>
      </c>
    </row>
    <row r="23" spans="1:29" ht="85.5">
      <c r="A23" s="409"/>
      <c r="B23" s="616" t="s">
        <v>2484</v>
      </c>
      <c r="C23" s="2475" t="str">
        <f>估价对象房地状况!C9</f>
        <v>自然环境：木头公园等；人文环境：首都经济贸易大学等，综合评价环境状况较好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4"/>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4"/>
      <c r="Q24" s="1905"/>
      <c r="R24" s="754"/>
      <c r="S24" s="755"/>
      <c r="T24" s="754"/>
      <c r="U24" s="755"/>
      <c r="V24" s="754"/>
      <c r="W24" s="755"/>
      <c r="X24" s="1906"/>
      <c r="Y24" s="305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4"/>
      <c r="Q25" s="1905" t="str">
        <f>B25</f>
        <v>毗邻道路的类型与等级</v>
      </c>
      <c r="R25" s="754" t="s">
        <v>25</v>
      </c>
      <c r="S25" s="755">
        <f>F25</f>
        <v>100</v>
      </c>
      <c r="T25" s="754" t="s">
        <v>25</v>
      </c>
      <c r="U25" s="755">
        <f>H25</f>
        <v>100</v>
      </c>
      <c r="V25" s="754" t="s">
        <v>25</v>
      </c>
      <c r="W25" s="755">
        <f>J25</f>
        <v>100</v>
      </c>
      <c r="X25" s="1906"/>
      <c r="Y25" s="305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4"/>
      <c r="Q26" s="1905"/>
      <c r="R26" s="754"/>
      <c r="S26" s="755"/>
      <c r="T26" s="754"/>
      <c r="U26" s="755"/>
      <c r="V26" s="754"/>
      <c r="W26" s="755"/>
      <c r="X26" s="1906"/>
      <c r="Y26" s="305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4"/>
      <c r="Q27" s="1905" t="str">
        <f t="shared" ref="Q27:Q47" si="11">B27</f>
        <v>楼层</v>
      </c>
      <c r="R27" s="754" t="s">
        <v>25</v>
      </c>
      <c r="S27" s="755">
        <f>F27</f>
        <v>100</v>
      </c>
      <c r="T27" s="754" t="s">
        <v>25</v>
      </c>
      <c r="U27" s="755">
        <f>H27</f>
        <v>100</v>
      </c>
      <c r="V27" s="754" t="s">
        <v>25</v>
      </c>
      <c r="W27" s="755">
        <f>J27</f>
        <v>100</v>
      </c>
      <c r="X27" s="1906"/>
      <c r="Y27" s="305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4"/>
      <c r="Q28" s="1893" t="str">
        <f t="shared" si="11"/>
        <v>朝向</v>
      </c>
      <c r="R28" s="750" t="s">
        <v>25</v>
      </c>
      <c r="S28" s="751">
        <f>F28</f>
        <v>100</v>
      </c>
      <c r="T28" s="750" t="s">
        <v>25</v>
      </c>
      <c r="U28" s="751">
        <f>H28</f>
        <v>100</v>
      </c>
      <c r="V28" s="750" t="s">
        <v>25</v>
      </c>
      <c r="W28" s="751">
        <f>J28</f>
        <v>100</v>
      </c>
      <c r="X28" s="752"/>
      <c r="Y28" s="305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4"/>
      <c r="Q29" s="1905">
        <f t="shared" si="11"/>
        <v>111</v>
      </c>
      <c r="R29" s="754" t="s">
        <v>25</v>
      </c>
      <c r="S29" s="755">
        <f t="shared" ref="S29:S47" si="12">F29</f>
        <v>100</v>
      </c>
      <c r="T29" s="754" t="s">
        <v>25</v>
      </c>
      <c r="U29" s="755">
        <f t="shared" ref="U29:U47" si="13">H29</f>
        <v>100</v>
      </c>
      <c r="V29" s="754" t="s">
        <v>25</v>
      </c>
      <c r="W29" s="755">
        <f t="shared" ref="W29:W47" si="14">J29</f>
        <v>100</v>
      </c>
      <c r="X29" s="1906"/>
      <c r="Y29" s="305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4"/>
      <c r="Q32" s="1905">
        <f t="shared" si="11"/>
        <v>111</v>
      </c>
      <c r="R32" s="754" t="s">
        <v>25</v>
      </c>
      <c r="S32" s="755">
        <f t="shared" si="12"/>
        <v>100</v>
      </c>
      <c r="T32" s="754" t="s">
        <v>25</v>
      </c>
      <c r="U32" s="755">
        <f t="shared" si="13"/>
        <v>100</v>
      </c>
      <c r="V32" s="754" t="s">
        <v>25</v>
      </c>
      <c r="W32" s="755">
        <f t="shared" si="14"/>
        <v>100</v>
      </c>
      <c r="X32" s="1906"/>
      <c r="Y32" s="305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0" t="s">
        <v>2373</v>
      </c>
      <c r="Q33" s="1905" t="str">
        <f t="shared" si="11"/>
        <v>建筑类型</v>
      </c>
      <c r="R33" s="754" t="s">
        <v>25</v>
      </c>
      <c r="S33" s="755">
        <f t="shared" si="12"/>
        <v>100</v>
      </c>
      <c r="T33" s="754" t="s">
        <v>25</v>
      </c>
      <c r="U33" s="755">
        <f t="shared" si="13"/>
        <v>100</v>
      </c>
      <c r="V33" s="754" t="s">
        <v>25</v>
      </c>
      <c r="W33" s="755">
        <f t="shared" si="14"/>
        <v>100</v>
      </c>
      <c r="X33" s="1906"/>
      <c r="Y33" s="305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1"/>
      <c r="Q34" s="756" t="str">
        <f t="shared" si="11"/>
        <v>项目建筑规模</v>
      </c>
      <c r="R34" s="757" t="s">
        <v>25</v>
      </c>
      <c r="S34" s="758" t="e">
        <f t="shared" si="12"/>
        <v>#N/A</v>
      </c>
      <c r="T34" s="757" t="s">
        <v>25</v>
      </c>
      <c r="U34" s="758" t="e">
        <f t="shared" si="13"/>
        <v>#N/A</v>
      </c>
      <c r="V34" s="757" t="s">
        <v>25</v>
      </c>
      <c r="W34" s="758" t="e">
        <f t="shared" si="14"/>
        <v>#N/A</v>
      </c>
      <c r="X34" s="759"/>
      <c r="Y34" s="305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1"/>
      <c r="Q35" s="1905" t="str">
        <f t="shared" si="11"/>
        <v>建筑结构</v>
      </c>
      <c r="R35" s="754" t="s">
        <v>25</v>
      </c>
      <c r="S35" s="755">
        <f t="shared" si="12"/>
        <v>100</v>
      </c>
      <c r="T35" s="754" t="s">
        <v>25</v>
      </c>
      <c r="U35" s="755">
        <f t="shared" si="13"/>
        <v>100</v>
      </c>
      <c r="V35" s="754" t="s">
        <v>25</v>
      </c>
      <c r="W35" s="755">
        <f t="shared" si="14"/>
        <v>100</v>
      </c>
      <c r="X35" s="1906"/>
      <c r="Y35" s="305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1"/>
      <c r="Q36" s="1905" t="str">
        <f t="shared" si="11"/>
        <v>公共部分装修</v>
      </c>
      <c r="R36" s="754" t="s">
        <v>25</v>
      </c>
      <c r="S36" s="755">
        <f t="shared" si="12"/>
        <v>100</v>
      </c>
      <c r="T36" s="754" t="s">
        <v>25</v>
      </c>
      <c r="U36" s="755">
        <f t="shared" si="13"/>
        <v>100</v>
      </c>
      <c r="V36" s="754" t="s">
        <v>25</v>
      </c>
      <c r="W36" s="755">
        <f t="shared" si="14"/>
        <v>100</v>
      </c>
      <c r="X36" s="1906"/>
      <c r="Y36" s="305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1"/>
      <c r="Q37" s="1905" t="str">
        <f t="shared" si="11"/>
        <v>成新度</v>
      </c>
      <c r="R37" s="754" t="s">
        <v>25</v>
      </c>
      <c r="S37" s="755" t="e">
        <f t="shared" si="12"/>
        <v>#N/A</v>
      </c>
      <c r="T37" s="754" t="s">
        <v>25</v>
      </c>
      <c r="U37" s="755" t="e">
        <f t="shared" si="13"/>
        <v>#N/A</v>
      </c>
      <c r="V37" s="754" t="s">
        <v>25</v>
      </c>
      <c r="W37" s="755" t="e">
        <f t="shared" si="14"/>
        <v>#N/A</v>
      </c>
      <c r="X37" s="1906"/>
      <c r="Y37" s="305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1"/>
      <c r="Q38" s="1893" t="str">
        <f t="shared" si="11"/>
        <v>写字楼等级</v>
      </c>
      <c r="R38" s="750" t="s">
        <v>25</v>
      </c>
      <c r="S38" s="751">
        <f t="shared" si="12"/>
        <v>100</v>
      </c>
      <c r="T38" s="750" t="s">
        <v>25</v>
      </c>
      <c r="U38" s="751">
        <f t="shared" si="13"/>
        <v>100</v>
      </c>
      <c r="V38" s="750" t="s">
        <v>25</v>
      </c>
      <c r="W38" s="751">
        <f t="shared" si="14"/>
        <v>100</v>
      </c>
      <c r="X38" s="752"/>
      <c r="Y38" s="305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1" t="s">
        <v>2373</v>
      </c>
      <c r="Q39" s="1905" t="str">
        <f t="shared" si="11"/>
        <v>物业管理</v>
      </c>
      <c r="R39" s="754" t="s">
        <v>25</v>
      </c>
      <c r="S39" s="755">
        <f t="shared" si="12"/>
        <v>100</v>
      </c>
      <c r="T39" s="754" t="s">
        <v>25</v>
      </c>
      <c r="U39" s="755">
        <f t="shared" si="13"/>
        <v>100</v>
      </c>
      <c r="V39" s="754" t="s">
        <v>25</v>
      </c>
      <c r="W39" s="755">
        <f t="shared" si="14"/>
        <v>100</v>
      </c>
      <c r="X39" s="1906"/>
      <c r="Y39" s="305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1"/>
      <c r="Q40" s="1905" t="str">
        <f t="shared" si="11"/>
        <v>市政基础设施</v>
      </c>
      <c r="R40" s="754" t="s">
        <v>25</v>
      </c>
      <c r="S40" s="755">
        <f t="shared" si="12"/>
        <v>100</v>
      </c>
      <c r="T40" s="754" t="s">
        <v>25</v>
      </c>
      <c r="U40" s="755">
        <f t="shared" si="13"/>
        <v>100</v>
      </c>
      <c r="V40" s="754" t="s">
        <v>25</v>
      </c>
      <c r="W40" s="755">
        <f t="shared" si="14"/>
        <v>100</v>
      </c>
      <c r="X40" s="1906"/>
      <c r="Y40" s="305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1"/>
      <c r="Q41" s="1905" t="str">
        <f t="shared" si="11"/>
        <v>层高</v>
      </c>
      <c r="R41" s="754" t="s">
        <v>25</v>
      </c>
      <c r="S41" s="755">
        <f t="shared" si="12"/>
        <v>100</v>
      </c>
      <c r="T41" s="754" t="s">
        <v>25</v>
      </c>
      <c r="U41" s="755">
        <f t="shared" si="13"/>
        <v>100</v>
      </c>
      <c r="V41" s="754" t="s">
        <v>25</v>
      </c>
      <c r="W41" s="755">
        <f t="shared" si="14"/>
        <v>100</v>
      </c>
      <c r="X41" s="1906"/>
      <c r="Y41" s="305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1"/>
      <c r="Q42" s="756" t="str">
        <f t="shared" si="11"/>
        <v>单套建筑面积</v>
      </c>
      <c r="R42" s="757" t="s">
        <v>25</v>
      </c>
      <c r="S42" s="758">
        <f t="shared" si="12"/>
        <v>100</v>
      </c>
      <c r="T42" s="757" t="s">
        <v>25</v>
      </c>
      <c r="U42" s="758">
        <f t="shared" si="13"/>
        <v>100</v>
      </c>
      <c r="V42" s="757" t="s">
        <v>25</v>
      </c>
      <c r="W42" s="758">
        <f t="shared" si="14"/>
        <v>100</v>
      </c>
      <c r="X42" s="759"/>
      <c r="Y42" s="305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1"/>
      <c r="Q43" s="1905" t="str">
        <f t="shared" si="11"/>
        <v>内部装修</v>
      </c>
      <c r="R43" s="754" t="s">
        <v>25</v>
      </c>
      <c r="S43" s="755">
        <f t="shared" si="12"/>
        <v>100</v>
      </c>
      <c r="T43" s="754" t="s">
        <v>25</v>
      </c>
      <c r="U43" s="755">
        <f t="shared" si="13"/>
        <v>100</v>
      </c>
      <c r="V43" s="754" t="s">
        <v>25</v>
      </c>
      <c r="W43" s="755">
        <f t="shared" si="14"/>
        <v>100</v>
      </c>
      <c r="X43" s="1906"/>
      <c r="Y43" s="305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1"/>
      <c r="Q44" s="1905" t="str">
        <f t="shared" si="11"/>
        <v>内部装修维护情况</v>
      </c>
      <c r="R44" s="754" t="s">
        <v>25</v>
      </c>
      <c r="S44" s="755">
        <f t="shared" si="12"/>
        <v>100</v>
      </c>
      <c r="T44" s="754" t="s">
        <v>25</v>
      </c>
      <c r="U44" s="755">
        <f t="shared" si="13"/>
        <v>100</v>
      </c>
      <c r="V44" s="754" t="s">
        <v>25</v>
      </c>
      <c r="W44" s="755">
        <f t="shared" si="14"/>
        <v>100</v>
      </c>
      <c r="X44" s="1906"/>
      <c r="Y44" s="305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1"/>
      <c r="Q45" s="1893">
        <f t="shared" si="11"/>
        <v>111</v>
      </c>
      <c r="R45" s="750" t="s">
        <v>25</v>
      </c>
      <c r="S45" s="751">
        <f t="shared" si="12"/>
        <v>100</v>
      </c>
      <c r="T45" s="750" t="s">
        <v>25</v>
      </c>
      <c r="U45" s="751">
        <f t="shared" si="13"/>
        <v>100</v>
      </c>
      <c r="V45" s="750" t="s">
        <v>25</v>
      </c>
      <c r="W45" s="751">
        <f t="shared" si="14"/>
        <v>100</v>
      </c>
      <c r="X45" s="752"/>
      <c r="Y45" s="305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1"/>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2"/>
      <c r="Q47" s="1905">
        <f t="shared" si="11"/>
        <v>111</v>
      </c>
      <c r="R47" s="754" t="s">
        <v>25</v>
      </c>
      <c r="S47" s="755">
        <f t="shared" si="12"/>
        <v>100</v>
      </c>
      <c r="T47" s="754" t="s">
        <v>25</v>
      </c>
      <c r="U47" s="755">
        <f t="shared" si="13"/>
        <v>100</v>
      </c>
      <c r="V47" s="754" t="s">
        <v>25</v>
      </c>
      <c r="W47" s="755">
        <f t="shared" si="14"/>
        <v>100</v>
      </c>
      <c r="X47" s="1906"/>
      <c r="Y47" s="305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1" t="str">
        <f>A48</f>
        <v>成交单价（元/平方米）</v>
      </c>
      <c r="Q48" s="3064"/>
      <c r="R48" s="3065">
        <f>E48</f>
        <v>0</v>
      </c>
      <c r="S48" s="3065"/>
      <c r="T48" s="3065">
        <f>G48</f>
        <v>0</v>
      </c>
      <c r="U48" s="3065"/>
      <c r="V48" s="3065">
        <f>I48</f>
        <v>0</v>
      </c>
      <c r="W48" s="306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3" t="str">
        <f>A50</f>
        <v>估价对象XX用房的比较价值（楼面单价，元/平方米）</v>
      </c>
      <c r="Q50" s="3071"/>
      <c r="R50" s="3072" t="e">
        <f>IF(E1="售价",ROUND(AVERAGE(R49:V49),0),ROUND(AVERAGE(R49:V49),1))</f>
        <v>#DIV/0!</v>
      </c>
      <c r="S50" s="3072"/>
      <c r="T50" s="3072"/>
      <c r="U50" s="3072"/>
      <c r="V50" s="3072"/>
      <c r="W50" s="307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2018-3</v>
      </c>
      <c r="D59" s="1685">
        <f>EDATE(C59,-1)</f>
        <v>43132</v>
      </c>
      <c r="E59" s="1685">
        <f t="shared" ref="E59:O59" si="16">EDATE(D59,-1)</f>
        <v>43101</v>
      </c>
      <c r="F59" s="1685">
        <f t="shared" si="16"/>
        <v>43070</v>
      </c>
      <c r="G59" s="1685">
        <f t="shared" si="16"/>
        <v>43040</v>
      </c>
      <c r="H59" s="1685">
        <f t="shared" si="16"/>
        <v>43009</v>
      </c>
      <c r="I59" s="1685">
        <f t="shared" si="16"/>
        <v>42979</v>
      </c>
      <c r="J59" s="1685">
        <f t="shared" si="16"/>
        <v>42948</v>
      </c>
      <c r="K59" s="1685">
        <f t="shared" si="16"/>
        <v>42917</v>
      </c>
      <c r="L59" s="1685">
        <f t="shared" si="16"/>
        <v>42887</v>
      </c>
      <c r="M59" s="1685">
        <f t="shared" si="16"/>
        <v>42856</v>
      </c>
      <c r="N59" s="1685">
        <f t="shared" si="16"/>
        <v>42826</v>
      </c>
      <c r="O59" s="1685">
        <f t="shared" si="16"/>
        <v>42795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134.32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0" t="s">
        <v>2359</v>
      </c>
      <c r="Q8" s="3061"/>
      <c r="R8" s="750" t="s">
        <v>25</v>
      </c>
      <c r="S8" s="751">
        <f t="shared" si="0"/>
        <v>100</v>
      </c>
      <c r="T8" s="750" t="s">
        <v>25</v>
      </c>
      <c r="U8" s="751">
        <f t="shared" si="1"/>
        <v>100</v>
      </c>
      <c r="V8" s="750" t="s">
        <v>25</v>
      </c>
      <c r="W8" s="751">
        <f t="shared" si="2"/>
        <v>100</v>
      </c>
      <c r="X8" s="752"/>
      <c r="Y8" s="3060" t="s">
        <v>2359</v>
      </c>
      <c r="Z8" s="3061"/>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3"/>
      <c r="Q18" s="1905"/>
      <c r="R18" s="754"/>
      <c r="S18" s="755"/>
      <c r="T18" s="754"/>
      <c r="U18" s="755"/>
      <c r="V18" s="754"/>
      <c r="W18" s="755"/>
      <c r="X18" s="1906"/>
      <c r="Y18" s="305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3"/>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3"/>
      <c r="Q20" s="1905"/>
      <c r="R20" s="754"/>
      <c r="S20" s="755"/>
      <c r="T20" s="754"/>
      <c r="U20" s="755"/>
      <c r="V20" s="754"/>
      <c r="W20" s="755"/>
      <c r="X20" s="1906"/>
      <c r="Y20" s="305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3"/>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3"/>
      <c r="Q22" s="1905"/>
      <c r="R22" s="754"/>
      <c r="S22" s="755"/>
      <c r="T22" s="754"/>
      <c r="U22" s="755"/>
      <c r="V22" s="754"/>
      <c r="W22" s="755"/>
      <c r="X22" s="1906"/>
      <c r="Y22" s="305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3"/>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3"/>
      <c r="Q24" s="1905"/>
      <c r="R24" s="754"/>
      <c r="S24" s="755"/>
      <c r="T24" s="754"/>
      <c r="U24" s="755"/>
      <c r="V24" s="754"/>
      <c r="W24" s="755"/>
      <c r="X24" s="1906"/>
      <c r="Y24" s="305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3"/>
      <c r="Q25" s="1905">
        <f>B25</f>
        <v>111</v>
      </c>
      <c r="R25" s="754" t="s">
        <v>25</v>
      </c>
      <c r="S25" s="755">
        <f>F25</f>
        <v>100</v>
      </c>
      <c r="T25" s="754" t="s">
        <v>25</v>
      </c>
      <c r="U25" s="755">
        <f>H25</f>
        <v>100</v>
      </c>
      <c r="V25" s="754" t="s">
        <v>25</v>
      </c>
      <c r="W25" s="755">
        <f>J25</f>
        <v>100</v>
      </c>
      <c r="X25" s="1906"/>
      <c r="Y25" s="305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3"/>
      <c r="Q26" s="1905">
        <f t="shared" ref="Q26:Q40" si="11">B26</f>
        <v>111</v>
      </c>
      <c r="R26" s="754" t="s">
        <v>25</v>
      </c>
      <c r="S26" s="755">
        <f>F26</f>
        <v>100</v>
      </c>
      <c r="T26" s="754" t="s">
        <v>25</v>
      </c>
      <c r="U26" s="755">
        <f>H26</f>
        <v>100</v>
      </c>
      <c r="V26" s="754" t="s">
        <v>25</v>
      </c>
      <c r="W26" s="755">
        <f>J26</f>
        <v>100</v>
      </c>
      <c r="X26" s="1906"/>
      <c r="Y26" s="305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3"/>
      <c r="Q27" s="1893">
        <f t="shared" si="11"/>
        <v>111</v>
      </c>
      <c r="R27" s="750" t="s">
        <v>25</v>
      </c>
      <c r="S27" s="751">
        <f>F27</f>
        <v>100</v>
      </c>
      <c r="T27" s="750" t="s">
        <v>25</v>
      </c>
      <c r="U27" s="751">
        <f>H27</f>
        <v>100</v>
      </c>
      <c r="V27" s="750" t="s">
        <v>25</v>
      </c>
      <c r="W27" s="751">
        <f>J27</f>
        <v>100</v>
      </c>
      <c r="X27" s="752"/>
      <c r="Y27" s="305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3"/>
      <c r="Q28" s="1905">
        <f t="shared" si="11"/>
        <v>111</v>
      </c>
      <c r="R28" s="754" t="s">
        <v>25</v>
      </c>
      <c r="S28" s="755">
        <f t="shared" ref="S28:S40" si="12">F28</f>
        <v>100</v>
      </c>
      <c r="T28" s="754" t="s">
        <v>25</v>
      </c>
      <c r="U28" s="755">
        <f t="shared" ref="U28:U40" si="13">H28</f>
        <v>100</v>
      </c>
      <c r="V28" s="754" t="s">
        <v>25</v>
      </c>
      <c r="W28" s="755">
        <f t="shared" ref="W28:W40" si="14">J28</f>
        <v>100</v>
      </c>
      <c r="X28" s="1906"/>
      <c r="Y28" s="305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5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7"/>
      <c r="Q30" s="756" t="str">
        <f t="shared" si="11"/>
        <v>项目建筑规模</v>
      </c>
      <c r="R30" s="757" t="s">
        <v>25</v>
      </c>
      <c r="S30" s="758" t="e">
        <f t="shared" si="12"/>
        <v>#N/A</v>
      </c>
      <c r="T30" s="757" t="s">
        <v>25</v>
      </c>
      <c r="U30" s="758" t="e">
        <f t="shared" si="13"/>
        <v>#N/A</v>
      </c>
      <c r="V30" s="757" t="s">
        <v>25</v>
      </c>
      <c r="W30" s="758" t="e">
        <f t="shared" si="14"/>
        <v>#N/A</v>
      </c>
      <c r="X30" s="759"/>
      <c r="Y30" s="305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7"/>
      <c r="Q31" s="1905" t="str">
        <f t="shared" si="11"/>
        <v>建筑结构</v>
      </c>
      <c r="R31" s="754" t="s">
        <v>25</v>
      </c>
      <c r="S31" s="755">
        <f t="shared" si="12"/>
        <v>100</v>
      </c>
      <c r="T31" s="754" t="s">
        <v>25</v>
      </c>
      <c r="U31" s="755">
        <f t="shared" si="13"/>
        <v>100</v>
      </c>
      <c r="V31" s="754" t="s">
        <v>25</v>
      </c>
      <c r="W31" s="755">
        <f t="shared" si="14"/>
        <v>100</v>
      </c>
      <c r="X31" s="1906"/>
      <c r="Y31" s="305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7"/>
      <c r="Q32" s="1905" t="str">
        <f t="shared" si="11"/>
        <v>公共部分装修</v>
      </c>
      <c r="R32" s="754" t="s">
        <v>25</v>
      </c>
      <c r="S32" s="755">
        <f t="shared" si="12"/>
        <v>100</v>
      </c>
      <c r="T32" s="754" t="s">
        <v>25</v>
      </c>
      <c r="U32" s="755">
        <f t="shared" si="13"/>
        <v>100</v>
      </c>
      <c r="V32" s="754" t="s">
        <v>25</v>
      </c>
      <c r="W32" s="755">
        <f t="shared" si="14"/>
        <v>100</v>
      </c>
      <c r="X32" s="1906"/>
      <c r="Y32" s="305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7"/>
      <c r="Q33" s="1905" t="str">
        <f t="shared" si="11"/>
        <v>成新度</v>
      </c>
      <c r="R33" s="754" t="s">
        <v>25</v>
      </c>
      <c r="S33" s="755" t="e">
        <f t="shared" si="12"/>
        <v>#N/A</v>
      </c>
      <c r="T33" s="754" t="s">
        <v>25</v>
      </c>
      <c r="U33" s="755" t="e">
        <f t="shared" si="13"/>
        <v>#N/A</v>
      </c>
      <c r="V33" s="754" t="s">
        <v>25</v>
      </c>
      <c r="W33" s="755" t="e">
        <f t="shared" si="14"/>
        <v>#N/A</v>
      </c>
      <c r="X33" s="1906"/>
      <c r="Y33" s="305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7"/>
      <c r="Q34" s="1893" t="str">
        <f t="shared" si="11"/>
        <v>物业管理</v>
      </c>
      <c r="R34" s="750" t="s">
        <v>25</v>
      </c>
      <c r="S34" s="751">
        <f t="shared" si="12"/>
        <v>100</v>
      </c>
      <c r="T34" s="750" t="s">
        <v>25</v>
      </c>
      <c r="U34" s="751">
        <f t="shared" si="13"/>
        <v>100</v>
      </c>
      <c r="V34" s="750" t="s">
        <v>25</v>
      </c>
      <c r="W34" s="751">
        <f t="shared" si="14"/>
        <v>100</v>
      </c>
      <c r="X34" s="752"/>
      <c r="Y34" s="305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7" t="s">
        <v>2373</v>
      </c>
      <c r="Q35" s="1905" t="str">
        <f t="shared" si="11"/>
        <v>市政基础设施</v>
      </c>
      <c r="R35" s="754" t="s">
        <v>25</v>
      </c>
      <c r="S35" s="755">
        <f t="shared" si="12"/>
        <v>100</v>
      </c>
      <c r="T35" s="754" t="s">
        <v>25</v>
      </c>
      <c r="U35" s="755">
        <f t="shared" si="13"/>
        <v>100</v>
      </c>
      <c r="V35" s="754" t="s">
        <v>25</v>
      </c>
      <c r="W35" s="755">
        <f t="shared" si="14"/>
        <v>100</v>
      </c>
      <c r="X35" s="1906"/>
      <c r="Y35" s="305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7"/>
      <c r="Q36" s="1905" t="str">
        <f t="shared" si="11"/>
        <v>内部装修</v>
      </c>
      <c r="R36" s="754" t="s">
        <v>25</v>
      </c>
      <c r="S36" s="755">
        <f t="shared" si="12"/>
        <v>100</v>
      </c>
      <c r="T36" s="754" t="s">
        <v>25</v>
      </c>
      <c r="U36" s="755">
        <f t="shared" si="13"/>
        <v>100</v>
      </c>
      <c r="V36" s="754" t="s">
        <v>25</v>
      </c>
      <c r="W36" s="755">
        <f t="shared" si="14"/>
        <v>100</v>
      </c>
      <c r="X36" s="1906"/>
      <c r="Y36" s="305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7"/>
      <c r="Q37" s="1905" t="str">
        <f t="shared" si="11"/>
        <v>内部装修状况</v>
      </c>
      <c r="R37" s="754" t="s">
        <v>25</v>
      </c>
      <c r="S37" s="755">
        <f t="shared" si="12"/>
        <v>0</v>
      </c>
      <c r="T37" s="754" t="s">
        <v>25</v>
      </c>
      <c r="U37" s="755">
        <f t="shared" si="13"/>
        <v>0</v>
      </c>
      <c r="V37" s="754" t="s">
        <v>25</v>
      </c>
      <c r="W37" s="755">
        <f t="shared" si="14"/>
        <v>0</v>
      </c>
      <c r="X37" s="1906"/>
      <c r="Y37" s="305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7"/>
      <c r="Q38" s="756">
        <f t="shared" si="11"/>
        <v>111</v>
      </c>
      <c r="R38" s="757" t="s">
        <v>25</v>
      </c>
      <c r="S38" s="758">
        <f t="shared" si="12"/>
        <v>100</v>
      </c>
      <c r="T38" s="757" t="s">
        <v>25</v>
      </c>
      <c r="U38" s="758">
        <f t="shared" si="13"/>
        <v>100</v>
      </c>
      <c r="V38" s="757" t="s">
        <v>25</v>
      </c>
      <c r="W38" s="758">
        <f t="shared" si="14"/>
        <v>100</v>
      </c>
      <c r="X38" s="759"/>
      <c r="Y38" s="305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7"/>
      <c r="Q39" s="1905">
        <f t="shared" si="11"/>
        <v>111</v>
      </c>
      <c r="R39" s="754" t="s">
        <v>25</v>
      </c>
      <c r="S39" s="755">
        <f t="shared" si="12"/>
        <v>100</v>
      </c>
      <c r="T39" s="754" t="s">
        <v>25</v>
      </c>
      <c r="U39" s="755">
        <f t="shared" si="13"/>
        <v>100</v>
      </c>
      <c r="V39" s="754" t="s">
        <v>25</v>
      </c>
      <c r="W39" s="755">
        <f t="shared" si="14"/>
        <v>100</v>
      </c>
      <c r="X39" s="1906"/>
      <c r="Y39" s="305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8"/>
      <c r="Q40" s="1905">
        <f t="shared" si="11"/>
        <v>111</v>
      </c>
      <c r="R40" s="754" t="s">
        <v>25</v>
      </c>
      <c r="S40" s="755">
        <f t="shared" si="12"/>
        <v>100</v>
      </c>
      <c r="T40" s="754" t="s">
        <v>25</v>
      </c>
      <c r="U40" s="755">
        <f t="shared" si="13"/>
        <v>100</v>
      </c>
      <c r="V40" s="754" t="s">
        <v>25</v>
      </c>
      <c r="W40" s="755">
        <f t="shared" si="14"/>
        <v>100</v>
      </c>
      <c r="X40" s="1906"/>
      <c r="Y40" s="305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4" t="str">
        <f>A41</f>
        <v>成交单价（元/平方米）</v>
      </c>
      <c r="Q41" s="3064"/>
      <c r="R41" s="3065">
        <f>E41</f>
        <v>0</v>
      </c>
      <c r="S41" s="3065"/>
      <c r="T41" s="3065">
        <f>G41</f>
        <v>0</v>
      </c>
      <c r="U41" s="3065"/>
      <c r="V41" s="3065">
        <f>I41</f>
        <v>0</v>
      </c>
      <c r="W41" s="306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0" t="str">
        <f>A43</f>
        <v>估价对象XX用房的比较价值（楼面单价，元/平方米）</v>
      </c>
      <c r="Q43" s="3071"/>
      <c r="R43" s="3072" t="e">
        <f>IF(E1="售价",ROUND(AVERAGE(R42:V42),0),ROUND(AVERAGE(R42:V42),1))</f>
        <v>#DIV/0!</v>
      </c>
      <c r="S43" s="3072"/>
      <c r="T43" s="3072"/>
      <c r="U43" s="3072"/>
      <c r="V43" s="3072"/>
      <c r="W43" s="307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2018-3</v>
      </c>
      <c r="D52" s="1685">
        <f>EDATE(C52,-1)</f>
        <v>43132</v>
      </c>
      <c r="E52" s="1686">
        <f t="shared" ref="E52:O52" si="16">EDATE(D52,-1)</f>
        <v>43101</v>
      </c>
      <c r="F52" s="1686">
        <f t="shared" si="16"/>
        <v>43070</v>
      </c>
      <c r="G52" s="1686">
        <f t="shared" si="16"/>
        <v>43040</v>
      </c>
      <c r="H52" s="1686">
        <f t="shared" si="16"/>
        <v>43009</v>
      </c>
      <c r="I52" s="1686">
        <f t="shared" si="16"/>
        <v>42979</v>
      </c>
      <c r="J52" s="1686">
        <f t="shared" si="16"/>
        <v>42948</v>
      </c>
      <c r="K52" s="1686">
        <f t="shared" si="16"/>
        <v>42917</v>
      </c>
      <c r="L52" s="1686">
        <f t="shared" si="16"/>
        <v>42887</v>
      </c>
      <c r="M52" s="1686">
        <f t="shared" si="16"/>
        <v>42856</v>
      </c>
      <c r="N52" s="1686">
        <f t="shared" si="16"/>
        <v>42826</v>
      </c>
      <c r="O52" s="1686">
        <f t="shared" si="16"/>
        <v>42795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134.32</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516"/>
      <c r="M4" s="426"/>
      <c r="N4" s="426"/>
      <c r="O4" s="42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516"/>
      <c r="M5" s="426"/>
      <c r="N5" s="426"/>
      <c r="O5" s="42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516"/>
      <c r="M6" s="426"/>
      <c r="N6" s="426"/>
      <c r="O6" s="42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0" t="s">
        <v>2359</v>
      </c>
      <c r="Q8" s="3061"/>
      <c r="R8" s="750" t="s">
        <v>25</v>
      </c>
      <c r="S8" s="751">
        <f t="shared" si="0"/>
        <v>0</v>
      </c>
      <c r="T8" s="750" t="s">
        <v>25</v>
      </c>
      <c r="U8" s="751">
        <f t="shared" si="1"/>
        <v>0</v>
      </c>
      <c r="V8" s="750" t="s">
        <v>25</v>
      </c>
      <c r="W8" s="751">
        <f t="shared" si="2"/>
        <v>0</v>
      </c>
      <c r="X8" s="752"/>
      <c r="Y8" s="3060" t="s">
        <v>2359</v>
      </c>
      <c r="Z8" s="3061"/>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381" t="s">
        <v>2366</v>
      </c>
      <c r="B14" s="614" t="s">
        <v>2510</v>
      </c>
      <c r="C14" s="1482" t="str">
        <f>IF(B1="工业",估价对象房地状况!G4,估价对象房地状况!C6)</f>
        <v>估价对象紧邻城市主干道——光华路，临近地铁1、14号线（大望路站），以估价对象为中心半径2公里范围内有30路、31路、95路、101路、112路等多条公交线路，综合评价交通便捷度较好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3"/>
      <c r="Q15" s="1905"/>
      <c r="R15" s="754"/>
      <c r="S15" s="755"/>
      <c r="T15" s="754"/>
      <c r="U15" s="755"/>
      <c r="V15" s="754"/>
      <c r="W15" s="755"/>
      <c r="X15" s="1906"/>
      <c r="Y15" s="3053"/>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3"/>
      <c r="Q17" s="1905"/>
      <c r="R17" s="754"/>
      <c r="S17" s="755"/>
      <c r="T17" s="754"/>
      <c r="U17" s="755"/>
      <c r="V17" s="754"/>
      <c r="W17" s="755"/>
      <c r="X17" s="1906"/>
      <c r="Y17" s="3053"/>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3"/>
      <c r="Q19" s="1905"/>
      <c r="R19" s="754"/>
      <c r="S19" s="755"/>
      <c r="T19" s="754"/>
      <c r="U19" s="755"/>
      <c r="V19" s="754"/>
      <c r="W19" s="755"/>
      <c r="X19" s="1906"/>
      <c r="Y19" s="3053"/>
      <c r="Z19" s="1908"/>
      <c r="AA19" s="1909">
        <v>1</v>
      </c>
      <c r="AB19" s="1909">
        <v>1</v>
      </c>
      <c r="AC19" s="1909">
        <v>1</v>
      </c>
    </row>
    <row r="20" spans="1:29" ht="85.5">
      <c r="A20" s="384"/>
      <c r="B20" s="616" t="s">
        <v>2511</v>
      </c>
      <c r="C20" s="1484" t="str">
        <f>IF(B1="工业",估价对象房地状况!G7,估价对象房地状况!C9)</f>
        <v>自然环境：木头公园等；人文环境：首都经济贸易大学等，综合评价环境状况较好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3"/>
      <c r="Q21" s="1905"/>
      <c r="R21" s="754"/>
      <c r="S21" s="755"/>
      <c r="T21" s="754"/>
      <c r="U21" s="755"/>
      <c r="V21" s="754"/>
      <c r="W21" s="755"/>
      <c r="X21" s="1906"/>
      <c r="Y21" s="305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3"/>
      <c r="Q24" s="1905">
        <f t="shared" ref="Q24:Q36"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7"/>
      <c r="Q27" s="756" t="str">
        <f t="shared" si="11"/>
        <v>项目停车位配比</v>
      </c>
      <c r="R27" s="757" t="s">
        <v>25</v>
      </c>
      <c r="S27" s="758">
        <f t="shared" si="12"/>
        <v>100</v>
      </c>
      <c r="T27" s="757" t="s">
        <v>25</v>
      </c>
      <c r="U27" s="758">
        <f t="shared" si="13"/>
        <v>100</v>
      </c>
      <c r="V27" s="757" t="s">
        <v>25</v>
      </c>
      <c r="W27" s="758">
        <f t="shared" si="14"/>
        <v>100</v>
      </c>
      <c r="X27" s="759"/>
      <c r="Y27" s="305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7"/>
      <c r="Q28" s="1905" t="str">
        <f t="shared" si="11"/>
        <v>公共部分装修</v>
      </c>
      <c r="R28" s="754" t="s">
        <v>25</v>
      </c>
      <c r="S28" s="755">
        <f t="shared" si="12"/>
        <v>100</v>
      </c>
      <c r="T28" s="754" t="s">
        <v>25</v>
      </c>
      <c r="U28" s="755">
        <f t="shared" si="13"/>
        <v>100</v>
      </c>
      <c r="V28" s="754" t="s">
        <v>25</v>
      </c>
      <c r="W28" s="755">
        <f t="shared" si="14"/>
        <v>100</v>
      </c>
      <c r="X28" s="1906"/>
      <c r="Y28" s="305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7"/>
      <c r="Q29" s="1905" t="str">
        <f t="shared" si="11"/>
        <v>成新率</v>
      </c>
      <c r="R29" s="754" t="s">
        <v>25</v>
      </c>
      <c r="S29" s="755" t="e">
        <f t="shared" si="12"/>
        <v>#N/A</v>
      </c>
      <c r="T29" s="754" t="s">
        <v>25</v>
      </c>
      <c r="U29" s="755" t="e">
        <f t="shared" si="13"/>
        <v>#N/A</v>
      </c>
      <c r="V29" s="754" t="s">
        <v>25</v>
      </c>
      <c r="W29" s="755" t="e">
        <f t="shared" si="14"/>
        <v>#N/A</v>
      </c>
      <c r="X29" s="1906"/>
      <c r="Y29" s="305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7"/>
      <c r="Q30" s="1905" t="str">
        <f t="shared" si="11"/>
        <v>物业等级</v>
      </c>
      <c r="R30" s="754" t="s">
        <v>25</v>
      </c>
      <c r="S30" s="755">
        <f t="shared" si="12"/>
        <v>100</v>
      </c>
      <c r="T30" s="754" t="s">
        <v>25</v>
      </c>
      <c r="U30" s="755">
        <f t="shared" si="13"/>
        <v>100</v>
      </c>
      <c r="V30" s="754" t="s">
        <v>25</v>
      </c>
      <c r="W30" s="755">
        <f t="shared" si="14"/>
        <v>100</v>
      </c>
      <c r="X30" s="1906"/>
      <c r="Y30" s="305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7"/>
      <c r="Q31" s="1893" t="str">
        <f t="shared" si="11"/>
        <v>停车位面积</v>
      </c>
      <c r="R31" s="750" t="s">
        <v>25</v>
      </c>
      <c r="S31" s="751" t="e">
        <f t="shared" si="12"/>
        <v>#N/A</v>
      </c>
      <c r="T31" s="750" t="s">
        <v>25</v>
      </c>
      <c r="U31" s="751" t="e">
        <f t="shared" si="13"/>
        <v>#N/A</v>
      </c>
      <c r="V31" s="750" t="s">
        <v>25</v>
      </c>
      <c r="W31" s="751" t="e">
        <f t="shared" si="14"/>
        <v>#N/A</v>
      </c>
      <c r="X31" s="752"/>
      <c r="Y31" s="305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7" t="s">
        <v>2373</v>
      </c>
      <c r="Q32" s="1905" t="str">
        <f t="shared" si="11"/>
        <v>车位类型</v>
      </c>
      <c r="R32" s="754" t="s">
        <v>25</v>
      </c>
      <c r="S32" s="755">
        <f t="shared" si="12"/>
        <v>100</v>
      </c>
      <c r="T32" s="754" t="s">
        <v>25</v>
      </c>
      <c r="U32" s="755">
        <f t="shared" si="13"/>
        <v>100</v>
      </c>
      <c r="V32" s="754" t="s">
        <v>25</v>
      </c>
      <c r="W32" s="755">
        <f t="shared" si="14"/>
        <v>100</v>
      </c>
      <c r="X32" s="1906"/>
      <c r="Y32" s="305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7"/>
      <c r="Q33" s="1905" t="str">
        <f t="shared" si="11"/>
        <v>是否直接入户</v>
      </c>
      <c r="R33" s="754" t="s">
        <v>25</v>
      </c>
      <c r="S33" s="755">
        <f t="shared" si="12"/>
        <v>100</v>
      </c>
      <c r="T33" s="754" t="s">
        <v>25</v>
      </c>
      <c r="U33" s="755">
        <f t="shared" si="13"/>
        <v>100</v>
      </c>
      <c r="V33" s="754" t="s">
        <v>25</v>
      </c>
      <c r="W33" s="755">
        <f t="shared" si="14"/>
        <v>100</v>
      </c>
      <c r="X33" s="1906"/>
      <c r="Y33" s="305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7"/>
      <c r="Q35" s="756">
        <f t="shared" si="11"/>
        <v>111</v>
      </c>
      <c r="R35" s="757" t="s">
        <v>25</v>
      </c>
      <c r="S35" s="758">
        <f t="shared" si="12"/>
        <v>100</v>
      </c>
      <c r="T35" s="757" t="s">
        <v>25</v>
      </c>
      <c r="U35" s="758">
        <f t="shared" si="13"/>
        <v>100</v>
      </c>
      <c r="V35" s="757" t="s">
        <v>25</v>
      </c>
      <c r="W35" s="758">
        <f t="shared" si="14"/>
        <v>100</v>
      </c>
      <c r="X35" s="759"/>
      <c r="Y35" s="305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7"/>
      <c r="Q36" s="1905">
        <f t="shared" si="11"/>
        <v>111</v>
      </c>
      <c r="R36" s="754" t="s">
        <v>25</v>
      </c>
      <c r="S36" s="755">
        <f t="shared" si="12"/>
        <v>100</v>
      </c>
      <c r="T36" s="754" t="s">
        <v>25</v>
      </c>
      <c r="U36" s="755">
        <f t="shared" si="13"/>
        <v>100</v>
      </c>
      <c r="V36" s="754" t="s">
        <v>25</v>
      </c>
      <c r="W36" s="755">
        <f t="shared" si="14"/>
        <v>100</v>
      </c>
      <c r="X36" s="1906"/>
      <c r="Y36" s="305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4" t="str">
        <f>A37</f>
        <v>成交单价</v>
      </c>
      <c r="Q37" s="3064"/>
      <c r="R37" s="3065">
        <f>E37</f>
        <v>0</v>
      </c>
      <c r="S37" s="3065"/>
      <c r="T37" s="3065">
        <f>G37</f>
        <v>0</v>
      </c>
      <c r="U37" s="3065"/>
      <c r="V37" s="3065">
        <f>I37</f>
        <v>0</v>
      </c>
      <c r="W37" s="306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0" t="str">
        <f>A39</f>
        <v>估价对象XX用房的比较价值（楼面单价，元/平方米）</v>
      </c>
      <c r="Q39" s="3071"/>
      <c r="R39" s="3072" t="e">
        <f>IF(E1="售价",ROUND(AVERAGE(R38:V38),0),ROUND(AVERAGE(R38:V38),1))</f>
        <v>#DIV/0!</v>
      </c>
      <c r="S39" s="3072"/>
      <c r="T39" s="3072"/>
      <c r="U39" s="3072"/>
      <c r="V39" s="3072"/>
      <c r="W39" s="307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2018-3</v>
      </c>
      <c r="D48" s="1685">
        <f>EDATE(C48,-1)</f>
        <v>43132</v>
      </c>
      <c r="E48" s="1685">
        <f t="shared" ref="E48:O48" si="16">EDATE(D48,-1)</f>
        <v>43101</v>
      </c>
      <c r="F48" s="1685">
        <f t="shared" si="16"/>
        <v>43070</v>
      </c>
      <c r="G48" s="1685">
        <f t="shared" si="16"/>
        <v>43040</v>
      </c>
      <c r="H48" s="1685">
        <f t="shared" si="16"/>
        <v>43009</v>
      </c>
      <c r="I48" s="1685">
        <f t="shared" si="16"/>
        <v>42979</v>
      </c>
      <c r="J48" s="1685">
        <f t="shared" si="16"/>
        <v>42948</v>
      </c>
      <c r="K48" s="1685">
        <f t="shared" si="16"/>
        <v>42917</v>
      </c>
      <c r="L48" s="1685">
        <f t="shared" si="16"/>
        <v>42887</v>
      </c>
      <c r="M48" s="1685">
        <f t="shared" si="16"/>
        <v>42856</v>
      </c>
      <c r="N48" s="1685">
        <f t="shared" si="16"/>
        <v>42826</v>
      </c>
      <c r="O48" s="1685">
        <f t="shared" si="16"/>
        <v>42795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估价对象为房地产，为所有。根据《不动产权证书》[]，估价对象建筑面积为134.32平方米，（分摊）出让国有建设用地使用权面积为平方米。估价对象用途为。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2018年3月1日（评估专业人员实地查勘之日）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134.32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420" t="s">
        <v>2366</v>
      </c>
      <c r="B14" s="26" t="s">
        <v>2510</v>
      </c>
      <c r="C14" s="2486" t="str">
        <f>IF(B1="工业",估价对象房地状况!G4,估价对象房地状况!C6)</f>
        <v>估价对象紧邻城市主干道——光华路，临近地铁1、14号线（大望路站），以估价对象为中心半径2公里范围内有30路、31路、95路、101路、112路等多条公交线路，综合评价交通便捷度较好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3"/>
      <c r="Q15" s="1905"/>
      <c r="R15" s="754"/>
      <c r="S15" s="755"/>
      <c r="T15" s="754"/>
      <c r="U15" s="755"/>
      <c r="V15" s="754"/>
      <c r="W15" s="755"/>
      <c r="X15" s="1906"/>
      <c r="Y15" s="3053"/>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3"/>
      <c r="Q17" s="1905"/>
      <c r="R17" s="754"/>
      <c r="S17" s="755"/>
      <c r="T17" s="754"/>
      <c r="U17" s="755"/>
      <c r="V17" s="754"/>
      <c r="W17" s="755"/>
      <c r="X17" s="1906"/>
      <c r="Y17" s="3053"/>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3"/>
      <c r="Q19" s="1905"/>
      <c r="R19" s="754"/>
      <c r="S19" s="755"/>
      <c r="T19" s="754"/>
      <c r="U19" s="755"/>
      <c r="V19" s="754"/>
      <c r="W19" s="755"/>
      <c r="X19" s="1906"/>
      <c r="Y19" s="3053"/>
      <c r="Z19" s="1908"/>
      <c r="AA19" s="1909">
        <v>1</v>
      </c>
      <c r="AB19" s="1909">
        <v>1</v>
      </c>
      <c r="AC19" s="1909">
        <v>1</v>
      </c>
    </row>
    <row r="20" spans="1:29" ht="85.5">
      <c r="A20" s="409"/>
      <c r="B20" s="432" t="s">
        <v>2511</v>
      </c>
      <c r="C20" s="2413" t="str">
        <f>IF(B1="工业",估价对象房地状况!G7,估价对象房地状况!C9)</f>
        <v>自然环境：木头公园等；人文环境：首都经济贸易大学等，综合评价环境状况较好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3"/>
      <c r="Q21" s="1905"/>
      <c r="R21" s="754"/>
      <c r="S21" s="755"/>
      <c r="T21" s="754"/>
      <c r="U21" s="755"/>
      <c r="V21" s="754"/>
      <c r="W21" s="755"/>
      <c r="X21" s="1906"/>
      <c r="Y21" s="305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3"/>
      <c r="Q24" s="1905">
        <f t="shared" ref="Q24:Q34"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7"/>
      <c r="Q27" s="756" t="str">
        <f t="shared" si="11"/>
        <v>成新率</v>
      </c>
      <c r="R27" s="757" t="s">
        <v>25</v>
      </c>
      <c r="S27" s="758" t="e">
        <f t="shared" si="12"/>
        <v>#N/A</v>
      </c>
      <c r="T27" s="757" t="s">
        <v>25</v>
      </c>
      <c r="U27" s="758" t="e">
        <f t="shared" si="13"/>
        <v>#N/A</v>
      </c>
      <c r="V27" s="757" t="s">
        <v>25</v>
      </c>
      <c r="W27" s="758" t="e">
        <f t="shared" si="14"/>
        <v>#N/A</v>
      </c>
      <c r="X27" s="759"/>
      <c r="Y27" s="305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7"/>
      <c r="Q28" s="1905" t="str">
        <f t="shared" si="11"/>
        <v>物业等级</v>
      </c>
      <c r="R28" s="754" t="s">
        <v>25</v>
      </c>
      <c r="S28" s="755">
        <f t="shared" si="12"/>
        <v>100</v>
      </c>
      <c r="T28" s="754" t="s">
        <v>25</v>
      </c>
      <c r="U28" s="755">
        <f t="shared" si="13"/>
        <v>100</v>
      </c>
      <c r="V28" s="754" t="s">
        <v>25</v>
      </c>
      <c r="W28" s="755">
        <f t="shared" si="14"/>
        <v>100</v>
      </c>
      <c r="X28" s="1906"/>
      <c r="Y28" s="305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7"/>
      <c r="Q29" s="1905" t="str">
        <f t="shared" si="11"/>
        <v>有无电梯</v>
      </c>
      <c r="R29" s="754" t="s">
        <v>25</v>
      </c>
      <c r="S29" s="755">
        <f t="shared" si="12"/>
        <v>100</v>
      </c>
      <c r="T29" s="754" t="s">
        <v>25</v>
      </c>
      <c r="U29" s="755">
        <f t="shared" si="13"/>
        <v>100</v>
      </c>
      <c r="V29" s="754" t="s">
        <v>25</v>
      </c>
      <c r="W29" s="755">
        <f t="shared" si="14"/>
        <v>100</v>
      </c>
      <c r="X29" s="1906"/>
      <c r="Y29" s="305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7"/>
      <c r="Q30" s="1905" t="str">
        <f t="shared" si="11"/>
        <v>建筑面积</v>
      </c>
      <c r="R30" s="754" t="s">
        <v>25</v>
      </c>
      <c r="S30" s="755" t="e">
        <f t="shared" si="12"/>
        <v>#N/A</v>
      </c>
      <c r="T30" s="754" t="s">
        <v>25</v>
      </c>
      <c r="U30" s="755" t="e">
        <f t="shared" si="13"/>
        <v>#N/A</v>
      </c>
      <c r="V30" s="754" t="s">
        <v>25</v>
      </c>
      <c r="W30" s="755" t="e">
        <f t="shared" si="14"/>
        <v>#N/A</v>
      </c>
      <c r="X30" s="1906"/>
      <c r="Y30" s="305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7"/>
      <c r="Q31" s="1893" t="str">
        <f t="shared" si="11"/>
        <v>是否封闭</v>
      </c>
      <c r="R31" s="750" t="s">
        <v>25</v>
      </c>
      <c r="S31" s="751">
        <f t="shared" si="12"/>
        <v>100</v>
      </c>
      <c r="T31" s="750" t="s">
        <v>25</v>
      </c>
      <c r="U31" s="751">
        <f t="shared" si="13"/>
        <v>100</v>
      </c>
      <c r="V31" s="750" t="s">
        <v>25</v>
      </c>
      <c r="W31" s="751">
        <f t="shared" si="14"/>
        <v>100</v>
      </c>
      <c r="X31" s="752"/>
      <c r="Y31" s="305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7" t="s">
        <v>2373</v>
      </c>
      <c r="Q32" s="1905">
        <f t="shared" si="11"/>
        <v>111</v>
      </c>
      <c r="R32" s="754" t="s">
        <v>25</v>
      </c>
      <c r="S32" s="755">
        <f t="shared" si="12"/>
        <v>100</v>
      </c>
      <c r="T32" s="754" t="s">
        <v>25</v>
      </c>
      <c r="U32" s="755">
        <f t="shared" si="13"/>
        <v>100</v>
      </c>
      <c r="V32" s="754" t="s">
        <v>25</v>
      </c>
      <c r="W32" s="755">
        <f t="shared" si="14"/>
        <v>100</v>
      </c>
      <c r="X32" s="1906"/>
      <c r="Y32" s="305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7"/>
      <c r="Q33" s="1905">
        <f t="shared" si="11"/>
        <v>111</v>
      </c>
      <c r="R33" s="754" t="s">
        <v>25</v>
      </c>
      <c r="S33" s="755">
        <f t="shared" si="12"/>
        <v>100</v>
      </c>
      <c r="T33" s="754" t="s">
        <v>25</v>
      </c>
      <c r="U33" s="755">
        <f t="shared" si="13"/>
        <v>100</v>
      </c>
      <c r="V33" s="754" t="s">
        <v>25</v>
      </c>
      <c r="W33" s="755">
        <f t="shared" si="14"/>
        <v>100</v>
      </c>
      <c r="X33" s="1906"/>
      <c r="Y33" s="305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4" t="str">
        <f>A35</f>
        <v>成交单价（元/平方米）</v>
      </c>
      <c r="Q35" s="3064"/>
      <c r="R35" s="3065">
        <f>E35</f>
        <v>0</v>
      </c>
      <c r="S35" s="3065"/>
      <c r="T35" s="3065">
        <f>G35</f>
        <v>0</v>
      </c>
      <c r="U35" s="3065"/>
      <c r="V35" s="3065">
        <f>I35</f>
        <v>0</v>
      </c>
      <c r="W35" s="306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0" t="str">
        <f>A37</f>
        <v>估价对象XX用房的比较价值（楼面单价，元/平方米）</v>
      </c>
      <c r="Q37" s="3071"/>
      <c r="R37" s="3072" t="e">
        <f>IF(E1="售价",ROUND(AVERAGE(R36:V36),0),ROUND(AVERAGE(R36:V36),1))</f>
        <v>#DIV/0!</v>
      </c>
      <c r="S37" s="3072"/>
      <c r="T37" s="3072"/>
      <c r="U37" s="3072"/>
      <c r="V37" s="3072"/>
      <c r="W37" s="307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2018-3</v>
      </c>
      <c r="D46" s="1685">
        <f>EDATE(C46,-1)</f>
        <v>43132</v>
      </c>
      <c r="E46" s="1685">
        <f t="shared" ref="E46:O46" si="16">EDATE(D46,-1)</f>
        <v>43101</v>
      </c>
      <c r="F46" s="1685">
        <f t="shared" si="16"/>
        <v>43070</v>
      </c>
      <c r="G46" s="1685">
        <f t="shared" si="16"/>
        <v>43040</v>
      </c>
      <c r="H46" s="1685">
        <f t="shared" si="16"/>
        <v>43009</v>
      </c>
      <c r="I46" s="1685">
        <f t="shared" si="16"/>
        <v>42979</v>
      </c>
      <c r="J46" s="1685">
        <f t="shared" si="16"/>
        <v>42948</v>
      </c>
      <c r="K46" s="1685">
        <f t="shared" si="16"/>
        <v>42917</v>
      </c>
      <c r="L46" s="1685">
        <f t="shared" si="16"/>
        <v>42887</v>
      </c>
      <c r="M46" s="1685">
        <f t="shared" si="16"/>
        <v>42856</v>
      </c>
      <c r="N46" s="1685">
        <f t="shared" si="16"/>
        <v>42826</v>
      </c>
      <c r="O46" s="1685">
        <f t="shared" si="16"/>
        <v>42795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30"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30"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30" s="35" customFormat="1" ht="15.75" thickBot="1">
      <c r="A7" s="388" t="s">
        <v>2355</v>
      </c>
      <c r="B7" s="389"/>
      <c r="C7" s="390">
        <f>'数据-取费表'!B2</f>
        <v>43160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107</v>
      </c>
      <c r="G10" s="445"/>
      <c r="H10" s="52">
        <f>ROUND(100/'数据-取费表'!B14,0)</f>
        <v>107</v>
      </c>
      <c r="I10" s="445"/>
      <c r="J10" s="52">
        <f>ROUND(100/'数据-取费表'!B14,0)</f>
        <v>107</v>
      </c>
      <c r="K10" s="656"/>
      <c r="L10" s="1250"/>
      <c r="M10" s="1251"/>
      <c r="N10" s="1251"/>
      <c r="O10" s="1252"/>
      <c r="P10" s="3064"/>
      <c r="Q10" s="1893" t="str">
        <f t="shared" si="6"/>
        <v>土地使用年限（年）</v>
      </c>
      <c r="R10" s="750" t="s">
        <v>25</v>
      </c>
      <c r="S10" s="751">
        <f t="shared" si="0"/>
        <v>107</v>
      </c>
      <c r="T10" s="750" t="s">
        <v>25</v>
      </c>
      <c r="U10" s="751">
        <f t="shared" si="1"/>
        <v>107</v>
      </c>
      <c r="V10" s="750" t="s">
        <v>25</v>
      </c>
      <c r="W10" s="751">
        <f t="shared" si="2"/>
        <v>107</v>
      </c>
      <c r="X10" s="752"/>
      <c r="Y10" s="2875"/>
      <c r="Z10" s="23" t="str">
        <f t="shared" si="7"/>
        <v>土地使用年限（年）</v>
      </c>
      <c r="AA10" s="753">
        <f t="shared" si="3"/>
        <v>0.93457943925233644</v>
      </c>
      <c r="AB10" s="753">
        <f t="shared" si="4"/>
        <v>0.93457943925233644</v>
      </c>
      <c r="AC10" s="753">
        <f t="shared" si="5"/>
        <v>0.93457943925233644</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4"/>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42.5">
      <c r="A15" s="381" t="s">
        <v>2366</v>
      </c>
      <c r="B15" s="1489" t="s">
        <v>1742</v>
      </c>
      <c r="C15" s="2474" t="str">
        <f>估价对象房地状况!C15</f>
        <v>估价对象周边有蓝堡国际公寓、光华欣居、金地国际花园、光辉里小区等居住小区，小区规模和社区发展完善程度较好，综合评价居住社区成熟度较好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2" t="s">
        <v>2367</v>
      </c>
      <c r="Q15" s="1905" t="str">
        <f t="shared" si="6"/>
        <v>居住社区成熟度</v>
      </c>
      <c r="R15" s="754" t="s">
        <v>25</v>
      </c>
      <c r="S15" s="755">
        <f t="shared" si="0"/>
        <v>100</v>
      </c>
      <c r="T15" s="754" t="s">
        <v>25</v>
      </c>
      <c r="U15" s="755">
        <f t="shared" si="1"/>
        <v>100</v>
      </c>
      <c r="V15" s="754" t="s">
        <v>25</v>
      </c>
      <c r="W15" s="755">
        <f t="shared" si="2"/>
        <v>100</v>
      </c>
      <c r="X15" s="1906"/>
      <c r="Y15" s="305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3"/>
      <c r="Q17" s="1905" t="str">
        <f>B17</f>
        <v>商业繁华度</v>
      </c>
      <c r="R17" s="754" t="s">
        <v>25</v>
      </c>
      <c r="S17" s="755">
        <f>F17</f>
        <v>100</v>
      </c>
      <c r="T17" s="754" t="s">
        <v>25</v>
      </c>
      <c r="U17" s="755">
        <f>H17</f>
        <v>100</v>
      </c>
      <c r="V17" s="754" t="s">
        <v>25</v>
      </c>
      <c r="W17" s="755">
        <f>J17</f>
        <v>100</v>
      </c>
      <c r="X17" s="1906"/>
      <c r="Y17" s="305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3"/>
      <c r="Q19" s="1905" t="str">
        <f>B19</f>
        <v>办公集聚程度</v>
      </c>
      <c r="R19" s="754" t="s">
        <v>25</v>
      </c>
      <c r="S19" s="755">
        <f>F19</f>
        <v>100</v>
      </c>
      <c r="T19" s="754" t="s">
        <v>25</v>
      </c>
      <c r="U19" s="755">
        <f>H19</f>
        <v>100</v>
      </c>
      <c r="V19" s="754" t="s">
        <v>25</v>
      </c>
      <c r="W19" s="755">
        <f>J19</f>
        <v>100</v>
      </c>
      <c r="X19" s="1906"/>
      <c r="Y19" s="305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3"/>
      <c r="Q20" s="1905"/>
      <c r="R20" s="754"/>
      <c r="S20" s="755"/>
      <c r="T20" s="754"/>
      <c r="U20" s="755"/>
      <c r="V20" s="754"/>
      <c r="W20" s="755"/>
      <c r="X20" s="1906"/>
      <c r="Y20" s="3053"/>
      <c r="Z20" s="1908"/>
      <c r="AA20" s="1909">
        <v>1</v>
      </c>
      <c r="AB20" s="1909">
        <v>1</v>
      </c>
      <c r="AC20" s="1909">
        <v>1</v>
      </c>
    </row>
    <row r="21" spans="1:29" ht="185.25">
      <c r="A21" s="384"/>
      <c r="B21" s="1491" t="s">
        <v>2510</v>
      </c>
      <c r="C21" s="2475" t="str">
        <f>估价对象房地状况!C18</f>
        <v>估价对象紧邻城市主干道——光华路，临近地铁1、14号线（大望路站），以估价对象为中心半径2公里范围内有30路、31路、95路、101路、112路等多条公交线路，综合评价交通便捷度较好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3"/>
      <c r="Q21" s="1905" t="str">
        <f>B21</f>
        <v>交通便捷度</v>
      </c>
      <c r="R21" s="754" t="s">
        <v>25</v>
      </c>
      <c r="S21" s="755">
        <f>F21</f>
        <v>100</v>
      </c>
      <c r="T21" s="754" t="s">
        <v>25</v>
      </c>
      <c r="U21" s="755">
        <f>H21</f>
        <v>100</v>
      </c>
      <c r="V21" s="754" t="s">
        <v>25</v>
      </c>
      <c r="W21" s="755">
        <f>J21</f>
        <v>100</v>
      </c>
      <c r="X21" s="1906"/>
      <c r="Y21" s="305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3"/>
      <c r="Q23" s="1905" t="str">
        <f t="shared" ref="Q23:Q37" si="8">B23</f>
        <v>区域土地利用方向</v>
      </c>
      <c r="R23" s="754" t="s">
        <v>25</v>
      </c>
      <c r="S23" s="755">
        <f>F23</f>
        <v>100</v>
      </c>
      <c r="T23" s="754" t="s">
        <v>25</v>
      </c>
      <c r="U23" s="755">
        <f>H23</f>
        <v>100</v>
      </c>
      <c r="V23" s="754" t="s">
        <v>25</v>
      </c>
      <c r="W23" s="755">
        <f>J23</f>
        <v>100</v>
      </c>
      <c r="X23" s="1906"/>
      <c r="Y23" s="305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3"/>
      <c r="Q24" s="1905"/>
      <c r="R24" s="754"/>
      <c r="S24" s="755"/>
      <c r="T24" s="754"/>
      <c r="U24" s="755"/>
      <c r="V24" s="754"/>
      <c r="W24" s="755"/>
      <c r="X24" s="1906"/>
      <c r="Y24" s="3053"/>
      <c r="Z24" s="1908"/>
      <c r="AA24" s="1909"/>
      <c r="AB24" s="1909"/>
      <c r="AC24" s="1909"/>
    </row>
    <row r="25" spans="1:29" ht="85.5">
      <c r="A25" s="384"/>
      <c r="B25" s="1493" t="s">
        <v>2551</v>
      </c>
      <c r="C25" s="2492" t="str">
        <f>估价对象房地状况!C20</f>
        <v>自然环境：木头公园等；人文环境：首都经济贸易大学等，综合评价环境状况较好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3"/>
      <c r="Q25" s="1905" t="str">
        <f t="shared" si="8"/>
        <v>自然及人文环境状况</v>
      </c>
      <c r="R25" s="754" t="s">
        <v>25</v>
      </c>
      <c r="S25" s="755">
        <f>F25</f>
        <v>100</v>
      </c>
      <c r="T25" s="754" t="s">
        <v>25</v>
      </c>
      <c r="U25" s="755">
        <f>H25</f>
        <v>100</v>
      </c>
      <c r="V25" s="754" t="s">
        <v>25</v>
      </c>
      <c r="W25" s="755">
        <f>J25</f>
        <v>100</v>
      </c>
      <c r="X25" s="1906"/>
      <c r="Y25" s="305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3"/>
      <c r="Q26" s="1905"/>
      <c r="R26" s="754"/>
      <c r="S26" s="755"/>
      <c r="T26" s="754"/>
      <c r="U26" s="755"/>
      <c r="V26" s="754"/>
      <c r="W26" s="755"/>
      <c r="X26" s="1906"/>
      <c r="Y26" s="3053"/>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3"/>
      <c r="Q27" s="1893" t="str">
        <f t="shared" ref="Q27" si="9">B27</f>
        <v>公共配套设施</v>
      </c>
      <c r="R27" s="750" t="s">
        <v>25</v>
      </c>
      <c r="S27" s="751">
        <f>F27</f>
        <v>100</v>
      </c>
      <c r="T27" s="750" t="s">
        <v>25</v>
      </c>
      <c r="U27" s="751">
        <f>H27</f>
        <v>100</v>
      </c>
      <c r="V27" s="750" t="s">
        <v>25</v>
      </c>
      <c r="W27" s="751">
        <f>J27</f>
        <v>100</v>
      </c>
      <c r="X27" s="1906"/>
      <c r="Y27" s="305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3"/>
      <c r="Q28" s="1905"/>
      <c r="R28" s="754"/>
      <c r="S28" s="755"/>
      <c r="T28" s="754"/>
      <c r="U28" s="755"/>
      <c r="V28" s="754"/>
      <c r="W28" s="755"/>
      <c r="X28" s="1906"/>
      <c r="Y28" s="3053"/>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3"/>
      <c r="Q29" s="1893" t="str">
        <f t="shared" si="8"/>
        <v>基础设施水平</v>
      </c>
      <c r="R29" s="750" t="s">
        <v>25</v>
      </c>
      <c r="S29" s="751">
        <f>F29</f>
        <v>100</v>
      </c>
      <c r="T29" s="750" t="s">
        <v>25</v>
      </c>
      <c r="U29" s="751">
        <f>H29</f>
        <v>100</v>
      </c>
      <c r="V29" s="750" t="s">
        <v>25</v>
      </c>
      <c r="W29" s="751">
        <f>J29</f>
        <v>100</v>
      </c>
      <c r="X29" s="752"/>
      <c r="Y29" s="305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3"/>
      <c r="Q30" s="1893"/>
      <c r="R30" s="750"/>
      <c r="S30" s="751"/>
      <c r="T30" s="750"/>
      <c r="U30" s="751"/>
      <c r="V30" s="750"/>
      <c r="W30" s="751"/>
      <c r="X30" s="752"/>
      <c r="Y30" s="305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3"/>
      <c r="Q32" s="1905" t="str">
        <f t="shared" si="8"/>
        <v>毗邻道路的类型与等级</v>
      </c>
      <c r="R32" s="754" t="s">
        <v>25</v>
      </c>
      <c r="S32" s="755">
        <f t="shared" si="10"/>
        <v>100</v>
      </c>
      <c r="T32" s="754" t="s">
        <v>25</v>
      </c>
      <c r="U32" s="755">
        <f t="shared" si="11"/>
        <v>100</v>
      </c>
      <c r="V32" s="754" t="s">
        <v>25</v>
      </c>
      <c r="W32" s="755">
        <f t="shared" si="12"/>
        <v>100</v>
      </c>
      <c r="X32" s="1906"/>
      <c r="Y32" s="305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3"/>
      <c r="Q33" s="1905"/>
      <c r="R33" s="754"/>
      <c r="S33" s="755"/>
      <c r="T33" s="754"/>
      <c r="U33" s="755"/>
      <c r="V33" s="754"/>
      <c r="W33" s="755"/>
      <c r="X33" s="1906"/>
      <c r="Y33" s="305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3"/>
      <c r="Q34" s="1905" t="str">
        <f t="shared" si="8"/>
        <v>土地级别</v>
      </c>
      <c r="R34" s="754" t="s">
        <v>25</v>
      </c>
      <c r="S34" s="755">
        <f t="shared" si="10"/>
        <v>100</v>
      </c>
      <c r="T34" s="754" t="s">
        <v>25</v>
      </c>
      <c r="U34" s="755">
        <f t="shared" si="11"/>
        <v>100</v>
      </c>
      <c r="V34" s="754" t="s">
        <v>25</v>
      </c>
      <c r="W34" s="755">
        <f t="shared" si="12"/>
        <v>100</v>
      </c>
      <c r="X34" s="1906"/>
      <c r="Y34" s="305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3"/>
      <c r="Q35" s="1905">
        <f t="shared" si="8"/>
        <v>111</v>
      </c>
      <c r="R35" s="754" t="s">
        <v>25</v>
      </c>
      <c r="S35" s="755">
        <f t="shared" si="10"/>
        <v>100</v>
      </c>
      <c r="T35" s="754" t="s">
        <v>25</v>
      </c>
      <c r="U35" s="755">
        <f t="shared" si="11"/>
        <v>100</v>
      </c>
      <c r="V35" s="754" t="s">
        <v>25</v>
      </c>
      <c r="W35" s="755">
        <f t="shared" si="12"/>
        <v>100</v>
      </c>
      <c r="X35" s="1906"/>
      <c r="Y35" s="305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5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7"/>
      <c r="Q37" s="1905">
        <f t="shared" si="8"/>
        <v>111</v>
      </c>
      <c r="R37" s="757" t="s">
        <v>25</v>
      </c>
      <c r="S37" s="758">
        <f t="shared" si="10"/>
        <v>100</v>
      </c>
      <c r="T37" s="757" t="s">
        <v>25</v>
      </c>
      <c r="U37" s="758">
        <f t="shared" si="11"/>
        <v>100</v>
      </c>
      <c r="V37" s="757" t="s">
        <v>25</v>
      </c>
      <c r="W37" s="758">
        <f t="shared" si="12"/>
        <v>100</v>
      </c>
      <c r="X37" s="759"/>
      <c r="Y37" s="305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7"/>
      <c r="Q38" s="1905" t="str">
        <f>B38</f>
        <v>宗地面积</v>
      </c>
      <c r="R38" s="754" t="s">
        <v>25</v>
      </c>
      <c r="S38" s="755" t="e">
        <f t="shared" si="10"/>
        <v>#N/A</v>
      </c>
      <c r="T38" s="754" t="s">
        <v>25</v>
      </c>
      <c r="U38" s="755" t="e">
        <f t="shared" si="11"/>
        <v>#N/A</v>
      </c>
      <c r="V38" s="754" t="s">
        <v>25</v>
      </c>
      <c r="W38" s="755" t="e">
        <f t="shared" si="12"/>
        <v>#N/A</v>
      </c>
      <c r="X38" s="1906"/>
      <c r="Y38" s="305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7"/>
      <c r="Q39" s="1905" t="str">
        <f t="shared" ref="Q39:Q45" si="14">B39</f>
        <v>宗地形状</v>
      </c>
      <c r="R39" s="754" t="s">
        <v>25</v>
      </c>
      <c r="S39" s="755">
        <f t="shared" si="10"/>
        <v>100</v>
      </c>
      <c r="T39" s="754" t="s">
        <v>25</v>
      </c>
      <c r="U39" s="755">
        <f t="shared" si="11"/>
        <v>100</v>
      </c>
      <c r="V39" s="754" t="s">
        <v>25</v>
      </c>
      <c r="W39" s="755">
        <f t="shared" si="12"/>
        <v>100</v>
      </c>
      <c r="X39" s="1906"/>
      <c r="Y39" s="305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7"/>
      <c r="Q40" s="1905" t="str">
        <f t="shared" si="14"/>
        <v>临街宽度及深度</v>
      </c>
      <c r="R40" s="754" t="s">
        <v>25</v>
      </c>
      <c r="S40" s="755">
        <f t="shared" si="10"/>
        <v>100</v>
      </c>
      <c r="T40" s="754" t="s">
        <v>25</v>
      </c>
      <c r="U40" s="755">
        <f t="shared" si="11"/>
        <v>100</v>
      </c>
      <c r="V40" s="754" t="s">
        <v>25</v>
      </c>
      <c r="W40" s="755">
        <f t="shared" si="12"/>
        <v>100</v>
      </c>
      <c r="X40" s="1906"/>
      <c r="Y40" s="305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7"/>
      <c r="Q41" s="1905" t="str">
        <f t="shared" si="14"/>
        <v>宗地开发程度</v>
      </c>
      <c r="R41" s="750" t="s">
        <v>25</v>
      </c>
      <c r="S41" s="751">
        <f t="shared" si="10"/>
        <v>100</v>
      </c>
      <c r="T41" s="750" t="s">
        <v>25</v>
      </c>
      <c r="U41" s="751">
        <f t="shared" si="11"/>
        <v>100</v>
      </c>
      <c r="V41" s="750" t="s">
        <v>25</v>
      </c>
      <c r="W41" s="751">
        <f t="shared" si="12"/>
        <v>100</v>
      </c>
      <c r="X41" s="752"/>
      <c r="Y41" s="305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7" t="s">
        <v>2373</v>
      </c>
      <c r="Q42" s="1905" t="str">
        <f t="shared" si="14"/>
        <v>工程地质条件</v>
      </c>
      <c r="R42" s="754" t="s">
        <v>25</v>
      </c>
      <c r="S42" s="755">
        <f t="shared" si="10"/>
        <v>100</v>
      </c>
      <c r="T42" s="754" t="s">
        <v>25</v>
      </c>
      <c r="U42" s="755">
        <f t="shared" si="11"/>
        <v>100</v>
      </c>
      <c r="V42" s="754" t="s">
        <v>25</v>
      </c>
      <c r="W42" s="755">
        <f t="shared" si="12"/>
        <v>100</v>
      </c>
      <c r="X42" s="1906"/>
      <c r="Y42" s="305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7"/>
      <c r="Q43" s="1905">
        <f t="shared" si="14"/>
        <v>111</v>
      </c>
      <c r="R43" s="754" t="s">
        <v>25</v>
      </c>
      <c r="S43" s="755">
        <f t="shared" si="10"/>
        <v>100</v>
      </c>
      <c r="T43" s="754" t="s">
        <v>25</v>
      </c>
      <c r="U43" s="755">
        <f t="shared" si="11"/>
        <v>100</v>
      </c>
      <c r="V43" s="754" t="s">
        <v>25</v>
      </c>
      <c r="W43" s="755">
        <f t="shared" si="12"/>
        <v>100</v>
      </c>
      <c r="X43" s="1906"/>
      <c r="Y43" s="305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7"/>
      <c r="Q44" s="1905">
        <f t="shared" si="14"/>
        <v>111</v>
      </c>
      <c r="R44" s="754" t="s">
        <v>25</v>
      </c>
      <c r="S44" s="755">
        <f t="shared" si="10"/>
        <v>100</v>
      </c>
      <c r="T44" s="754" t="s">
        <v>25</v>
      </c>
      <c r="U44" s="755">
        <f t="shared" si="11"/>
        <v>100</v>
      </c>
      <c r="V44" s="754" t="s">
        <v>25</v>
      </c>
      <c r="W44" s="755">
        <f t="shared" si="12"/>
        <v>100</v>
      </c>
      <c r="X44" s="1906"/>
      <c r="Y44" s="305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7"/>
      <c r="Q45" s="1905">
        <f t="shared" si="14"/>
        <v>111</v>
      </c>
      <c r="R45" s="757" t="s">
        <v>25</v>
      </c>
      <c r="S45" s="758">
        <f t="shared" si="10"/>
        <v>100</v>
      </c>
      <c r="T45" s="757" t="s">
        <v>25</v>
      </c>
      <c r="U45" s="758">
        <f t="shared" si="11"/>
        <v>100</v>
      </c>
      <c r="V45" s="757" t="s">
        <v>25</v>
      </c>
      <c r="W45" s="758">
        <f t="shared" si="12"/>
        <v>100</v>
      </c>
      <c r="X45" s="759"/>
      <c r="Y45" s="305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4" t="str">
        <f>A46</f>
        <v>成交单价</v>
      </c>
      <c r="Q46" s="3064"/>
      <c r="R46" s="3043">
        <f>E46</f>
        <v>0</v>
      </c>
      <c r="S46" s="3043"/>
      <c r="T46" s="3043">
        <f>G46</f>
        <v>0</v>
      </c>
      <c r="U46" s="3043"/>
      <c r="V46" s="3043">
        <f>I46</f>
        <v>0</v>
      </c>
      <c r="W46" s="3043"/>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4" t="str">
        <f>A47</f>
        <v>比较价值（元/平方米）</v>
      </c>
      <c r="Q47" s="3064"/>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0" t="str">
        <f>A48</f>
        <v>估价对象XX用房的比较价值（楼面单价，元/平方米）</v>
      </c>
      <c r="Q48" s="3071"/>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2018-3-1</v>
      </c>
      <c r="D68" s="1676">
        <f>EDATE(C68,-3)</f>
        <v>43070</v>
      </c>
      <c r="E68" s="1676">
        <f t="shared" ref="E68:O68" si="18">EDATE(D68,-3)</f>
        <v>42979</v>
      </c>
      <c r="F68" s="1676">
        <f t="shared" si="18"/>
        <v>42887</v>
      </c>
      <c r="G68" s="1676">
        <f t="shared" si="18"/>
        <v>42795</v>
      </c>
      <c r="H68" s="1676">
        <f t="shared" si="18"/>
        <v>42705</v>
      </c>
      <c r="I68" s="1676">
        <f t="shared" si="18"/>
        <v>42614</v>
      </c>
      <c r="J68" s="1676">
        <f t="shared" si="18"/>
        <v>42522</v>
      </c>
      <c r="K68" s="1676">
        <f t="shared" si="18"/>
        <v>42430</v>
      </c>
      <c r="L68" s="1676">
        <f t="shared" si="18"/>
        <v>42339</v>
      </c>
      <c r="M68" s="1676">
        <f t="shared" si="18"/>
        <v>42248</v>
      </c>
      <c r="N68" s="1676">
        <f t="shared" si="18"/>
        <v>42156</v>
      </c>
      <c r="O68" s="1676">
        <f t="shared" si="18"/>
        <v>42064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107</v>
      </c>
      <c r="G10" s="413"/>
      <c r="H10" s="52">
        <f>ROUND(100/'数据-取费表'!B14,0)</f>
        <v>107</v>
      </c>
      <c r="I10" s="413"/>
      <c r="J10" s="52">
        <f>ROUND(100/'数据-取费表'!B14,0)</f>
        <v>107</v>
      </c>
      <c r="K10" s="656"/>
      <c r="L10" s="1250"/>
      <c r="M10" s="1251"/>
      <c r="N10" s="1251"/>
      <c r="O10" s="1252"/>
      <c r="P10" s="3064"/>
      <c r="Q10" s="1893" t="str">
        <f t="shared" si="6"/>
        <v>土地使用年限（年）</v>
      </c>
      <c r="R10" s="750" t="s">
        <v>25</v>
      </c>
      <c r="S10" s="751">
        <f t="shared" si="0"/>
        <v>107</v>
      </c>
      <c r="T10" s="750" t="s">
        <v>25</v>
      </c>
      <c r="U10" s="751">
        <f t="shared" si="1"/>
        <v>107</v>
      </c>
      <c r="V10" s="750" t="s">
        <v>25</v>
      </c>
      <c r="W10" s="751">
        <f t="shared" si="2"/>
        <v>107</v>
      </c>
      <c r="X10" s="752"/>
      <c r="Y10" s="2875"/>
      <c r="Z10" s="23" t="str">
        <f t="shared" si="7"/>
        <v>土地使用年限（年）</v>
      </c>
      <c r="AA10" s="753">
        <f t="shared" si="3"/>
        <v>0.93457943925233644</v>
      </c>
      <c r="AB10" s="753">
        <f t="shared" si="4"/>
        <v>0.93457943925233644</v>
      </c>
      <c r="AC10" s="753">
        <f t="shared" si="5"/>
        <v>0.93457943925233644</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3"/>
      <c r="Q19" s="1905" t="str">
        <f t="shared" ref="Q19:Q33" si="8">B19</f>
        <v>区域土地利用方向</v>
      </c>
      <c r="R19" s="754" t="s">
        <v>25</v>
      </c>
      <c r="S19" s="755">
        <f>F19</f>
        <v>100</v>
      </c>
      <c r="T19" s="754" t="s">
        <v>25</v>
      </c>
      <c r="U19" s="755">
        <f>H19</f>
        <v>100</v>
      </c>
      <c r="V19" s="754" t="s">
        <v>25</v>
      </c>
      <c r="W19" s="755">
        <f>J19</f>
        <v>100</v>
      </c>
      <c r="X19" s="1906"/>
      <c r="Y19" s="305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3"/>
      <c r="Q20" s="1905"/>
      <c r="R20" s="754"/>
      <c r="S20" s="755"/>
      <c r="T20" s="754"/>
      <c r="U20" s="755"/>
      <c r="V20" s="754"/>
      <c r="W20" s="755"/>
      <c r="X20" s="1906"/>
      <c r="Y20" s="305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3"/>
      <c r="Q21" s="1905" t="str">
        <f t="shared" si="8"/>
        <v>环境状况</v>
      </c>
      <c r="R21" s="754" t="s">
        <v>25</v>
      </c>
      <c r="S21" s="755">
        <f>F21</f>
        <v>100</v>
      </c>
      <c r="T21" s="754" t="s">
        <v>25</v>
      </c>
      <c r="U21" s="755">
        <f>H21</f>
        <v>100</v>
      </c>
      <c r="V21" s="754" t="s">
        <v>25</v>
      </c>
      <c r="W21" s="755">
        <f>J21</f>
        <v>100</v>
      </c>
      <c r="X21" s="1906"/>
      <c r="Y21" s="305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3"/>
      <c r="Q23" s="1893" t="str">
        <f t="shared" si="8"/>
        <v>公共配套设施</v>
      </c>
      <c r="R23" s="750" t="s">
        <v>25</v>
      </c>
      <c r="S23" s="751">
        <f>F23</f>
        <v>100</v>
      </c>
      <c r="T23" s="750" t="s">
        <v>25</v>
      </c>
      <c r="U23" s="751">
        <f>H23</f>
        <v>100</v>
      </c>
      <c r="V23" s="750" t="s">
        <v>25</v>
      </c>
      <c r="W23" s="751">
        <f>J23</f>
        <v>100</v>
      </c>
      <c r="X23" s="752"/>
      <c r="Y23" s="305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3"/>
      <c r="Q24" s="1893"/>
      <c r="R24" s="750"/>
      <c r="S24" s="751"/>
      <c r="T24" s="750"/>
      <c r="U24" s="751"/>
      <c r="V24" s="750"/>
      <c r="W24" s="751"/>
      <c r="X24" s="752"/>
      <c r="Y24" s="305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3"/>
      <c r="Q25" s="1893" t="str">
        <f t="shared" ref="Q25" si="9">B25</f>
        <v>基础设施水平</v>
      </c>
      <c r="R25" s="750" t="s">
        <v>25</v>
      </c>
      <c r="S25" s="751">
        <f>F25</f>
        <v>100</v>
      </c>
      <c r="T25" s="750" t="s">
        <v>25</v>
      </c>
      <c r="U25" s="751">
        <f>H25</f>
        <v>100</v>
      </c>
      <c r="V25" s="750" t="s">
        <v>25</v>
      </c>
      <c r="W25" s="751">
        <f>J25</f>
        <v>100</v>
      </c>
      <c r="X25" s="752"/>
      <c r="Y25" s="305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3"/>
      <c r="Q26" s="1893"/>
      <c r="R26" s="750"/>
      <c r="S26" s="751"/>
      <c r="T26" s="750"/>
      <c r="U26" s="751"/>
      <c r="V26" s="750"/>
      <c r="W26" s="751"/>
      <c r="X26" s="752"/>
      <c r="Y26" s="305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3"/>
      <c r="Q28" s="1905" t="str">
        <f t="shared" si="8"/>
        <v>毗邻道路的类型与等级</v>
      </c>
      <c r="R28" s="754" t="s">
        <v>25</v>
      </c>
      <c r="S28" s="755">
        <f t="shared" si="10"/>
        <v>100</v>
      </c>
      <c r="T28" s="754" t="s">
        <v>25</v>
      </c>
      <c r="U28" s="755">
        <f t="shared" si="11"/>
        <v>100</v>
      </c>
      <c r="V28" s="754" t="s">
        <v>25</v>
      </c>
      <c r="W28" s="755">
        <f t="shared" si="12"/>
        <v>100</v>
      </c>
      <c r="X28" s="1906"/>
      <c r="Y28" s="305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3"/>
      <c r="Q29" s="1905"/>
      <c r="R29" s="754"/>
      <c r="S29" s="755"/>
      <c r="T29" s="754"/>
      <c r="U29" s="755"/>
      <c r="V29" s="754"/>
      <c r="W29" s="755"/>
      <c r="X29" s="1906"/>
      <c r="Y29" s="305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3"/>
      <c r="Q30" s="1905" t="str">
        <f t="shared" si="8"/>
        <v>土地级别</v>
      </c>
      <c r="R30" s="754" t="s">
        <v>25</v>
      </c>
      <c r="S30" s="755">
        <f t="shared" si="10"/>
        <v>100</v>
      </c>
      <c r="T30" s="754" t="s">
        <v>25</v>
      </c>
      <c r="U30" s="755">
        <f t="shared" si="11"/>
        <v>100</v>
      </c>
      <c r="V30" s="754" t="s">
        <v>25</v>
      </c>
      <c r="W30" s="755">
        <f t="shared" si="12"/>
        <v>100</v>
      </c>
      <c r="X30" s="1906"/>
      <c r="Y30" s="305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3"/>
      <c r="Q31" s="1905">
        <f t="shared" si="8"/>
        <v>111</v>
      </c>
      <c r="R31" s="754" t="s">
        <v>25</v>
      </c>
      <c r="S31" s="755">
        <f t="shared" si="10"/>
        <v>100</v>
      </c>
      <c r="T31" s="754" t="s">
        <v>25</v>
      </c>
      <c r="U31" s="755">
        <f t="shared" si="11"/>
        <v>100</v>
      </c>
      <c r="V31" s="754" t="s">
        <v>25</v>
      </c>
      <c r="W31" s="755">
        <f t="shared" si="12"/>
        <v>100</v>
      </c>
      <c r="X31" s="1906"/>
      <c r="Y31" s="305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5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7"/>
      <c r="Q33" s="1905">
        <f t="shared" si="8"/>
        <v>111</v>
      </c>
      <c r="R33" s="757" t="s">
        <v>25</v>
      </c>
      <c r="S33" s="758">
        <f t="shared" si="10"/>
        <v>100</v>
      </c>
      <c r="T33" s="757" t="s">
        <v>25</v>
      </c>
      <c r="U33" s="758">
        <f t="shared" si="11"/>
        <v>100</v>
      </c>
      <c r="V33" s="757" t="s">
        <v>25</v>
      </c>
      <c r="W33" s="758">
        <f t="shared" si="12"/>
        <v>100</v>
      </c>
      <c r="X33" s="759"/>
      <c r="Y33" s="305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7"/>
      <c r="Q34" s="1905" t="str">
        <f>B34</f>
        <v>宗地面积</v>
      </c>
      <c r="R34" s="754" t="s">
        <v>25</v>
      </c>
      <c r="S34" s="755" t="e">
        <f t="shared" si="10"/>
        <v>#N/A</v>
      </c>
      <c r="T34" s="754" t="s">
        <v>25</v>
      </c>
      <c r="U34" s="755" t="e">
        <f t="shared" si="11"/>
        <v>#N/A</v>
      </c>
      <c r="V34" s="754" t="s">
        <v>25</v>
      </c>
      <c r="W34" s="755" t="e">
        <f t="shared" si="12"/>
        <v>#N/A</v>
      </c>
      <c r="X34" s="1906"/>
      <c r="Y34" s="305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7"/>
      <c r="Q35" s="1905" t="str">
        <f t="shared" ref="Q35:Q40" si="14">B35</f>
        <v>宗地形状</v>
      </c>
      <c r="R35" s="754" t="s">
        <v>25</v>
      </c>
      <c r="S35" s="755">
        <f t="shared" si="10"/>
        <v>100</v>
      </c>
      <c r="T35" s="754" t="s">
        <v>25</v>
      </c>
      <c r="U35" s="755">
        <f t="shared" si="11"/>
        <v>100</v>
      </c>
      <c r="V35" s="754" t="s">
        <v>25</v>
      </c>
      <c r="W35" s="755">
        <f t="shared" si="12"/>
        <v>100</v>
      </c>
      <c r="X35" s="1906"/>
      <c r="Y35" s="305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7"/>
      <c r="Q36" s="1905" t="str">
        <f t="shared" si="14"/>
        <v>宗地开发程度</v>
      </c>
      <c r="R36" s="750" t="s">
        <v>25</v>
      </c>
      <c r="S36" s="751">
        <f t="shared" si="10"/>
        <v>100</v>
      </c>
      <c r="T36" s="750" t="s">
        <v>25</v>
      </c>
      <c r="U36" s="751">
        <f t="shared" si="11"/>
        <v>100</v>
      </c>
      <c r="V36" s="750" t="s">
        <v>25</v>
      </c>
      <c r="W36" s="751">
        <f t="shared" si="12"/>
        <v>100</v>
      </c>
      <c r="X36" s="752"/>
      <c r="Y36" s="305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7" t="s">
        <v>2373</v>
      </c>
      <c r="Q37" s="1905" t="str">
        <f t="shared" si="14"/>
        <v>工程地质条件</v>
      </c>
      <c r="R37" s="754" t="s">
        <v>25</v>
      </c>
      <c r="S37" s="755">
        <f t="shared" si="10"/>
        <v>100</v>
      </c>
      <c r="T37" s="754" t="s">
        <v>25</v>
      </c>
      <c r="U37" s="755">
        <f t="shared" si="11"/>
        <v>100</v>
      </c>
      <c r="V37" s="754" t="s">
        <v>25</v>
      </c>
      <c r="W37" s="755">
        <f t="shared" si="12"/>
        <v>100</v>
      </c>
      <c r="X37" s="1906"/>
      <c r="Y37" s="305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7"/>
      <c r="Q38" s="1905">
        <f t="shared" si="14"/>
        <v>111</v>
      </c>
      <c r="R38" s="754" t="s">
        <v>25</v>
      </c>
      <c r="S38" s="755">
        <f t="shared" si="10"/>
        <v>100</v>
      </c>
      <c r="T38" s="754" t="s">
        <v>25</v>
      </c>
      <c r="U38" s="755">
        <f t="shared" si="11"/>
        <v>100</v>
      </c>
      <c r="V38" s="754" t="s">
        <v>25</v>
      </c>
      <c r="W38" s="755">
        <f t="shared" si="12"/>
        <v>100</v>
      </c>
      <c r="X38" s="1906"/>
      <c r="Y38" s="305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7"/>
      <c r="Q39" s="1905">
        <f t="shared" si="14"/>
        <v>111</v>
      </c>
      <c r="R39" s="754" t="s">
        <v>25</v>
      </c>
      <c r="S39" s="755">
        <f t="shared" si="10"/>
        <v>100</v>
      </c>
      <c r="T39" s="754" t="s">
        <v>25</v>
      </c>
      <c r="U39" s="755">
        <f t="shared" si="11"/>
        <v>100</v>
      </c>
      <c r="V39" s="754" t="s">
        <v>25</v>
      </c>
      <c r="W39" s="755">
        <f t="shared" si="12"/>
        <v>100</v>
      </c>
      <c r="X39" s="1906"/>
      <c r="Y39" s="305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7"/>
      <c r="Q40" s="1905">
        <f t="shared" si="14"/>
        <v>111</v>
      </c>
      <c r="R40" s="757" t="s">
        <v>25</v>
      </c>
      <c r="S40" s="758">
        <f t="shared" si="10"/>
        <v>100</v>
      </c>
      <c r="T40" s="757" t="s">
        <v>25</v>
      </c>
      <c r="U40" s="758">
        <f t="shared" si="11"/>
        <v>100</v>
      </c>
      <c r="V40" s="757" t="s">
        <v>25</v>
      </c>
      <c r="W40" s="758">
        <f t="shared" si="12"/>
        <v>100</v>
      </c>
      <c r="X40" s="759"/>
      <c r="Y40" s="305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4" t="str">
        <f>A41</f>
        <v>成交单价</v>
      </c>
      <c r="Q41" s="3064"/>
      <c r="R41" s="3043">
        <f>E41</f>
        <v>0</v>
      </c>
      <c r="S41" s="3043"/>
      <c r="T41" s="3043">
        <f>G41</f>
        <v>0</v>
      </c>
      <c r="U41" s="3043"/>
      <c r="V41" s="3043">
        <f>I41</f>
        <v>0</v>
      </c>
      <c r="W41" s="3043"/>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4" t="str">
        <f>A42</f>
        <v>比较价值（元/平方米）</v>
      </c>
      <c r="Q42" s="3064"/>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0" t="str">
        <f>A43</f>
        <v>估价对象XX用房的比较价值（楼面单价，元/平方米）</v>
      </c>
      <c r="Q43" s="3071"/>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2018-3-1</v>
      </c>
      <c r="D63" s="1676">
        <f>EDATE(C63,-3)</f>
        <v>43070</v>
      </c>
      <c r="E63" s="1676">
        <f t="shared" ref="E63:O63" si="18">EDATE(D63,-3)</f>
        <v>42979</v>
      </c>
      <c r="F63" s="1676">
        <f t="shared" si="18"/>
        <v>42887</v>
      </c>
      <c r="G63" s="1676">
        <f t="shared" si="18"/>
        <v>42795</v>
      </c>
      <c r="H63" s="1676">
        <f t="shared" si="18"/>
        <v>42705</v>
      </c>
      <c r="I63" s="1676">
        <f t="shared" si="18"/>
        <v>42614</v>
      </c>
      <c r="J63" s="1676">
        <f t="shared" si="18"/>
        <v>42522</v>
      </c>
      <c r="K63" s="1676">
        <f t="shared" si="18"/>
        <v>42430</v>
      </c>
      <c r="L63" s="1676">
        <f t="shared" si="18"/>
        <v>42339</v>
      </c>
      <c r="M63" s="1676">
        <f t="shared" si="18"/>
        <v>42248</v>
      </c>
      <c r="N63" s="1676">
        <f t="shared" si="18"/>
        <v>42156</v>
      </c>
      <c r="O63" s="1676">
        <f t="shared" si="18"/>
        <v>42064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3"/>
      <c r="B4" s="3104"/>
      <c r="C4" s="3104"/>
      <c r="D4" s="3105"/>
      <c r="E4" s="3105"/>
      <c r="F4" s="3105"/>
      <c r="G4" s="3105"/>
      <c r="H4" s="3105"/>
      <c r="I4" s="3105"/>
      <c r="J4" s="310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0" t="s">
        <v>2635</v>
      </c>
      <c r="X8" s="310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7"/>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7"/>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8"/>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43160</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52.5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7"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8"/>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8"/>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9"/>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估价对象紧邻城市主干道——光华路，临近地铁1、14号线（大望路站），以估价对象为中心半径2公里范围内有30路、31路、95路、101路、112路等多条公交线路，综合评价交通便捷度较好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城市主干道——光华路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2769</v>
      </c>
      <c r="B56" s="2687" t="str">
        <f>估价对象房地状况!C20</f>
        <v>自然环境：木头公园等；人文环境：首都经济贸易大学等，综合评价环境状况较好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估价对象紧邻城市主干道——光华路，临近地铁1、14号线（大望路站），以估价对象为中心半径2公里范围内有30路、31路、95路、101路、112路等多条公交线路，综合评价交通便捷度较好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城市主干道——光华路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thickBot="1">
      <c r="A67" s="2686" t="s">
        <v>2769</v>
      </c>
      <c r="B67" s="2689" t="str">
        <f>估价对象房地状况!C20</f>
        <v>自然环境：木头公园等；人文环境：首都经济贸易大学等，综合评价环境状况较好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估价对象周边有蓝堡国际公寓、光华欣居、金地国际花园、光辉里小区等居住小区，小区规模和社区发展完善程度较好，综合评价居住社区成熟度较好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估价对象紧邻城市主干道——光华路，临近地铁1、14号线（大望路站），以估价对象为中心半径2公里范围内有30路、31路、95路、101路、112路等多条公交线路，综合评价交通便捷度较好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城市主干道——光华路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c r="A77" s="2677" t="s">
        <v>2769</v>
      </c>
      <c r="B77" s="2680" t="str">
        <f>估价对象房地状况!C20</f>
        <v>自然环境：木头公园等；人文环境：首都经济贸易大学等，综合评价环境状况较好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9" t="s">
        <v>2782</v>
      </c>
      <c r="B90" s="3089"/>
      <c r="C90" s="3089"/>
      <c r="D90" s="3089"/>
      <c r="E90" s="3089"/>
      <c r="F90" s="3089"/>
      <c r="G90" s="3089"/>
      <c r="H90" s="3089"/>
      <c r="I90" s="3089"/>
      <c r="J90" s="3089"/>
      <c r="K90" s="2694"/>
      <c r="L90" s="2694"/>
      <c r="M90" s="2694"/>
      <c r="N90" s="2694"/>
    </row>
    <row r="91" spans="1:37">
      <c r="A91" s="3091" t="s">
        <v>2783</v>
      </c>
      <c r="B91" s="3091" t="s">
        <v>2784</v>
      </c>
      <c r="C91" s="2642" t="s">
        <v>2785</v>
      </c>
      <c r="D91" s="2643"/>
      <c r="E91" s="2643"/>
      <c r="F91" s="2643"/>
      <c r="G91" s="2643"/>
      <c r="H91" s="2643"/>
      <c r="I91" s="2643"/>
      <c r="J91" s="2695"/>
      <c r="K91" s="2696"/>
      <c r="L91" s="2696"/>
      <c r="M91" s="2696"/>
      <c r="N91" s="2696"/>
    </row>
    <row r="92" spans="1:37">
      <c r="A92" s="3091"/>
      <c r="B92" s="3091"/>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2"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3"/>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3"/>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3"/>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3"/>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3"/>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3"/>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4"/>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2"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3"/>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3"/>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3"/>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3"/>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3"/>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3"/>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3"/>
      <c r="B108" s="3095"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4"/>
      <c r="B109" s="3096"/>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0" t="s">
        <v>2790</v>
      </c>
      <c r="B110" s="3090"/>
      <c r="C110" s="3090"/>
      <c r="D110" s="3090"/>
      <c r="E110" s="3090"/>
      <c r="F110" s="3090"/>
      <c r="G110" s="3090"/>
      <c r="H110" s="3090"/>
      <c r="I110" s="3090"/>
      <c r="J110" s="3090"/>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估价对象紧邻城市主干道——光华路，临近地铁1、14号线（大望路站），以估价对象为中心半径2公里范围内有30路、31路、95路、101路、112路等多条公交线路，综合评价交通便捷度较好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城市主干道——光华路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自然环境：木头公园等；人文环境：首都经济贸易大学等，综合评价环境状况较好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估价对象紧邻城市主干道——光华路，临近地铁1、14号线（大望路站），以估价对象为中心半径2公里范围内有30路、31路、95路、101路、112路等多条公交线路，综合评价交通便捷度较好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城市主干道——光华路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自然环境：木头公园等；人文环境：首都经济贸易大学等，综合评价环境状况较好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估价对象周边有蓝堡国际公寓、光华欣居、金地国际花园、光辉里小区等居住小区，小区规模和社区发展完善程度较好，综合评价居住社区成熟度较好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估价对象紧邻城市主干道——光华路，临近地铁1、14号线（大望路站），以估价对象为中心半径2公里范围内有30路、31路、95路、101路、112路等多条公交线路，综合评价交通便捷度较好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城市主干道——光华路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自然环境：木头公园等；人文环境：首都经济贸易大学等，综合评价环境状况较好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房地产</v>
      </c>
      <c r="C6" s="2769">
        <f>项目基本情况!C12</f>
        <v>134.32</v>
      </c>
      <c r="D6" s="2769"/>
      <c r="E6" s="1933"/>
    </row>
    <row r="7" spans="1:5" ht="14.25">
      <c r="A7" s="1933"/>
      <c r="B7" s="2763" t="s">
        <v>785</v>
      </c>
      <c r="C7" s="1939" t="str">
        <f>IF('数据-取费表'!B3="万元","总价（万元）","总价（元）")</f>
        <v>总价（元）</v>
      </c>
      <c r="D7" s="1940">
        <f ca="1">IF('数据-取费表'!E3="否",结果表!I102,'结果表 (1修多)'!I103)</f>
        <v>9424563</v>
      </c>
      <c r="E7" s="1933"/>
    </row>
    <row r="8" spans="1:5" ht="28.5">
      <c r="A8" s="1933"/>
      <c r="B8" s="2763"/>
      <c r="C8" s="1941" t="s">
        <v>1179</v>
      </c>
      <c r="D8" s="1942" t="str">
        <f ca="1">IF('数据-取费表'!B3="万元",NUMBERSTRING(INT(D7*10000),2)&amp;"元整",NUMBERSTRING(INT(D7),2)&amp;"元整")</f>
        <v>玖佰肆拾贰万肆仟伍佰陆拾叁元整</v>
      </c>
      <c r="E8" s="1933"/>
    </row>
    <row r="9" spans="1:5" ht="14.25">
      <c r="A9" s="1933"/>
      <c r="B9" s="2763"/>
      <c r="C9" s="1943" t="s">
        <v>1277</v>
      </c>
      <c r="D9" s="1940">
        <f ca="1">IF('数据-取费表'!E3="否",结果表!I103,'结果表 (1修多)'!I104)</f>
        <v>70165</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9424563</v>
      </c>
      <c r="E15" s="1933"/>
    </row>
    <row r="16" spans="1:5" ht="28.5">
      <c r="A16" s="1933"/>
      <c r="B16" s="2770"/>
      <c r="C16" s="1941" t="s">
        <v>1179</v>
      </c>
      <c r="D16" s="1940" t="str">
        <f ca="1">IF('数据-取费表'!B3="万元",NUMBERSTRING(INT(D15*10000),2)&amp;"元整",NUMBERSTRING(INT(D15),2)&amp;"元整")</f>
        <v>玖佰肆拾贰万肆仟伍佰陆拾叁元整</v>
      </c>
      <c r="E16" s="1933"/>
    </row>
    <row r="17" spans="1:5" ht="14.25">
      <c r="A17" s="1933"/>
      <c r="B17" s="2770"/>
      <c r="C17" s="1943" t="s">
        <v>1277</v>
      </c>
      <c r="D17" s="1940">
        <f ca="1">IF('数据-取费表'!E3="否",结果表!I111,'结果表 (1修多)'!I112)</f>
        <v>70165</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9424563</v>
      </c>
      <c r="E28" s="1933"/>
    </row>
    <row r="29" spans="1:5" ht="28.5">
      <c r="A29" s="1933"/>
      <c r="B29" s="2772"/>
      <c r="C29" s="1952" t="s">
        <v>1179</v>
      </c>
      <c r="D29" s="1953" t="str">
        <f ca="1">IF('数据-取费表'!B3="万元",NUMBERSTRING(INT(D28*10000),2)&amp;"元整",NUMBERSTRING(INT(D28),2)&amp;"元整")</f>
        <v>玖佰肆拾贰万肆仟伍佰陆拾叁元整</v>
      </c>
      <c r="E29" s="1933"/>
    </row>
    <row r="30" spans="1:5" ht="14.25">
      <c r="A30" s="1933"/>
      <c r="B30" s="2773"/>
      <c r="C30" s="1943" t="s">
        <v>1182</v>
      </c>
      <c r="D30" s="1954">
        <f ca="1">IF('数据-取费表'!E3="否",结果表!I103,'结果表 (1修多)'!I104)</f>
        <v>70165</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9424563</v>
      </c>
      <c r="E36" s="1933"/>
    </row>
    <row r="37" spans="1:5" ht="28.5">
      <c r="A37" s="1933"/>
      <c r="B37" s="2774"/>
      <c r="C37" s="1952" t="s">
        <v>1179</v>
      </c>
      <c r="D37" s="1957" t="str">
        <f ca="1">IF('数据-取费表'!B3="万元",NUMBERSTRING(INT(D36*10000),2)&amp;"元整",NUMBERSTRING(INT(D36),2)&amp;"元整")</f>
        <v>玖佰肆拾贰万肆仟伍佰陆拾叁元整</v>
      </c>
      <c r="E37" s="1933"/>
    </row>
    <row r="38" spans="1:5" ht="14.25">
      <c r="A38" s="1933"/>
      <c r="B38" s="2774"/>
      <c r="C38" s="1943" t="s">
        <v>1183</v>
      </c>
      <c r="D38" s="1954">
        <f ca="1">IF('数据-取费表'!E3="否",结果表!D113,'结果表 (1修多)'!D116)</f>
        <v>70165</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43160</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房地产</v>
      </c>
      <c r="B4" s="1050">
        <f>结果表!B121</f>
        <v>134.32</v>
      </c>
      <c r="C4" s="1050">
        <f>结果表!C121</f>
        <v>0</v>
      </c>
      <c r="D4" s="1050">
        <f ca="1">IF('数据-取费表'!E3="否",结果表!D121,'结果表 (1修多)'!D124)</f>
        <v>8727173</v>
      </c>
      <c r="E4" s="1050">
        <f ca="1">IF('数据-取费表'!E3="否",结果表!E121,'结果表 (1修多)'!E124)</f>
        <v>64973</v>
      </c>
      <c r="F4" s="1050">
        <f ca="1">IF('数据-取费表'!E3="否",结果表!F121,'结果表 (1修多)'!F124)</f>
        <v>697389</v>
      </c>
      <c r="G4" s="1050">
        <f ca="1">IF('数据-取费表'!E3="否",结果表!G121,'结果表 (1修多)'!G124)</f>
        <v>5192</v>
      </c>
      <c r="H4" s="1050">
        <f ca="1">IF('数据-取费表'!E3="否",结果表!H121,'结果表 (1修多)'!H124)</f>
        <v>9424563</v>
      </c>
      <c r="I4" s="1050">
        <f ca="1">IF('数据-取费表'!E3="否",结果表!I121,'结果表 (1修多)'!I124)</f>
        <v>70165</v>
      </c>
    </row>
    <row r="5" spans="1:9" ht="15">
      <c r="A5" s="2788" t="s">
        <v>1287</v>
      </c>
      <c r="B5" s="2788"/>
      <c r="C5" s="2788"/>
      <c r="D5" s="2786" t="str">
        <f ca="1">IF('数据-取费表'!E3="否",结果表!D122,'结果表 (1修多)'!D125)</f>
        <v>捌佰柒拾贰万柒仟壹佰柒拾叁元整</v>
      </c>
      <c r="E5" s="2786"/>
      <c r="F5" s="2786" t="str">
        <f ca="1">IF('数据-取费表'!E3="否",结果表!F122,'结果表 (1修多)'!F125)</f>
        <v>陆拾玖万柒仟叁佰捌拾玖元整</v>
      </c>
      <c r="G5" s="2786"/>
      <c r="H5" s="2786" t="str">
        <f ca="1">IF('数据-取费表'!E3="否",结果表!H122,'结果表 (1修多)'!H125)</f>
        <v>玖佰肆拾贰万肆仟伍佰陆拾叁元整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9424563</v>
      </c>
      <c r="E8" s="2787"/>
      <c r="F8" s="2787"/>
      <c r="G8" s="2787"/>
      <c r="H8" s="2787"/>
      <c r="I8" s="2787"/>
    </row>
    <row r="9" spans="1:9" ht="15">
      <c r="A9" s="2788" t="s">
        <v>1287</v>
      </c>
      <c r="B9" s="2788"/>
      <c r="C9" s="2788"/>
      <c r="D9" s="2786">
        <f ca="1">IF('数据-取费表'!E3="否",结果表!D126,'结果表 (1修多)'!D129)</f>
        <v>70165</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43185</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收益法</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2018-03-26T02:38:35Z</dcterms:modified>
</cp:coreProperties>
</file>