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Sheet1" sheetId="80" r:id="rId24"/>
    <sheet name="典型户型修正" sheetId="31"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比较法-办公 (2)" sheetId="81" state="hidden" r:id="rId40"/>
    <sheet name="比较法-办公" sheetId="34"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40" hidden="1">'比较法-办公'!$A$1:$L$50</definedName>
    <definedName name="_xlnm._FilterDatabase" localSheetId="39"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39">'比较法-办公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'比较法-办公 (2)'!$B$119:$M$119</definedName>
    <definedName name="办公层高">'比较法-办公'!$B$119:$M$119</definedName>
    <definedName name="办公朝向" localSheetId="39">'比较法-办公 (2)'!$B$91:$M$91</definedName>
    <definedName name="办公朝向">'比较法-办公'!$B$91:$M$91</definedName>
    <definedName name="办公道路级别" localSheetId="39">'比较法-办公 (2)'!$B$87:$M$87</definedName>
    <definedName name="办公道路级别">'比较法-办公'!$B$87:$M$87</definedName>
    <definedName name="办公公共部分装修" localSheetId="39">'比较法-办公 (2)'!$B$108:$M$108</definedName>
    <definedName name="办公公共部分装修">'比较法-办公'!$B$108:$M$108</definedName>
    <definedName name="办公基础设施水平" localSheetId="39">'比较法-办公 (2)'!$B$117:$M$117</definedName>
    <definedName name="办公基础设施水平">'比较法-办公'!$B$117:$M$117</definedName>
    <definedName name="办公集聚程度">定义!$M$1:$M$6</definedName>
    <definedName name="办公建筑结构" localSheetId="39">'比较法-办公 (2)'!$B$106:$M$106</definedName>
    <definedName name="办公建筑结构">'比较法-办公'!$B$106:$M$106</definedName>
    <definedName name="办公建筑类型" localSheetId="39">'比较法-办公 (2)'!$B$101:$M$101</definedName>
    <definedName name="办公建筑类型">'比较法-办公'!$B$101:$M$101</definedName>
    <definedName name="办公交易情况" localSheetId="39">'比较法-办公 (2)'!$A$62:$M$62</definedName>
    <definedName name="办公交易情况">'比较法-办公'!$A$62:$M$62</definedName>
    <definedName name="办公楼层" localSheetId="39">'比较法-办公 (2)'!$B$89:$M$89</definedName>
    <definedName name="办公楼层">'比较法-办公'!$B$89:$M$89</definedName>
    <definedName name="办公内部装修" localSheetId="39">'比较法-办公 (2)'!$B$123:$M$123</definedName>
    <definedName name="办公内部装修">'比较法-办公'!$B$123:$M$123</definedName>
    <definedName name="办公物业管理" localSheetId="39">'比较法-办公 (2)'!$B$115:$M$115</definedName>
    <definedName name="办公物业管理">'比较法-办公'!$B$115:$M$115</definedName>
    <definedName name="办公用途" localSheetId="39">'比较法-办公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39">'比较法-办公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80" l="1"/>
  <c r="U3" i="43"/>
  <c r="U2" i="43"/>
  <c r="N9" i="80"/>
  <c r="N8" i="80"/>
  <c r="M8" i="80"/>
  <c r="M9" i="80"/>
  <c r="M7" i="80"/>
  <c r="G51" i="43"/>
  <c r="G52" i="43"/>
  <c r="G53" i="43"/>
  <c r="G54" i="43"/>
  <c r="G55" i="43"/>
  <c r="G56" i="43"/>
  <c r="G57" i="43"/>
  <c r="G58" i="43"/>
  <c r="G50" i="43"/>
  <c r="F19" i="6"/>
  <c r="A3" i="3"/>
  <c r="I20" i="3"/>
  <c r="I17" i="3"/>
  <c r="I18" i="3"/>
  <c r="I19" i="3"/>
  <c r="I16" i="3"/>
  <c r="B9" i="80"/>
  <c r="L35" i="80" l="1"/>
  <c r="J49" i="15"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18" i="1"/>
  <c r="D3" i="4"/>
  <c r="D2" i="81"/>
  <c r="N20" i="1" l="1"/>
  <c r="N6" i="1" s="1"/>
  <c r="C37" i="81" s="1"/>
  <c r="E37" i="81" s="1"/>
  <c r="G37" i="81" s="1"/>
  <c r="I37" i="81" s="1"/>
  <c r="J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U38" i="81"/>
  <c r="W39" i="81"/>
  <c r="S41" i="81"/>
  <c r="U42" i="81"/>
  <c r="W43" i="81"/>
  <c r="S45" i="81"/>
  <c r="U46" i="81"/>
  <c r="W47" i="81"/>
  <c r="W33" i="81"/>
  <c r="S36" i="81"/>
  <c r="W38" i="81"/>
  <c r="S40" i="81"/>
  <c r="U41" i="81"/>
  <c r="W42" i="81"/>
  <c r="S44" i="81"/>
  <c r="U45" i="81"/>
  <c r="W46" i="81"/>
  <c r="W28" i="81"/>
  <c r="S30" i="81"/>
  <c r="U31" i="81"/>
  <c r="W32" i="81"/>
  <c r="S35" i="81"/>
  <c r="U36" i="81"/>
  <c r="S39" i="81"/>
  <c r="U40" i="81"/>
  <c r="W41" i="81"/>
  <c r="S43" i="81"/>
  <c r="U44" i="81"/>
  <c r="W45" i="81"/>
  <c r="S47" i="81"/>
  <c r="S33" i="81"/>
  <c r="U35" i="81"/>
  <c r="W36" i="81"/>
  <c r="S38" i="81"/>
  <c r="U39" i="81"/>
  <c r="W40" i="81"/>
  <c r="S42" i="81"/>
  <c r="U43" i="81"/>
  <c r="W44" i="81"/>
  <c r="S46" i="81"/>
  <c r="U47" i="81"/>
  <c r="AB28" i="79"/>
  <c r="AA28" i="79"/>
  <c r="Z28" i="79"/>
  <c r="U28" i="79"/>
  <c r="N28" i="79"/>
  <c r="M28" i="79"/>
  <c r="P28" i="79" s="1"/>
  <c r="L28" i="79"/>
  <c r="S28" i="79" s="1"/>
  <c r="I28" i="79"/>
  <c r="AD28" i="79" s="1"/>
  <c r="AC5" i="79"/>
  <c r="AB5" i="79"/>
  <c r="AA5" i="79"/>
  <c r="AD5" i="79" s="1"/>
  <c r="Z5" i="79"/>
  <c r="Y5" i="79"/>
  <c r="O5" i="79"/>
  <c r="N5" i="79"/>
  <c r="M5" i="79"/>
  <c r="P5" i="79" s="1"/>
  <c r="L5" i="79"/>
  <c r="K5" i="79"/>
  <c r="I5" i="79"/>
  <c r="AC37" i="81" l="1"/>
  <c r="W37" i="81"/>
  <c r="Y6" i="1"/>
  <c r="F37" i="81"/>
  <c r="C37" i="34"/>
  <c r="E37" i="34" s="1"/>
  <c r="G37" i="34" s="1"/>
  <c r="I37" i="34" s="1"/>
  <c r="H37" i="81"/>
  <c r="AB37" i="81" s="1"/>
  <c r="U27" i="81"/>
  <c r="AA27" i="81"/>
  <c r="W27" i="81"/>
  <c r="T28" i="79"/>
  <c r="W28" i="79" s="1"/>
  <c r="I8" i="79"/>
  <c r="S37" i="81" l="1"/>
  <c r="AA37" i="81"/>
  <c r="U37" i="81"/>
  <c r="I31" i="79"/>
  <c r="I30" i="79"/>
  <c r="N30" i="79"/>
  <c r="M30" i="79"/>
  <c r="P30" i="79" s="1"/>
  <c r="L30" i="79"/>
  <c r="N31" i="79"/>
  <c r="M31" i="79"/>
  <c r="L31" i="79"/>
  <c r="O7" i="79"/>
  <c r="N7" i="79"/>
  <c r="M7" i="79"/>
  <c r="P7" i="79" s="1"/>
  <c r="L7" i="79"/>
  <c r="K7" i="79"/>
  <c r="O8" i="79"/>
  <c r="N8" i="79"/>
  <c r="M8" i="79"/>
  <c r="P8" i="79" s="1"/>
  <c r="L8" i="79"/>
  <c r="K8" i="79"/>
  <c r="P31" i="79" l="1"/>
  <c r="G14" i="73" l="1"/>
  <c r="F14" i="73"/>
  <c r="E14" i="73"/>
  <c r="E8" i="1" l="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L104" i="3" s="1"/>
  <c r="AZ104" i="3" s="1"/>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AZ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AZ101" i="3" s="1"/>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G100" i="3" s="1"/>
  <c r="H100" i="3"/>
  <c r="BT99" i="3"/>
  <c r="BS99" i="3"/>
  <c r="BR99" i="3"/>
  <c r="BQ99" i="3"/>
  <c r="BP99" i="3"/>
  <c r="BO99" i="3"/>
  <c r="BN99" i="3"/>
  <c r="BM99" i="3"/>
  <c r="BL99" i="3" s="1"/>
  <c r="AZ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s="1"/>
  <c r="AZ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AZ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AZ96" i="3" s="1"/>
  <c r="BK96" i="3"/>
  <c r="BJ96" i="3"/>
  <c r="BI96" i="3"/>
  <c r="BH96" i="3"/>
  <c r="BG96" i="3"/>
  <c r="BF96" i="3"/>
  <c r="BE96" i="3"/>
  <c r="BD96" i="3"/>
  <c r="BC96" i="3"/>
  <c r="BB96" i="3"/>
  <c r="BA96" i="3"/>
  <c r="AX96" i="3"/>
  <c r="AW96" i="3"/>
  <c r="AV96" i="3"/>
  <c r="AC96" i="3"/>
  <c r="G96" i="3" s="1"/>
  <c r="H96" i="3"/>
  <c r="BT95" i="3"/>
  <c r="BS95" i="3"/>
  <c r="BR95" i="3"/>
  <c r="BQ95" i="3"/>
  <c r="BP95" i="3"/>
  <c r="BO95" i="3"/>
  <c r="BN95" i="3"/>
  <c r="BL95" i="3" s="1"/>
  <c r="AZ95" i="3" s="1"/>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AZ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AZ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AZ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G91" i="3" s="1"/>
  <c r="H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G90" i="3" s="1"/>
  <c r="H90" i="3"/>
  <c r="BT89" i="3"/>
  <c r="BS89" i="3"/>
  <c r="BR89" i="3"/>
  <c r="BQ89" i="3"/>
  <c r="BP89" i="3"/>
  <c r="BO89" i="3"/>
  <c r="BN89" i="3"/>
  <c r="BL89" i="3" s="1"/>
  <c r="AZ89" i="3" s="1"/>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AZ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G86" i="3" s="1"/>
  <c r="H86" i="3"/>
  <c r="BT85" i="3"/>
  <c r="BS85" i="3"/>
  <c r="BR85" i="3"/>
  <c r="BQ85" i="3"/>
  <c r="BP85" i="3"/>
  <c r="BO85" i="3"/>
  <c r="BL85" i="3" s="1"/>
  <c r="AZ85" i="3" s="1"/>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AZ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AZ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G81" i="3" s="1"/>
  <c r="H81" i="3"/>
  <c r="BT80" i="3"/>
  <c r="BS80" i="3"/>
  <c r="BR80" i="3"/>
  <c r="BQ80" i="3"/>
  <c r="BP80" i="3"/>
  <c r="BO80" i="3"/>
  <c r="BN80" i="3"/>
  <c r="BL80" i="3" s="1"/>
  <c r="AZ80" i="3" s="1"/>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G79" i="3" s="1"/>
  <c r="H79" i="3"/>
  <c r="BT78" i="3"/>
  <c r="BS78" i="3"/>
  <c r="BR78" i="3"/>
  <c r="BQ78" i="3"/>
  <c r="BP78" i="3"/>
  <c r="BO78" i="3"/>
  <c r="BN78" i="3"/>
  <c r="BL78" i="3" s="1"/>
  <c r="AZ78" i="3" s="1"/>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AZ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AZ76" i="3" s="1"/>
  <c r="BK76" i="3"/>
  <c r="BJ76" i="3"/>
  <c r="BI76" i="3"/>
  <c r="BH76" i="3"/>
  <c r="BG76" i="3"/>
  <c r="BF76" i="3"/>
  <c r="BE76" i="3"/>
  <c r="BD76" i="3"/>
  <c r="BC76" i="3"/>
  <c r="BB76" i="3"/>
  <c r="BA76" i="3"/>
  <c r="AX76" i="3"/>
  <c r="AW76" i="3"/>
  <c r="AV76" i="3"/>
  <c r="AC76" i="3"/>
  <c r="G76" i="3" s="1"/>
  <c r="H76" i="3"/>
  <c r="BT75" i="3"/>
  <c r="BS75" i="3"/>
  <c r="BR75" i="3"/>
  <c r="BQ75" i="3"/>
  <c r="BP75" i="3"/>
  <c r="BO75" i="3"/>
  <c r="BN75" i="3"/>
  <c r="BL75" i="3" s="1"/>
  <c r="AZ75" i="3" s="1"/>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G74" i="3" s="1"/>
  <c r="H74" i="3"/>
  <c r="BT73" i="3"/>
  <c r="BS73" i="3"/>
  <c r="BR73" i="3"/>
  <c r="BQ73" i="3"/>
  <c r="BP73" i="3"/>
  <c r="BO73" i="3"/>
  <c r="BN73" i="3"/>
  <c r="BL73" i="3" s="1"/>
  <c r="AZ73" i="3" s="1"/>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AZ72" i="3" s="1"/>
  <c r="BK72" i="3"/>
  <c r="BJ72" i="3"/>
  <c r="BI72" i="3"/>
  <c r="BH72" i="3"/>
  <c r="BG72" i="3"/>
  <c r="BF72" i="3"/>
  <c r="BE72" i="3"/>
  <c r="BD72" i="3"/>
  <c r="BC72" i="3"/>
  <c r="BB72" i="3"/>
  <c r="BA72" i="3"/>
  <c r="AX72" i="3"/>
  <c r="AW72" i="3"/>
  <c r="AV72" i="3"/>
  <c r="AC72" i="3"/>
  <c r="G72" i="3" s="1"/>
  <c r="H72" i="3"/>
  <c r="BT71" i="3"/>
  <c r="BS71" i="3"/>
  <c r="BR71" i="3"/>
  <c r="BQ71" i="3"/>
  <c r="BP71" i="3"/>
  <c r="BO71" i="3"/>
  <c r="BL71" i="3" s="1"/>
  <c r="AZ71" i="3" s="1"/>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AZ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G69" i="3" s="1"/>
  <c r="H69" i="3"/>
  <c r="BT68" i="3"/>
  <c r="BS68" i="3"/>
  <c r="BR68" i="3"/>
  <c r="BQ68" i="3"/>
  <c r="BP68" i="3"/>
  <c r="BO68" i="3"/>
  <c r="BN68" i="3"/>
  <c r="BL68" i="3" s="1"/>
  <c r="AZ68" i="3" s="1"/>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AZ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s="1"/>
  <c r="H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AZ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G61" i="3" s="1"/>
  <c r="H61" i="3"/>
  <c r="BT60" i="3"/>
  <c r="BS60" i="3"/>
  <c r="BR60" i="3"/>
  <c r="BQ60" i="3"/>
  <c r="BP60" i="3"/>
  <c r="BO60" i="3"/>
  <c r="BN60" i="3"/>
  <c r="BL60" i="3" s="1"/>
  <c r="AZ60" i="3" s="1"/>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AZ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G56" i="3" s="1"/>
  <c r="H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AZ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AZ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L46" i="3" s="1"/>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L43" i="3" s="1"/>
  <c r="AZ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R74" i="31"/>
  <c r="S74" i="31" s="1"/>
  <c r="R75" i="31"/>
  <c r="S75" i="31" s="1"/>
  <c r="R76" i="31"/>
  <c r="R77" i="31"/>
  <c r="S77" i="31" s="1"/>
  <c r="R78" i="31"/>
  <c r="S78" i="31" s="1"/>
  <c r="R79" i="31"/>
  <c r="R80" i="31"/>
  <c r="R81" i="3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R98" i="31"/>
  <c r="S98" i="31" s="1"/>
  <c r="R99" i="31"/>
  <c r="S99" i="31" s="1"/>
  <c r="R100" i="31"/>
  <c r="R101" i="31"/>
  <c r="S101" i="31" s="1"/>
  <c r="R102" i="31"/>
  <c r="S102" i="31" s="1"/>
  <c r="R103" i="31"/>
  <c r="S103" i="31" s="1"/>
  <c r="R104" i="31"/>
  <c r="R105" i="31"/>
  <c r="R106" i="31"/>
  <c r="S106" i="31" s="1"/>
  <c r="R107" i="31"/>
  <c r="S107" i="31" s="1"/>
  <c r="R108" i="31"/>
  <c r="R109" i="31"/>
  <c r="S109" i="31" s="1"/>
  <c r="R110" i="31"/>
  <c r="S110" i="31" s="1"/>
  <c r="R111" i="3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R138" i="31"/>
  <c r="S138" i="31" s="1"/>
  <c r="R139" i="31"/>
  <c r="S139" i="31" s="1"/>
  <c r="R140" i="31"/>
  <c r="R141" i="31"/>
  <c r="S141" i="31" s="1"/>
  <c r="R142" i="31"/>
  <c r="S142" i="31" s="1"/>
  <c r="R143" i="31"/>
  <c r="R144" i="31"/>
  <c r="R145" i="31"/>
  <c r="S145" i="31" s="1"/>
  <c r="R146" i="31"/>
  <c r="S146" i="31" s="1"/>
  <c r="R147" i="31"/>
  <c r="S147" i="31" s="1"/>
  <c r="R148" i="31"/>
  <c r="R149" i="31"/>
  <c r="S149" i="31" s="1"/>
  <c r="R150" i="31"/>
  <c r="S150" i="31" s="1"/>
  <c r="R151" i="3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R170" i="31"/>
  <c r="S170" i="31" s="1"/>
  <c r="R171" i="31"/>
  <c r="R172" i="31"/>
  <c r="R173" i="31"/>
  <c r="S173" i="31" s="1"/>
  <c r="R174" i="31"/>
  <c r="S174" i="31" s="1"/>
  <c r="R175" i="31"/>
  <c r="S175" i="31" s="1"/>
  <c r="R176" i="31"/>
  <c r="R177" i="31"/>
  <c r="S177" i="31" s="1"/>
  <c r="R178" i="31"/>
  <c r="S178" i="31" s="1"/>
  <c r="R179" i="31"/>
  <c r="R180" i="31"/>
  <c r="R181" i="31"/>
  <c r="S181" i="31" s="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S214" i="31" s="1"/>
  <c r="R215" i="31"/>
  <c r="R216" i="31"/>
  <c r="R217" i="31"/>
  <c r="R218" i="31"/>
  <c r="S218" i="31" s="1"/>
  <c r="R219" i="31"/>
  <c r="S219" i="31" s="1"/>
  <c r="R220" i="31"/>
  <c r="R221" i="31"/>
  <c r="S221" i="31" s="1"/>
  <c r="R222" i="31"/>
  <c r="S222" i="31" s="1"/>
  <c r="R223" i="31"/>
  <c r="R224" i="31"/>
  <c r="R225" i="31"/>
  <c r="S225" i="31" s="1"/>
  <c r="R226" i="31"/>
  <c r="S226" i="31" s="1"/>
  <c r="R227" i="31"/>
  <c r="S227" i="31" s="1"/>
  <c r="R228" i="31"/>
  <c r="R229" i="31"/>
  <c r="S229" i="31" s="1"/>
  <c r="R230" i="31"/>
  <c r="S230" i="31" s="1"/>
  <c r="R231" i="31"/>
  <c r="R232" i="31"/>
  <c r="R233" i="3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S429" i="31" s="1"/>
  <c r="R430" i="31"/>
  <c r="S430" i="31" s="1"/>
  <c r="R431" i="31"/>
  <c r="S431" i="31" s="1"/>
  <c r="R432" i="31"/>
  <c r="R433" i="31"/>
  <c r="S433" i="31" s="1"/>
  <c r="R434" i="31"/>
  <c r="S434" i="31" s="1"/>
  <c r="R435" i="31"/>
  <c r="S435" i="31" s="1"/>
  <c r="R436" i="31"/>
  <c r="R437" i="31"/>
  <c r="R438" i="31"/>
  <c r="S438" i="31" s="1"/>
  <c r="R439" i="31"/>
  <c r="R440" i="31"/>
  <c r="R441" i="31"/>
  <c r="S441" i="31" s="1"/>
  <c r="R442" i="31"/>
  <c r="S442" i="31" s="1"/>
  <c r="R443" i="31"/>
  <c r="S443" i="31" s="1"/>
  <c r="R444" i="31"/>
  <c r="R445" i="31"/>
  <c r="S445" i="31" s="1"/>
  <c r="R446" i="31"/>
  <c r="S446" i="31" s="1"/>
  <c r="R447" i="31"/>
  <c r="S447" i="31" s="1"/>
  <c r="R448" i="31"/>
  <c r="R449" i="31"/>
  <c r="R450" i="31"/>
  <c r="S450" i="31" s="1"/>
  <c r="R451" i="31"/>
  <c r="S451" i="31" s="1"/>
  <c r="R452" i="31"/>
  <c r="R453" i="31"/>
  <c r="S453" i="31" s="1"/>
  <c r="R454" i="31"/>
  <c r="S454" i="31" s="1"/>
  <c r="R455" i="31"/>
  <c r="R456" i="31"/>
  <c r="R457" i="31"/>
  <c r="S457" i="31" s="1"/>
  <c r="R458" i="31"/>
  <c r="S458" i="31" s="1"/>
  <c r="R459" i="31"/>
  <c r="S459" i="31" s="1"/>
  <c r="R460" i="31"/>
  <c r="R461" i="31"/>
  <c r="S461" i="31" s="1"/>
  <c r="R462" i="31"/>
  <c r="S462" i="31" s="1"/>
  <c r="R463" i="31"/>
  <c r="R464" i="31"/>
  <c r="R465" i="3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R482" i="31"/>
  <c r="S482" i="31" s="1"/>
  <c r="R483" i="3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R498" i="31"/>
  <c r="S498" i="31" s="1"/>
  <c r="R499" i="31"/>
  <c r="S499" i="31" s="1"/>
  <c r="R500" i="31"/>
  <c r="R501" i="31"/>
  <c r="S501" i="31" s="1"/>
  <c r="R502" i="31"/>
  <c r="S502" i="31" s="1"/>
  <c r="R503" i="31"/>
  <c r="R504" i="31"/>
  <c r="R505" i="31"/>
  <c r="R506" i="31"/>
  <c r="S506" i="31" s="1"/>
  <c r="R507" i="31"/>
  <c r="R508" i="31"/>
  <c r="R509" i="31"/>
  <c r="S509" i="31" s="1"/>
  <c r="R510" i="31"/>
  <c r="S510" i="31" s="1"/>
  <c r="R511" i="31"/>
  <c r="S511" i="31" s="1"/>
  <c r="R512" i="31"/>
  <c r="R513" i="31"/>
  <c r="S513" i="31" s="1"/>
  <c r="R514" i="31"/>
  <c r="S514" i="31" s="1"/>
  <c r="R515" i="31"/>
  <c r="S515" i="31" s="1"/>
  <c r="R516" i="31"/>
  <c r="R517" i="31"/>
  <c r="S517" i="31" s="1"/>
  <c r="R518" i="31"/>
  <c r="S518" i="31" s="1"/>
  <c r="R519" i="3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6" i="31"/>
  <c r="S304" i="31"/>
  <c r="S300" i="31"/>
  <c r="S296" i="31"/>
  <c r="S292" i="31"/>
  <c r="S288" i="31"/>
  <c r="S284" i="31"/>
  <c r="S280" i="31"/>
  <c r="S276" i="31"/>
  <c r="S274" i="31"/>
  <c r="S272" i="31"/>
  <c r="S268" i="31"/>
  <c r="S264" i="31"/>
  <c r="S260" i="31"/>
  <c r="S256" i="31"/>
  <c r="S252" i="31"/>
  <c r="S251" i="31"/>
  <c r="S249" i="31"/>
  <c r="S248" i="31"/>
  <c r="S244" i="31"/>
  <c r="S240" i="31"/>
  <c r="S236" i="31"/>
  <c r="S233" i="31"/>
  <c r="S232" i="31"/>
  <c r="S231" i="31"/>
  <c r="S228" i="31"/>
  <c r="S224" i="31"/>
  <c r="S223" i="31"/>
  <c r="S428" i="31"/>
  <c r="S425" i="31"/>
  <c r="S220" i="31"/>
  <c r="S217" i="31"/>
  <c r="S216" i="31"/>
  <c r="S215" i="31"/>
  <c r="S212" i="31"/>
  <c r="S208" i="31"/>
  <c r="S207" i="31"/>
  <c r="S204" i="31"/>
  <c r="S201" i="31"/>
  <c r="S200" i="31"/>
  <c r="S196" i="31"/>
  <c r="S192" i="31"/>
  <c r="S188" i="31"/>
  <c r="S185" i="31"/>
  <c r="S184" i="31"/>
  <c r="S180" i="31"/>
  <c r="S179" i="31"/>
  <c r="S176" i="31"/>
  <c r="S172" i="31"/>
  <c r="S171" i="31"/>
  <c r="S169" i="31"/>
  <c r="S168" i="31"/>
  <c r="S164" i="31"/>
  <c r="S160" i="31"/>
  <c r="S156" i="31"/>
  <c r="S153" i="31"/>
  <c r="S152" i="31"/>
  <c r="S151" i="31"/>
  <c r="S148" i="31"/>
  <c r="S144" i="31"/>
  <c r="S143" i="31"/>
  <c r="S140" i="31"/>
  <c r="S137" i="31"/>
  <c r="S136" i="31"/>
  <c r="S132" i="31"/>
  <c r="S128" i="31"/>
  <c r="S124" i="31"/>
  <c r="S497" i="31"/>
  <c r="S496" i="31"/>
  <c r="S492" i="31"/>
  <c r="S491" i="31"/>
  <c r="S488" i="31"/>
  <c r="S484" i="31"/>
  <c r="S483" i="31"/>
  <c r="S481" i="31"/>
  <c r="S480" i="31"/>
  <c r="S476" i="31"/>
  <c r="S472" i="31"/>
  <c r="S468" i="31"/>
  <c r="S444" i="31"/>
  <c r="S440" i="31"/>
  <c r="S439" i="31"/>
  <c r="S437" i="31"/>
  <c r="S436" i="31"/>
  <c r="S432" i="31"/>
  <c r="S120" i="31"/>
  <c r="S116" i="31"/>
  <c r="S112" i="31"/>
  <c r="S504" i="31"/>
  <c r="S500" i="31"/>
  <c r="S465" i="31"/>
  <c r="S464" i="31"/>
  <c r="S463" i="31"/>
  <c r="S460" i="31"/>
  <c r="S456" i="31"/>
  <c r="S455" i="31"/>
  <c r="S452" i="31"/>
  <c r="S53" i="31"/>
  <c r="S52" i="31"/>
  <c r="S48" i="31"/>
  <c r="S44" i="31"/>
  <c r="S76" i="31"/>
  <c r="S73" i="31"/>
  <c r="S72" i="31"/>
  <c r="S68" i="31"/>
  <c r="S67" i="31"/>
  <c r="S64" i="31"/>
  <c r="S60" i="31"/>
  <c r="S59" i="31"/>
  <c r="S57" i="31"/>
  <c r="S56" i="31"/>
  <c r="S97" i="31"/>
  <c r="S96" i="31"/>
  <c r="S92" i="31"/>
  <c r="S88" i="31"/>
  <c r="S84" i="31"/>
  <c r="S81" i="31"/>
  <c r="S80" i="31"/>
  <c r="S79" i="31"/>
  <c r="S100" i="31"/>
  <c r="S104" i="31"/>
  <c r="S105" i="31"/>
  <c r="S108" i="31"/>
  <c r="S111" i="31"/>
  <c r="S448" i="31"/>
  <c r="S449" i="31"/>
  <c r="S507"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9"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9" i="3"/>
  <c r="AZ136" i="3"/>
  <c r="AZ144" i="3"/>
  <c r="AZ152" i="3"/>
  <c r="AZ160" i="3"/>
  <c r="AZ168" i="3"/>
  <c r="AZ176" i="3"/>
  <c r="AZ184" i="3"/>
  <c r="AZ192" i="3"/>
  <c r="AZ200"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Z549" i="3"/>
  <c r="AZ506" i="3"/>
  <c r="AZ496" i="3"/>
  <c r="G548" i="3"/>
  <c r="G538" i="3"/>
  <c r="G520" i="3"/>
  <c r="G502"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9" i="3"/>
  <c r="AZ7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J56" i="9"/>
  <c r="J57" i="9" s="1"/>
  <c r="J59" i="9" s="1"/>
  <c r="J61" i="9" s="1"/>
  <c r="A24" i="51"/>
  <c r="B18" i="72" s="1"/>
  <c r="U29" i="34"/>
  <c r="E5" i="6"/>
  <c r="E32" i="6"/>
  <c r="G1" i="68"/>
  <c r="K1" i="12"/>
  <c r="E19" i="69"/>
  <c r="E19" i="68"/>
  <c r="E19" i="11"/>
  <c r="G22" i="68"/>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D19" i="53"/>
  <c r="B38"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L48" i="67"/>
  <c r="F16" i="15"/>
  <c r="M22" i="67"/>
  <c r="E12" i="76"/>
  <c r="M22" i="15"/>
  <c r="F9" i="15"/>
  <c r="F38" i="15"/>
  <c r="F38" i="67"/>
  <c r="C76" i="15"/>
  <c r="F42" i="67"/>
  <c r="J15" i="15"/>
  <c r="E9" i="76"/>
  <c r="B9" i="76"/>
  <c r="F7" i="67"/>
  <c r="F9" i="67"/>
  <c r="E7" i="76"/>
  <c r="E2" i="69"/>
  <c r="B13" i="76"/>
  <c r="L47" i="15"/>
  <c r="M28" i="67"/>
  <c r="F43" i="67"/>
  <c r="F37" i="67"/>
  <c r="M29" i="67"/>
  <c r="M23" i="67"/>
  <c r="F16" i="67"/>
  <c r="M9" i="15"/>
  <c r="B8" i="76"/>
  <c r="E8" i="76"/>
  <c r="F5" i="73"/>
  <c r="E10" i="76"/>
  <c r="L47" i="67"/>
  <c r="M24" i="15"/>
  <c r="B7" i="76"/>
  <c r="F8" i="67"/>
  <c r="F36" i="67"/>
  <c r="M6" i="67"/>
  <c r="M24" i="67"/>
  <c r="L48" i="15"/>
  <c r="M23" i="15"/>
  <c r="F37" i="15"/>
  <c r="M26" i="67"/>
  <c r="F40" i="67"/>
  <c r="F6" i="73"/>
  <c r="F20" i="31"/>
  <c r="F6" i="15"/>
  <c r="M28" i="15"/>
  <c r="F4" i="73"/>
  <c r="F8" i="15"/>
  <c r="B12" i="76"/>
  <c r="B11" i="76"/>
  <c r="B10" i="76"/>
  <c r="F6" i="67"/>
  <c r="F40" i="15"/>
  <c r="F13" i="67"/>
  <c r="E11" i="76"/>
  <c r="F42" i="15"/>
  <c r="M9" i="67"/>
  <c r="E13" i="76"/>
  <c r="F3" i="73"/>
  <c r="M6" i="15"/>
  <c r="J15" i="67"/>
  <c r="F26" i="67"/>
  <c r="F36" i="15"/>
  <c r="AO13" i="1"/>
  <c r="E2" i="68"/>
  <c r="C76" i="67"/>
  <c r="M26" i="15"/>
  <c r="M8" i="67"/>
  <c r="M8" i="15"/>
  <c r="F26" i="15"/>
  <c r="F13" i="15"/>
  <c r="C18" i="9" l="1"/>
  <c r="D18" i="9" s="1"/>
  <c r="D1" i="43"/>
  <c r="C34" i="81"/>
  <c r="C34" i="34"/>
  <c r="E19" i="6"/>
  <c r="BP5" i="3"/>
  <c r="BL16" i="3"/>
  <c r="BL17" i="3"/>
  <c r="BL14" i="3"/>
  <c r="BT5" i="3"/>
  <c r="BS5" i="3"/>
  <c r="BQ5" i="3"/>
  <c r="F28" i="6" s="1"/>
  <c r="H69" i="43"/>
  <c r="K85" i="43"/>
  <c r="D85" i="43" s="1"/>
  <c r="G22" i="69"/>
  <c r="G22" i="11"/>
  <c r="E1" i="73"/>
  <c r="G26" i="12"/>
  <c r="BA17" i="3"/>
  <c r="BA15" i="3"/>
  <c r="H5" i="3"/>
  <c r="G17" i="3"/>
  <c r="G15" i="3"/>
  <c r="G13" i="3"/>
  <c r="G18" i="3"/>
  <c r="G26" i="3"/>
  <c r="BA21" i="3"/>
  <c r="BA36" i="3"/>
  <c r="AZ36" i="3" s="1"/>
  <c r="G24" i="3"/>
  <c r="G35" i="3"/>
  <c r="BO5" i="3"/>
  <c r="BR5" i="3"/>
  <c r="BM5" i="3"/>
  <c r="BA19" i="3"/>
  <c r="BA29" i="3"/>
  <c r="BA38" i="3"/>
  <c r="BA39" i="3"/>
  <c r="AZ39" i="3" s="1"/>
  <c r="BA41" i="3"/>
  <c r="AZ41" i="3" s="1"/>
  <c r="BA26" i="3"/>
  <c r="BL18" i="3"/>
  <c r="BA33" i="3"/>
  <c r="AZ33" i="3" s="1"/>
  <c r="G29" i="6"/>
  <c r="AZ44" i="3"/>
  <c r="AZ49" i="3"/>
  <c r="AZ52" i="3"/>
  <c r="AZ53" i="3"/>
  <c r="BL13" i="3"/>
  <c r="BL35" i="3"/>
  <c r="G43" i="3"/>
  <c r="AZ46" i="3"/>
  <c r="AZ48" i="3"/>
  <c r="G51" i="3"/>
  <c r="AC5" i="3"/>
  <c r="AZ16" i="3"/>
  <c r="BL20" i="3"/>
  <c r="BL21" i="3"/>
  <c r="AZ21" i="3" s="1"/>
  <c r="BL26" i="3"/>
  <c r="AZ42" i="3"/>
  <c r="AZ50" i="3"/>
  <c r="AZ14" i="3"/>
  <c r="G20" i="3"/>
  <c r="BL23" i="3"/>
  <c r="G39" i="3"/>
  <c r="G45" i="3"/>
  <c r="AZ47" i="3"/>
  <c r="G53" i="3"/>
  <c r="BL22" i="3"/>
  <c r="BL25" i="3"/>
  <c r="BL32" i="3"/>
  <c r="G33" i="3"/>
  <c r="BL34" i="3"/>
  <c r="BL36" i="3"/>
  <c r="AZ38" i="3"/>
  <c r="BL41" i="3"/>
  <c r="G19" i="3"/>
  <c r="BL19" i="3"/>
  <c r="BL30" i="3"/>
  <c r="G31" i="3"/>
  <c r="BL31" i="3"/>
  <c r="AZ31" i="3" s="1"/>
  <c r="G32" i="3"/>
  <c r="BL40" i="3"/>
  <c r="G41" i="3"/>
  <c r="G14" i="3"/>
  <c r="BL15" i="3"/>
  <c r="G22" i="3"/>
  <c r="BL24" i="3"/>
  <c r="BL27" i="3"/>
  <c r="G29" i="3"/>
  <c r="BL29" i="3"/>
  <c r="AZ29" i="3" s="1"/>
  <c r="BL33" i="3"/>
  <c r="BL37" i="3"/>
  <c r="G38" i="3"/>
  <c r="BL39" i="3"/>
  <c r="BA20" i="3"/>
  <c r="BA22" i="3"/>
  <c r="AZ22" i="3" s="1"/>
  <c r="BA24" i="3"/>
  <c r="AZ24" i="3" s="1"/>
  <c r="BA32" i="3"/>
  <c r="BA34" i="3"/>
  <c r="AZ34" i="3" s="1"/>
  <c r="BA35" i="3"/>
  <c r="AZ35" i="3" s="1"/>
  <c r="BA40" i="3"/>
  <c r="AZ40" i="3" s="1"/>
  <c r="BA23" i="3"/>
  <c r="BA25" i="3"/>
  <c r="BA27" i="3"/>
  <c r="AZ27" i="3" s="1"/>
  <c r="BA18" i="3"/>
  <c r="BA28" i="3"/>
  <c r="AZ28" i="3" s="1"/>
  <c r="BA30" i="3"/>
  <c r="AZ30" i="3" s="1"/>
  <c r="BA37" i="3"/>
  <c r="AZ25" i="3"/>
  <c r="D21" i="53"/>
  <c r="B39" i="72" s="1"/>
  <c r="C7" i="34"/>
  <c r="C7" i="81"/>
  <c r="C59" i="81" s="1"/>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AA33" i="34"/>
  <c r="AB33" i="34"/>
  <c r="W33" i="34"/>
  <c r="U27" i="34"/>
  <c r="AA25" i="34"/>
  <c r="U25" i="34"/>
  <c r="W25" i="34"/>
  <c r="W8" i="34"/>
  <c r="M18" i="15"/>
  <c r="M18" i="67"/>
  <c r="F30" i="11"/>
  <c r="C48" i="11" s="1"/>
  <c r="F28" i="15"/>
  <c r="F28" i="67"/>
  <c r="F32" i="67"/>
  <c r="F60" i="67" s="1"/>
  <c r="F54" i="9"/>
  <c r="F32" i="15"/>
  <c r="F60" i="15" s="1"/>
  <c r="F52" i="9"/>
  <c r="F30" i="68"/>
  <c r="F48" i="68" s="1"/>
  <c r="D68" i="9"/>
  <c r="F30" i="69"/>
  <c r="F48" i="69" s="1"/>
  <c r="F31" i="12"/>
  <c r="C31" i="12" s="1"/>
  <c r="C40" i="69"/>
  <c r="C40" i="68"/>
  <c r="C21" i="68"/>
  <c r="BB5" i="3"/>
  <c r="E8" i="6" s="1"/>
  <c r="F27" i="6" s="1"/>
  <c r="BA13" i="3"/>
  <c r="AZ13" i="3" s="1"/>
  <c r="G23" i="43"/>
  <c r="C23" i="43" s="1"/>
  <c r="C7" i="37"/>
  <c r="C52" i="37" s="1"/>
  <c r="D52" i="37" s="1"/>
  <c r="C7" i="33"/>
  <c r="C58" i="33" s="1"/>
  <c r="D58" i="33" s="1"/>
  <c r="E58" i="33" s="1"/>
  <c r="F58" i="33" s="1"/>
  <c r="G58" i="33" s="1"/>
  <c r="H58" i="33" s="1"/>
  <c r="I58" i="33" s="1"/>
  <c r="J58" i="33" s="1"/>
  <c r="K58" i="33" s="1"/>
  <c r="L58" i="33" s="1"/>
  <c r="M58" i="33" s="1"/>
  <c r="N58" i="33" s="1"/>
  <c r="O58" i="33" s="1"/>
  <c r="J1" i="73"/>
  <c r="M47" i="9"/>
  <c r="C7" i="35"/>
  <c r="C48" i="35" s="1"/>
  <c r="D48" i="35" s="1"/>
  <c r="C7" i="40"/>
  <c r="C63" i="40" s="1"/>
  <c r="D63" i="40" s="1"/>
  <c r="C7" i="39"/>
  <c r="C67" i="39" s="1"/>
  <c r="C69" i="39" s="1"/>
  <c r="C42" i="1"/>
  <c r="C24" i="12" s="1"/>
  <c r="C7" i="36"/>
  <c r="C46" i="36" s="1"/>
  <c r="D46" i="36" s="1"/>
  <c r="E46" i="36" s="1"/>
  <c r="F46" i="36" s="1"/>
  <c r="G46" i="36" s="1"/>
  <c r="H46" i="36" s="1"/>
  <c r="I46" i="36" s="1"/>
  <c r="C7" i="21"/>
  <c r="C58" i="21" s="1"/>
  <c r="D58" i="21" s="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L19" i="6"/>
  <c r="L27" i="6"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30" i="68"/>
  <c r="C77" i="9"/>
  <c r="C74" i="9" s="1"/>
  <c r="C30" i="11"/>
  <c r="C21" i="69"/>
  <c r="J85" i="43"/>
  <c r="D83"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6" i="73"/>
  <c r="D4" i="73"/>
  <c r="C16" i="67"/>
  <c r="D7" i="73"/>
  <c r="D5" i="73"/>
  <c r="D3" i="73"/>
  <c r="W37" i="34" l="1"/>
  <c r="D3" i="81"/>
  <c r="K6" i="1"/>
  <c r="G16" i="1" s="1"/>
  <c r="B14" i="74"/>
  <c r="J34" i="34"/>
  <c r="H34" i="34"/>
  <c r="F34" i="34"/>
  <c r="H34" i="81"/>
  <c r="J34" i="81"/>
  <c r="F34" i="81"/>
  <c r="AZ17" i="3"/>
  <c r="AZ15" i="3"/>
  <c r="AZ20" i="3"/>
  <c r="F29" i="6"/>
  <c r="E29" i="6" s="1"/>
  <c r="K15" i="1" s="1"/>
  <c r="G28" i="6"/>
  <c r="G30" i="6" s="1"/>
  <c r="G31" i="6" s="1"/>
  <c r="E12" i="6"/>
  <c r="E57" i="40" s="1"/>
  <c r="M87" i="43"/>
  <c r="N87" i="43" s="1"/>
  <c r="K87" i="43"/>
  <c r="M83" i="43"/>
  <c r="N83" i="43" s="1"/>
  <c r="K83" i="43"/>
  <c r="J83" i="43" s="1"/>
  <c r="M84" i="43"/>
  <c r="N84" i="43" s="1"/>
  <c r="K84" i="43"/>
  <c r="M86" i="43"/>
  <c r="N86" i="43" s="1"/>
  <c r="K86" i="43"/>
  <c r="M88" i="43"/>
  <c r="N88" i="43" s="1"/>
  <c r="K88" i="43"/>
  <c r="M90" i="43"/>
  <c r="N90" i="43" s="1"/>
  <c r="K90" i="43"/>
  <c r="M89" i="43"/>
  <c r="N89" i="43" s="1"/>
  <c r="K89" i="43"/>
  <c r="AB37" i="34"/>
  <c r="AZ18" i="3"/>
  <c r="AZ19" i="3"/>
  <c r="F30" i="6"/>
  <c r="E13" i="6"/>
  <c r="E58" i="40" s="1"/>
  <c r="E11" i="6"/>
  <c r="E60" i="39" s="1"/>
  <c r="E15" i="6"/>
  <c r="E64" i="39" s="1"/>
  <c r="N94" i="46"/>
  <c r="N370" i="46"/>
  <c r="J26" i="43"/>
  <c r="E14" i="6"/>
  <c r="E10" i="6"/>
  <c r="AZ26" i="3"/>
  <c r="G5" i="3"/>
  <c r="B3" i="3" s="1"/>
  <c r="E551" i="3" s="1"/>
  <c r="BA5" i="3"/>
  <c r="E27" i="6" s="1"/>
  <c r="BL5" i="3"/>
  <c r="AZ23" i="3"/>
  <c r="AZ37" i="3"/>
  <c r="AZ32" i="3"/>
  <c r="G26" i="43"/>
  <c r="E26" i="43"/>
  <c r="H26" i="43"/>
  <c r="C65" i="40"/>
  <c r="D59" i="81"/>
  <c r="E59" i="81" s="1"/>
  <c r="F59" i="81" s="1"/>
  <c r="G59" i="81" s="1"/>
  <c r="H59" i="81" s="1"/>
  <c r="I59" i="81" s="1"/>
  <c r="J59" i="81" s="1"/>
  <c r="K59" i="81" s="1"/>
  <c r="L59" i="81" s="1"/>
  <c r="M59" i="81" s="1"/>
  <c r="N59" i="81" s="1"/>
  <c r="O59" i="81" s="1"/>
  <c r="J7" i="81"/>
  <c r="F7" i="81"/>
  <c r="C28" i="15"/>
  <c r="S37" i="34"/>
  <c r="S27" i="34"/>
  <c r="AC27" i="34"/>
  <c r="W27" i="34"/>
  <c r="U9" i="34"/>
  <c r="AB9" i="34"/>
  <c r="C30" i="69"/>
  <c r="C48" i="69"/>
  <c r="C48" i="68"/>
  <c r="C28" i="67"/>
  <c r="P6" i="1"/>
  <c r="C13" i="12" s="1"/>
  <c r="E28" i="6"/>
  <c r="K14" i="1" s="1"/>
  <c r="K16" i="1" s="1"/>
  <c r="D18" i="53"/>
  <c r="B35" i="72" s="1"/>
  <c r="C7" i="74"/>
  <c r="K1" i="73"/>
  <c r="H7" i="36"/>
  <c r="D67" i="39"/>
  <c r="D69" i="39" s="1"/>
  <c r="J7" i="37"/>
  <c r="AC7" i="37" s="1"/>
  <c r="V42" i="37" s="1"/>
  <c r="I42" i="37" s="1"/>
  <c r="E61" i="43"/>
  <c r="B59" i="43" s="1"/>
  <c r="B116" i="43"/>
  <c r="Z7" i="43"/>
  <c r="E56" i="39"/>
  <c r="H7" i="34"/>
  <c r="AB7" i="34" s="1"/>
  <c r="E67" i="39"/>
  <c r="F67" i="39" s="1"/>
  <c r="J7" i="34"/>
  <c r="W7" i="34" s="1"/>
  <c r="F7" i="34"/>
  <c r="S7" i="34" s="1"/>
  <c r="AA26" i="35"/>
  <c r="S26" i="35"/>
  <c r="AC26" i="35"/>
  <c r="W26" i="35"/>
  <c r="AB26" i="35"/>
  <c r="U26" i="35"/>
  <c r="C9" i="69"/>
  <c r="C9" i="68"/>
  <c r="E72" i="43"/>
  <c r="B70" i="43" s="1"/>
  <c r="F31" i="6"/>
  <c r="E51" i="40"/>
  <c r="D5" i="43"/>
  <c r="C7" i="43"/>
  <c r="C5" i="43" s="1"/>
  <c r="D10" i="52"/>
  <c r="D125" i="9"/>
  <c r="D11" i="52" s="1"/>
  <c r="B7" i="74"/>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43" i="15"/>
  <c r="M29" i="15"/>
  <c r="F7" i="15"/>
  <c r="F41" i="67"/>
  <c r="AE6" i="1"/>
  <c r="G1" i="73"/>
  <c r="E61" i="39" l="1"/>
  <c r="E60" i="40"/>
  <c r="E56" i="40"/>
  <c r="F50" i="15"/>
  <c r="C49" i="15" s="1"/>
  <c r="M7" i="15"/>
  <c r="J6" i="15" s="1"/>
  <c r="J18" i="15" s="1"/>
  <c r="C6" i="15"/>
  <c r="C32" i="15" s="1"/>
  <c r="F71" i="15"/>
  <c r="F10" i="39"/>
  <c r="J10" i="40"/>
  <c r="AC10" i="40" s="1"/>
  <c r="H10" i="40"/>
  <c r="AB10" i="40" s="1"/>
  <c r="H10" i="39"/>
  <c r="U10" i="39" s="1"/>
  <c r="F10" i="40"/>
  <c r="S10" i="40" s="1"/>
  <c r="J10" i="39"/>
  <c r="W10" i="39" s="1"/>
  <c r="AB34" i="81"/>
  <c r="U34" i="81"/>
  <c r="AC34" i="34"/>
  <c r="W34" i="34"/>
  <c r="AA34" i="81"/>
  <c r="S34" i="81"/>
  <c r="AA34" i="34"/>
  <c r="S34" i="34"/>
  <c r="AP6" i="1"/>
  <c r="C36" i="69" s="1"/>
  <c r="M6" i="1"/>
  <c r="Q16" i="1"/>
  <c r="H16" i="1"/>
  <c r="AC34" i="81"/>
  <c r="W34" i="81"/>
  <c r="AB34" i="34"/>
  <c r="T49" i="34" s="1"/>
  <c r="G49" i="34" s="1"/>
  <c r="G53" i="34" s="1"/>
  <c r="H53" i="34" s="1"/>
  <c r="U34" i="34"/>
  <c r="D90" i="43"/>
  <c r="J90" i="43"/>
  <c r="D86" i="43"/>
  <c r="J86" i="43"/>
  <c r="D89" i="43"/>
  <c r="J89" i="43"/>
  <c r="J88" i="43"/>
  <c r="D88" i="43" s="1"/>
  <c r="D84" i="43"/>
  <c r="J84" i="43"/>
  <c r="D87" i="43"/>
  <c r="J87" i="43"/>
  <c r="E16" i="6"/>
  <c r="E62" i="39"/>
  <c r="D26" i="43"/>
  <c r="C25" i="43" s="1"/>
  <c r="E199" i="3"/>
  <c r="E435" i="3"/>
  <c r="E310" i="3"/>
  <c r="E40" i="3"/>
  <c r="E308" i="3"/>
  <c r="E373" i="3"/>
  <c r="E115" i="3"/>
  <c r="E556" i="3"/>
  <c r="E140" i="3"/>
  <c r="E324" i="3"/>
  <c r="E552" i="3"/>
  <c r="E255" i="3"/>
  <c r="E498" i="3"/>
  <c r="E73" i="3"/>
  <c r="E364" i="3"/>
  <c r="E355" i="3"/>
  <c r="E414" i="3"/>
  <c r="E267" i="3"/>
  <c r="E442" i="3"/>
  <c r="R6" i="3"/>
  <c r="E56" i="3"/>
  <c r="E484" i="3"/>
  <c r="E233" i="3"/>
  <c r="E507" i="3"/>
  <c r="E119" i="3"/>
  <c r="E51" i="3"/>
  <c r="E225" i="3"/>
  <c r="E87" i="3"/>
  <c r="E375" i="3"/>
  <c r="E113" i="3"/>
  <c r="E13" i="3"/>
  <c r="E78" i="3"/>
  <c r="E464" i="3"/>
  <c r="E428" i="3"/>
  <c r="E287" i="3"/>
  <c r="E391" i="3"/>
  <c r="E82" i="3"/>
  <c r="E248" i="3"/>
  <c r="E198" i="3"/>
  <c r="E525" i="3"/>
  <c r="E517" i="3"/>
  <c r="E300" i="3"/>
  <c r="E463" i="3"/>
  <c r="AG6" i="3"/>
  <c r="AE6" i="3"/>
  <c r="E500" i="3"/>
  <c r="E170" i="3"/>
  <c r="E157" i="3"/>
  <c r="E112" i="3"/>
  <c r="E553" i="3"/>
  <c r="E269" i="3"/>
  <c r="E374" i="3"/>
  <c r="S6" i="3"/>
  <c r="E201" i="3"/>
  <c r="E148" i="3"/>
  <c r="E240" i="3"/>
  <c r="E106" i="3"/>
  <c r="E204" i="3"/>
  <c r="E182" i="3"/>
  <c r="E305" i="3"/>
  <c r="E229" i="3"/>
  <c r="E407" i="3"/>
  <c r="E114" i="3"/>
  <c r="E117" i="3"/>
  <c r="E518" i="3"/>
  <c r="E467" i="3"/>
  <c r="E354" i="3"/>
  <c r="W6" i="3"/>
  <c r="E93" i="3"/>
  <c r="E367" i="3"/>
  <c r="E554" i="3"/>
  <c r="E138" i="3"/>
  <c r="E465" i="3"/>
  <c r="E227" i="3"/>
  <c r="E557" i="3"/>
  <c r="E109" i="3"/>
  <c r="E579" i="3"/>
  <c r="E311" i="3"/>
  <c r="AB6" i="3"/>
  <c r="E189" i="3"/>
  <c r="E172" i="3"/>
  <c r="E135" i="3"/>
  <c r="AI6" i="3"/>
  <c r="E231" i="3"/>
  <c r="E325" i="3"/>
  <c r="E312" i="3"/>
  <c r="E288" i="3"/>
  <c r="E257" i="3"/>
  <c r="E379" i="3"/>
  <c r="E546" i="3"/>
  <c r="E29" i="3"/>
  <c r="E508" i="3"/>
  <c r="E285" i="3"/>
  <c r="E523" i="3"/>
  <c r="E321" i="3"/>
  <c r="E304" i="3"/>
  <c r="E302" i="3"/>
  <c r="E303" i="3"/>
  <c r="E280" i="3"/>
  <c r="E322" i="3"/>
  <c r="E337" i="3"/>
  <c r="AR6" i="3"/>
  <c r="E380" i="3"/>
  <c r="E528" i="3"/>
  <c r="E350" i="3"/>
  <c r="E301" i="3"/>
  <c r="E134" i="3"/>
  <c r="E510" i="3"/>
  <c r="E37" i="3"/>
  <c r="E381" i="3"/>
  <c r="E202" i="3"/>
  <c r="E339" i="3"/>
  <c r="E218" i="3"/>
  <c r="E513" i="3"/>
  <c r="E462" i="3"/>
  <c r="E542" i="3"/>
  <c r="E314" i="3"/>
  <c r="E193" i="3"/>
  <c r="E527" i="3"/>
  <c r="E450" i="3"/>
  <c r="E150" i="3"/>
  <c r="E31" i="3"/>
  <c r="E271" i="3"/>
  <c r="E478" i="3"/>
  <c r="AS6" i="3"/>
  <c r="E162" i="3"/>
  <c r="E384" i="3"/>
  <c r="E366" i="3"/>
  <c r="E239" i="3"/>
  <c r="E491" i="3"/>
  <c r="E492" i="3"/>
  <c r="E25" i="3"/>
  <c r="E219" i="3"/>
  <c r="E62" i="3"/>
  <c r="E283" i="3"/>
  <c r="E98" i="3"/>
  <c r="E487" i="3"/>
  <c r="E136" i="3"/>
  <c r="E224" i="3"/>
  <c r="E575" i="3"/>
  <c r="E393" i="3"/>
  <c r="K6" i="3"/>
  <c r="E171" i="3"/>
  <c r="E485" i="3"/>
  <c r="E273" i="3"/>
  <c r="AJ6" i="3"/>
  <c r="E358" i="3"/>
  <c r="E320" i="3"/>
  <c r="E415" i="3"/>
  <c r="E61" i="3"/>
  <c r="E293" i="3"/>
  <c r="E440" i="3"/>
  <c r="E568" i="3"/>
  <c r="E471" i="3"/>
  <c r="E196" i="3"/>
  <c r="E71" i="3"/>
  <c r="E249" i="3"/>
  <c r="E416" i="3"/>
  <c r="E454" i="3"/>
  <c r="E89" i="3"/>
  <c r="E489" i="3"/>
  <c r="E530" i="3"/>
  <c r="E431" i="3"/>
  <c r="E514" i="3"/>
  <c r="E387" i="3"/>
  <c r="E69" i="3"/>
  <c r="E445" i="3"/>
  <c r="E191" i="3"/>
  <c r="E385" i="3"/>
  <c r="E95" i="3"/>
  <c r="E265" i="3"/>
  <c r="E545" i="3"/>
  <c r="E537" i="3"/>
  <c r="E14" i="3"/>
  <c r="E411" i="3"/>
  <c r="E92" i="3"/>
  <c r="E175" i="3"/>
  <c r="E509" i="3"/>
  <c r="E97" i="3"/>
  <c r="E506" i="3"/>
  <c r="E298" i="3"/>
  <c r="E565" i="3"/>
  <c r="E221" i="3"/>
  <c r="E402" i="3"/>
  <c r="AA6" i="3"/>
  <c r="E328" i="3"/>
  <c r="E143" i="3"/>
  <c r="E561" i="3"/>
  <c r="E216" i="3"/>
  <c r="E183" i="3"/>
  <c r="E180" i="3"/>
  <c r="E503" i="3"/>
  <c r="E361" i="3"/>
  <c r="E536" i="3"/>
  <c r="E363" i="3"/>
  <c r="E43" i="3"/>
  <c r="E406" i="3"/>
  <c r="E74" i="3"/>
  <c r="E345" i="3"/>
  <c r="E572" i="3"/>
  <c r="E569" i="3"/>
  <c r="E559" i="3"/>
  <c r="E294" i="3"/>
  <c r="E260" i="3"/>
  <c r="E245" i="3"/>
  <c r="E336" i="3"/>
  <c r="E289" i="3"/>
  <c r="E228" i="3"/>
  <c r="E54" i="3"/>
  <c r="U6" i="3"/>
  <c r="E126" i="3"/>
  <c r="E401" i="3"/>
  <c r="E277" i="3"/>
  <c r="E146" i="3"/>
  <c r="E327" i="3"/>
  <c r="E211" i="3"/>
  <c r="E268" i="3"/>
  <c r="E247" i="3"/>
  <c r="E570" i="3"/>
  <c r="E335" i="3"/>
  <c r="E278" i="3"/>
  <c r="E535" i="3"/>
  <c r="E263" i="3"/>
  <c r="E246" i="3"/>
  <c r="E63" i="3"/>
  <c r="E323" i="3"/>
  <c r="E133" i="3"/>
  <c r="E475" i="3"/>
  <c r="E397" i="3"/>
  <c r="E432" i="3"/>
  <c r="E272" i="3"/>
  <c r="E526" i="3"/>
  <c r="E574" i="3"/>
  <c r="E390" i="3"/>
  <c r="E418" i="3"/>
  <c r="E169" i="3"/>
  <c r="E213" i="3"/>
  <c r="E254" i="3"/>
  <c r="AN6" i="3"/>
  <c r="E319" i="3"/>
  <c r="E555" i="3"/>
  <c r="E270" i="3"/>
  <c r="E538" i="3"/>
  <c r="E185" i="3"/>
  <c r="E20" i="3"/>
  <c r="E586" i="3"/>
  <c r="E347" i="3"/>
  <c r="E91" i="3"/>
  <c r="E502" i="3"/>
  <c r="E425" i="3"/>
  <c r="E422" i="3"/>
  <c r="E455" i="3"/>
  <c r="E147" i="3"/>
  <c r="E33" i="3"/>
  <c r="E66" i="3"/>
  <c r="E39" i="3"/>
  <c r="E453" i="3"/>
  <c r="E99" i="3"/>
  <c r="E573" i="3"/>
  <c r="E562" i="3"/>
  <c r="E72" i="3"/>
  <c r="E531" i="3"/>
  <c r="E130" i="3"/>
  <c r="E184" i="3"/>
  <c r="E291" i="3"/>
  <c r="E400" i="3"/>
  <c r="M6" i="3"/>
  <c r="E423" i="3"/>
  <c r="E474" i="3"/>
  <c r="E317" i="3"/>
  <c r="E338" i="3"/>
  <c r="E353" i="3"/>
  <c r="E439" i="3"/>
  <c r="E495" i="3"/>
  <c r="E105" i="3"/>
  <c r="E52" i="3"/>
  <c r="Y6" i="3"/>
  <c r="E253" i="3"/>
  <c r="E519" i="3"/>
  <c r="E433" i="3"/>
  <c r="E318" i="3"/>
  <c r="E107" i="3"/>
  <c r="E477" i="3"/>
  <c r="E27" i="3"/>
  <c r="E44" i="3"/>
  <c r="E282" i="3"/>
  <c r="E430" i="3"/>
  <c r="E16" i="3"/>
  <c r="E473" i="3"/>
  <c r="E340" i="3"/>
  <c r="E179" i="3"/>
  <c r="E187" i="3"/>
  <c r="E461" i="3"/>
  <c r="E313" i="3"/>
  <c r="E417" i="3"/>
  <c r="E84" i="3"/>
  <c r="E108" i="3"/>
  <c r="E299" i="3"/>
  <c r="E176" i="3"/>
  <c r="E83" i="3"/>
  <c r="E446" i="3"/>
  <c r="E421" i="3"/>
  <c r="E434" i="3"/>
  <c r="E177" i="3"/>
  <c r="E481" i="3"/>
  <c r="E429" i="3"/>
  <c r="E203" i="3"/>
  <c r="E580" i="3"/>
  <c r="E252" i="3"/>
  <c r="E448" i="3"/>
  <c r="E581" i="3"/>
  <c r="E121" i="3"/>
  <c r="E334" i="3"/>
  <c r="E284" i="3"/>
  <c r="E501" i="3"/>
  <c r="E550" i="3"/>
  <c r="E560" i="3"/>
  <c r="E118" i="3"/>
  <c r="E377" i="3"/>
  <c r="E215" i="3"/>
  <c r="X6" i="3"/>
  <c r="E168" i="3"/>
  <c r="E153" i="3"/>
  <c r="E237" i="3"/>
  <c r="E343" i="3"/>
  <c r="E261" i="3"/>
  <c r="E483" i="3"/>
  <c r="E50" i="3"/>
  <c r="E163" i="3"/>
  <c r="E85" i="3"/>
  <c r="E458" i="3"/>
  <c r="E111" i="3"/>
  <c r="E567" i="3"/>
  <c r="E585" i="3"/>
  <c r="E505" i="3"/>
  <c r="E186" i="3"/>
  <c r="E441" i="3"/>
  <c r="N6" i="3"/>
  <c r="E192" i="3"/>
  <c r="E543" i="3"/>
  <c r="E100" i="3"/>
  <c r="E365" i="3"/>
  <c r="E127" i="3"/>
  <c r="E413" i="3"/>
  <c r="E352" i="3"/>
  <c r="E532" i="3"/>
  <c r="E258" i="3"/>
  <c r="E188" i="3"/>
  <c r="E333" i="3"/>
  <c r="AQ6" i="3"/>
  <c r="E524" i="3"/>
  <c r="E19" i="3"/>
  <c r="E378" i="3"/>
  <c r="E244" i="3"/>
  <c r="E128" i="3"/>
  <c r="E330" i="3"/>
  <c r="E424" i="3"/>
  <c r="E496" i="3"/>
  <c r="E256" i="3"/>
  <c r="E32" i="3"/>
  <c r="E164" i="3"/>
  <c r="P6" i="3"/>
  <c r="E444" i="3"/>
  <c r="E166" i="3"/>
  <c r="E30" i="3"/>
  <c r="E137" i="3"/>
  <c r="E226" i="3"/>
  <c r="E490" i="3"/>
  <c r="E264" i="3"/>
  <c r="E64" i="3"/>
  <c r="E152" i="3"/>
  <c r="E466" i="3"/>
  <c r="E165" i="3"/>
  <c r="E469" i="3"/>
  <c r="E420" i="3"/>
  <c r="E348" i="3"/>
  <c r="E96" i="3"/>
  <c r="E522" i="3"/>
  <c r="E158" i="3"/>
  <c r="AD6" i="3"/>
  <c r="E452" i="3"/>
  <c r="E412" i="3"/>
  <c r="E34" i="3"/>
  <c r="E456" i="3"/>
  <c r="E155" i="3"/>
  <c r="E235" i="3"/>
  <c r="E222" i="3"/>
  <c r="E582" i="3"/>
  <c r="E297" i="3"/>
  <c r="E232" i="3"/>
  <c r="E534" i="3"/>
  <c r="E243" i="3"/>
  <c r="E35" i="3"/>
  <c r="E205" i="3"/>
  <c r="E332" i="3"/>
  <c r="E86" i="3"/>
  <c r="E94" i="3"/>
  <c r="E266" i="3"/>
  <c r="E468" i="3"/>
  <c r="E396" i="3"/>
  <c r="E382" i="3"/>
  <c r="E357" i="3"/>
  <c r="E472" i="3"/>
  <c r="E426" i="3"/>
  <c r="E563" i="3"/>
  <c r="E242" i="3"/>
  <c r="E207" i="3"/>
  <c r="E359" i="3"/>
  <c r="E17" i="3"/>
  <c r="E410" i="3"/>
  <c r="E399" i="3"/>
  <c r="AP6" i="3"/>
  <c r="E60" i="3"/>
  <c r="E101" i="3"/>
  <c r="E259" i="3"/>
  <c r="E511" i="3"/>
  <c r="E457" i="3"/>
  <c r="E279" i="3"/>
  <c r="E549" i="3"/>
  <c r="E515" i="3"/>
  <c r="E476" i="3"/>
  <c r="E210" i="3"/>
  <c r="E125" i="3"/>
  <c r="E516" i="3"/>
  <c r="E76" i="3"/>
  <c r="AH6" i="3"/>
  <c r="E392" i="3"/>
  <c r="E23" i="3"/>
  <c r="E307" i="3"/>
  <c r="E167" i="3"/>
  <c r="E306" i="3"/>
  <c r="E529" i="3"/>
  <c r="E59" i="3"/>
  <c r="E427" i="3"/>
  <c r="E15" i="3"/>
  <c r="E123" i="3"/>
  <c r="E67" i="3"/>
  <c r="E48" i="3"/>
  <c r="E57" i="3"/>
  <c r="E156" i="3"/>
  <c r="E262" i="3"/>
  <c r="Q6" i="3"/>
  <c r="E344" i="3"/>
  <c r="E55" i="3"/>
  <c r="E274" i="3"/>
  <c r="I6" i="3"/>
  <c r="E576" i="3"/>
  <c r="E443" i="3"/>
  <c r="E404" i="3"/>
  <c r="E295" i="3"/>
  <c r="E480" i="3"/>
  <c r="E79" i="3"/>
  <c r="E178" i="3"/>
  <c r="E486" i="3"/>
  <c r="E144" i="3"/>
  <c r="E409" i="3"/>
  <c r="E479" i="3"/>
  <c r="E499" i="3"/>
  <c r="E197" i="3"/>
  <c r="E451" i="3"/>
  <c r="E90" i="3"/>
  <c r="AL6" i="3"/>
  <c r="E190" i="3"/>
  <c r="E24" i="3"/>
  <c r="E309" i="3"/>
  <c r="E405" i="3"/>
  <c r="E139" i="3"/>
  <c r="E195" i="3"/>
  <c r="E341" i="3"/>
  <c r="E360" i="3"/>
  <c r="E356" i="3"/>
  <c r="E386" i="3"/>
  <c r="E149" i="3"/>
  <c r="E173" i="3"/>
  <c r="E488" i="3"/>
  <c r="E80" i="3"/>
  <c r="E398" i="3"/>
  <c r="E58" i="3"/>
  <c r="E250" i="3"/>
  <c r="T6" i="3"/>
  <c r="E104" i="3"/>
  <c r="E154" i="3"/>
  <c r="E220" i="3"/>
  <c r="E21" i="3"/>
  <c r="E541" i="3"/>
  <c r="E132" i="3"/>
  <c r="E46" i="3"/>
  <c r="E329" i="3"/>
  <c r="E376" i="3"/>
  <c r="E276" i="3"/>
  <c r="E47" i="3"/>
  <c r="E342" i="3"/>
  <c r="E131" i="3"/>
  <c r="E470" i="3"/>
  <c r="E174" i="3"/>
  <c r="E141" i="3"/>
  <c r="E436" i="3"/>
  <c r="AF6" i="3"/>
  <c r="E26" i="3"/>
  <c r="E584" i="3"/>
  <c r="E497" i="3"/>
  <c r="E370" i="3"/>
  <c r="E521" i="3"/>
  <c r="E494" i="3"/>
  <c r="E369" i="3"/>
  <c r="E241" i="3"/>
  <c r="E223" i="3"/>
  <c r="E372" i="3"/>
  <c r="E316" i="3"/>
  <c r="E236" i="3"/>
  <c r="E437" i="3"/>
  <c r="E209" i="3"/>
  <c r="J6" i="3"/>
  <c r="E122" i="3"/>
  <c r="E346" i="3"/>
  <c r="E331" i="3"/>
  <c r="E351" i="3"/>
  <c r="E81" i="3"/>
  <c r="E124" i="3"/>
  <c r="E547" i="3"/>
  <c r="E214" i="3"/>
  <c r="E368" i="3"/>
  <c r="E544" i="3"/>
  <c r="E564" i="3"/>
  <c r="E41" i="3"/>
  <c r="E482" i="3"/>
  <c r="E129" i="3"/>
  <c r="E383" i="3"/>
  <c r="E65" i="3"/>
  <c r="E42" i="3"/>
  <c r="E296" i="3"/>
  <c r="E281" i="3"/>
  <c r="E142" i="3"/>
  <c r="E558" i="3"/>
  <c r="E238" i="3"/>
  <c r="E449" i="3"/>
  <c r="E286" i="3"/>
  <c r="E45" i="3"/>
  <c r="E159" i="3"/>
  <c r="E161" i="3"/>
  <c r="E539" i="3"/>
  <c r="I3" i="6"/>
  <c r="E292" i="3"/>
  <c r="E200" i="3"/>
  <c r="E116" i="3"/>
  <c r="E419" i="3"/>
  <c r="L6" i="3"/>
  <c r="E251" i="3"/>
  <c r="E22" i="3"/>
  <c r="E102" i="3"/>
  <c r="E408" i="3"/>
  <c r="E18" i="3"/>
  <c r="E326" i="3"/>
  <c r="E459" i="3"/>
  <c r="E49" i="3"/>
  <c r="E460" i="3"/>
  <c r="E275" i="3"/>
  <c r="E512" i="3"/>
  <c r="E206" i="3"/>
  <c r="E75" i="3"/>
  <c r="E566" i="3"/>
  <c r="E212" i="3"/>
  <c r="E389" i="3"/>
  <c r="E493" i="3"/>
  <c r="E540" i="3"/>
  <c r="E88" i="3"/>
  <c r="E394" i="3"/>
  <c r="E120" i="3"/>
  <c r="E68" i="3"/>
  <c r="E160" i="3"/>
  <c r="E504" i="3"/>
  <c r="E103" i="3"/>
  <c r="E447" i="3"/>
  <c r="E571" i="3"/>
  <c r="E194" i="3"/>
  <c r="E533" i="3"/>
  <c r="E110" i="3"/>
  <c r="E548" i="3"/>
  <c r="AZ5" i="3"/>
  <c r="AY6" i="3" s="1"/>
  <c r="AY59" i="3" s="1"/>
  <c r="AK6" i="3"/>
  <c r="E371" i="3"/>
  <c r="E349" i="3"/>
  <c r="E388" i="3"/>
  <c r="E53" i="3"/>
  <c r="E70" i="3"/>
  <c r="AO6" i="3"/>
  <c r="E362" i="3"/>
  <c r="E577" i="3"/>
  <c r="E181" i="3"/>
  <c r="E234" i="3"/>
  <c r="AM6" i="3"/>
  <c r="E403" i="3"/>
  <c r="E145" i="3"/>
  <c r="E208" i="3"/>
  <c r="E438" i="3"/>
  <c r="E520" i="3"/>
  <c r="E38" i="3"/>
  <c r="E583" i="3"/>
  <c r="E578" i="3"/>
  <c r="E290" i="3"/>
  <c r="E395" i="3"/>
  <c r="E230" i="3"/>
  <c r="V6" i="3"/>
  <c r="E151" i="3"/>
  <c r="O6" i="3"/>
  <c r="E217" i="3"/>
  <c r="E28" i="3"/>
  <c r="Z6" i="3"/>
  <c r="E315" i="3"/>
  <c r="E587" i="3"/>
  <c r="E77" i="3"/>
  <c r="E36" i="3"/>
  <c r="E63" i="39"/>
  <c r="E65" i="39" s="1"/>
  <c r="E59" i="40"/>
  <c r="E30" i="6"/>
  <c r="E31" i="6" s="1"/>
  <c r="K26" i="6"/>
  <c r="M26" i="6" s="1"/>
  <c r="I26" i="6" s="1"/>
  <c r="S26" i="6" s="1"/>
  <c r="B29" i="1"/>
  <c r="C8" i="68" s="1"/>
  <c r="AC7" i="81"/>
  <c r="V49" i="81" s="1"/>
  <c r="I49" i="81" s="1"/>
  <c r="W7" i="81"/>
  <c r="H7" i="81"/>
  <c r="AA7" i="81"/>
  <c r="R49" i="81" s="1"/>
  <c r="S7" i="81"/>
  <c r="M14" i="1"/>
  <c r="O14" i="1" s="1"/>
  <c r="B40" i="1"/>
  <c r="L36" i="43" s="1"/>
  <c r="N36" i="43" s="1"/>
  <c r="W7" i="37"/>
  <c r="E69"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K24" i="6"/>
  <c r="K19" i="6"/>
  <c r="S6" i="1" s="1"/>
  <c r="D3" i="34"/>
  <c r="AB10" i="39"/>
  <c r="U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C16" i="15"/>
  <c r="F41" i="15"/>
  <c r="M27" i="67"/>
  <c r="M27" i="15"/>
  <c r="W10" i="40" l="1"/>
  <c r="C48" i="15"/>
  <c r="C66" i="15" s="1"/>
  <c r="AA10" i="40"/>
  <c r="V49" i="34"/>
  <c r="I49" i="34" s="1"/>
  <c r="I53" i="34" s="1"/>
  <c r="J53" i="34" s="1"/>
  <c r="AC10" i="39"/>
  <c r="J5" i="15"/>
  <c r="J24" i="15" s="1"/>
  <c r="F27" i="69"/>
  <c r="F27" i="68"/>
  <c r="F27" i="11"/>
  <c r="F28" i="12"/>
  <c r="C29" i="12" s="1"/>
  <c r="D28" i="12" s="1"/>
  <c r="O6" i="1"/>
  <c r="O16" i="1" s="1"/>
  <c r="AA10" i="39"/>
  <c r="S10" i="39"/>
  <c r="E83" i="43"/>
  <c r="B81" i="43" s="1"/>
  <c r="C28" i="43" s="1"/>
  <c r="BL6" i="3"/>
  <c r="AY562" i="3"/>
  <c r="AY172" i="3"/>
  <c r="AY565" i="3"/>
  <c r="AY166" i="3"/>
  <c r="AY136" i="3"/>
  <c r="AY419" i="3"/>
  <c r="AY428" i="3"/>
  <c r="AY235" i="3"/>
  <c r="AY31" i="3"/>
  <c r="AY538" i="3"/>
  <c r="AY469" i="3"/>
  <c r="AY29" i="3"/>
  <c r="BN6" i="3"/>
  <c r="AY387" i="3"/>
  <c r="AY246" i="3"/>
  <c r="AY103" i="3"/>
  <c r="AY482" i="3"/>
  <c r="AY410" i="3"/>
  <c r="AY240" i="3"/>
  <c r="AY361" i="3"/>
  <c r="AY47" i="3"/>
  <c r="AY354" i="3"/>
  <c r="AY280" i="3"/>
  <c r="AY369" i="3"/>
  <c r="AY173" i="3"/>
  <c r="AY279" i="3"/>
  <c r="AY534" i="3"/>
  <c r="AY33" i="3"/>
  <c r="AY115" i="3"/>
  <c r="BD6" i="3"/>
  <c r="AY500" i="3"/>
  <c r="AY15" i="3"/>
  <c r="AY431" i="3"/>
  <c r="AY159" i="3"/>
  <c r="AY63" i="3"/>
  <c r="AY80" i="3"/>
  <c r="AY478" i="3"/>
  <c r="AY302" i="3"/>
  <c r="AY475" i="3"/>
  <c r="AY420" i="3"/>
  <c r="AY400" i="3"/>
  <c r="AY164" i="3"/>
  <c r="AY315" i="3"/>
  <c r="AY493" i="3"/>
  <c r="AY434" i="3"/>
  <c r="AY113" i="3"/>
  <c r="AY322" i="3"/>
  <c r="AY39" i="3"/>
  <c r="AY216" i="3"/>
  <c r="AY530" i="3"/>
  <c r="AY492" i="3"/>
  <c r="AY205" i="3"/>
  <c r="AY448" i="3"/>
  <c r="AY224" i="3"/>
  <c r="AY27" i="3"/>
  <c r="AY558" i="3"/>
  <c r="AY362" i="3"/>
  <c r="AY167" i="3"/>
  <c r="AY578" i="3"/>
  <c r="AY14" i="3"/>
  <c r="AY471" i="3"/>
  <c r="AY287" i="3"/>
  <c r="AY494" i="3"/>
  <c r="AY309" i="3"/>
  <c r="AY384" i="3"/>
  <c r="AY69" i="3"/>
  <c r="AY43" i="3"/>
  <c r="AY523" i="3"/>
  <c r="AY464" i="3"/>
  <c r="BI6" i="3"/>
  <c r="AY25" i="3"/>
  <c r="AY390" i="3"/>
  <c r="AY98" i="3"/>
  <c r="AY427" i="3"/>
  <c r="AY353" i="3"/>
  <c r="BJ6" i="3"/>
  <c r="AY125" i="3"/>
  <c r="AY97" i="3"/>
  <c r="AY395" i="3"/>
  <c r="AY284" i="3"/>
  <c r="AY297" i="3"/>
  <c r="AY51" i="3"/>
  <c r="AY443" i="3"/>
  <c r="AY54" i="3"/>
  <c r="AY359" i="3"/>
  <c r="BP6" i="3"/>
  <c r="AY476" i="3"/>
  <c r="AY153" i="3"/>
  <c r="AY339" i="3"/>
  <c r="AY576" i="3"/>
  <c r="AY233" i="3"/>
  <c r="AY537" i="3"/>
  <c r="AY336" i="3"/>
  <c r="AY32" i="3"/>
  <c r="AY459" i="3"/>
  <c r="AY241" i="3"/>
  <c r="AY38" i="3"/>
  <c r="AY405" i="3"/>
  <c r="AY378" i="3"/>
  <c r="AY156" i="3"/>
  <c r="AY531" i="3"/>
  <c r="AY506" i="3"/>
  <c r="AY487" i="3"/>
  <c r="AY129" i="3"/>
  <c r="AY584" i="3"/>
  <c r="AY341" i="3"/>
  <c r="AY227" i="3"/>
  <c r="AY100" i="3"/>
  <c r="AY497" i="3"/>
  <c r="AY577" i="3"/>
  <c r="AY467" i="3"/>
  <c r="BS6" i="3"/>
  <c r="AY36" i="3"/>
  <c r="AY244" i="3"/>
  <c r="AY501" i="3"/>
  <c r="AY398" i="3"/>
  <c r="AY377" i="3"/>
  <c r="BH6" i="3"/>
  <c r="AY133" i="3"/>
  <c r="AY553" i="3"/>
  <c r="AY217" i="3"/>
  <c r="AY261" i="3"/>
  <c r="AY168" i="3"/>
  <c r="AY83" i="3"/>
  <c r="AY386" i="3"/>
  <c r="AY547" i="3"/>
  <c r="AY301" i="3"/>
  <c r="AY522" i="3"/>
  <c r="AY337" i="3"/>
  <c r="AY567" i="3"/>
  <c r="AY288" i="3"/>
  <c r="AY440" i="3"/>
  <c r="AY203" i="3"/>
  <c r="AY399" i="3"/>
  <c r="AY218" i="3"/>
  <c r="AY511" i="3"/>
  <c r="AY323" i="3"/>
  <c r="AY128" i="3"/>
  <c r="AY91" i="3"/>
  <c r="AY466" i="3"/>
  <c r="AY249" i="3"/>
  <c r="AY46" i="3"/>
  <c r="AY509" i="3"/>
  <c r="AY439" i="3"/>
  <c r="AY364" i="3"/>
  <c r="AY48" i="3"/>
  <c r="AY503" i="3"/>
  <c r="AY181" i="3"/>
  <c r="AY141" i="3"/>
  <c r="AY436" i="3"/>
  <c r="AY292" i="3"/>
  <c r="AY527" i="3"/>
  <c r="AY243" i="3"/>
  <c r="AY271" i="3"/>
  <c r="AY574" i="3"/>
  <c r="AY334" i="3"/>
  <c r="BF6" i="3"/>
  <c r="AY488" i="3"/>
  <c r="AY145" i="3"/>
  <c r="AY230" i="3"/>
  <c r="AY206" i="3"/>
  <c r="AY401" i="3"/>
  <c r="AY441" i="3"/>
  <c r="AY67" i="3"/>
  <c r="AY87"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444" i="3"/>
  <c r="AY555" i="3"/>
  <c r="AY178" i="3"/>
  <c r="AY254" i="3"/>
  <c r="AY365" i="3"/>
  <c r="AY130" i="3"/>
  <c r="AY308" i="3"/>
  <c r="AY516" i="3"/>
  <c r="AY559" i="3"/>
  <c r="AY496" i="3"/>
  <c r="AY132" i="3"/>
  <c r="AY220" i="3"/>
  <c r="AY229" i="3"/>
  <c r="AY557" i="3"/>
  <c r="AY105" i="3"/>
  <c r="AY162" i="3"/>
  <c r="AY238" i="3"/>
  <c r="AY72" i="3"/>
  <c r="AY406" i="3"/>
  <c r="AY543" i="3"/>
  <c r="AY65" i="3"/>
  <c r="AY194" i="3"/>
  <c r="AY251" i="3"/>
  <c r="AY380" i="3"/>
  <c r="AY329" i="3"/>
  <c r="AY468" i="3"/>
  <c r="AY426"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491" i="3"/>
  <c r="AY457" i="3"/>
  <c r="AY414" i="3"/>
  <c r="AY581" i="3"/>
  <c r="AY561" i="3"/>
  <c r="AY546" i="3"/>
  <c r="AY16" i="3"/>
  <c r="AY171" i="3"/>
  <c r="AY237" i="3"/>
  <c r="AY269" i="3"/>
  <c r="AY311" i="3"/>
  <c r="AY535" i="3"/>
  <c r="AY68" i="3"/>
  <c r="AY117" i="3"/>
  <c r="AY57" i="3"/>
  <c r="AY393" i="3"/>
  <c r="AY422" i="3"/>
  <c r="AY81" i="3"/>
  <c r="AY412" i="3"/>
  <c r="AY326" i="3"/>
  <c r="AY52" i="3"/>
  <c r="AY291" i="3"/>
  <c r="AY368" i="3"/>
  <c r="AY121" i="3"/>
  <c r="AY370" i="3"/>
  <c r="AY483" i="3"/>
  <c r="AY572" i="3"/>
  <c r="AY582" i="3"/>
  <c r="AY137" i="3"/>
  <c r="AY312" i="3"/>
  <c r="BT6" i="3"/>
  <c r="AY477" i="3"/>
  <c r="AY293" i="3"/>
  <c r="AY71" i="3"/>
  <c r="AY408" i="3"/>
  <c r="AY248" i="3"/>
  <c r="AY19" i="3"/>
  <c r="AY545" i="3"/>
  <c r="AY415" i="3"/>
  <c r="AY479" i="3"/>
  <c r="AY396" i="3"/>
  <c r="AY21" i="3"/>
  <c r="AY413" i="3"/>
  <c r="AY375" i="3"/>
  <c r="AY195" i="3"/>
  <c r="AY528" i="3"/>
  <c r="AY330" i="3"/>
  <c r="AY120" i="3"/>
  <c r="AY110" i="3"/>
  <c r="AY575" i="3"/>
  <c r="AY450" i="3"/>
  <c r="AY321" i="3"/>
  <c r="AY298" i="3"/>
  <c r="AY586" i="3"/>
  <c r="AY550" i="3"/>
  <c r="AY490" i="3"/>
  <c r="AY391" i="3"/>
  <c r="AY273" i="3"/>
  <c r="AY148" i="3"/>
  <c r="AY55" i="3"/>
  <c r="AY512" i="3"/>
  <c r="AY437" i="3"/>
  <c r="AY346" i="3"/>
  <c r="AY221" i="3"/>
  <c r="AY285" i="3"/>
  <c r="AY192" i="3"/>
  <c r="AY94" i="3"/>
  <c r="AY570" i="3"/>
  <c r="AY524" i="3"/>
  <c r="AY579"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74" i="3"/>
  <c r="AY56" i="3"/>
  <c r="AY374" i="3"/>
  <c r="AY263" i="3"/>
  <c r="AY154" i="3"/>
  <c r="AY76" i="3"/>
  <c r="AY569" i="3"/>
  <c r="AY310" i="3"/>
  <c r="AY300" i="3"/>
  <c r="AY318" i="3"/>
  <c r="AY289" i="3"/>
  <c r="AY371" i="3"/>
  <c r="AY281" i="3"/>
  <c r="AY176" i="3"/>
  <c r="E3" i="6"/>
  <c r="M18" i="9" s="1"/>
  <c r="B118" i="9" s="1"/>
  <c r="B1" i="74" s="1"/>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31" i="3"/>
  <c r="AY232" i="3"/>
  <c r="AY135" i="3"/>
  <c r="AY35" i="3"/>
  <c r="AY99" i="3"/>
  <c r="AY542" i="3"/>
  <c r="D3" i="6"/>
  <c r="AY407"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59" i="3"/>
  <c r="AY41" i="3"/>
  <c r="AY397" i="3"/>
  <c r="AY278" i="3"/>
  <c r="AY170" i="3"/>
  <c r="AY61" i="3"/>
  <c r="AY544" i="3"/>
  <c r="AY342" i="3"/>
  <c r="AY26" i="3"/>
  <c r="AY319" i="3"/>
  <c r="AY139" i="3"/>
  <c r="AY225" i="3"/>
  <c r="AY131" i="3"/>
  <c r="AY207" i="3"/>
  <c r="H6" i="3"/>
  <c r="AC6"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M16" i="1"/>
  <c r="L16" i="1" s="1"/>
  <c r="E49" i="81"/>
  <c r="U7" i="81"/>
  <c r="AB7" i="81"/>
  <c r="T49" i="81" s="1"/>
  <c r="G49" i="81" s="1"/>
  <c r="I53" i="81"/>
  <c r="J53" i="81" s="1"/>
  <c r="I54" i="81"/>
  <c r="J54" i="81"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C66" i="67"/>
  <c r="C60" i="67"/>
  <c r="C34" i="69"/>
  <c r="C14" i="67"/>
  <c r="C17" i="67"/>
  <c r="C17" i="15"/>
  <c r="C60" i="15" l="1"/>
  <c r="R50" i="34"/>
  <c r="C49" i="34" s="1"/>
  <c r="C29" i="11"/>
  <c r="D27" i="11" s="1"/>
  <c r="C47" i="11"/>
  <c r="D45" i="11" s="1"/>
  <c r="F45" i="68"/>
  <c r="C47" i="68"/>
  <c r="D45" i="68" s="1"/>
  <c r="C29" i="68"/>
  <c r="D27" i="68" s="1"/>
  <c r="F45" i="69"/>
  <c r="C47" i="69"/>
  <c r="D45" i="69" s="1"/>
  <c r="C29" i="69"/>
  <c r="D27" i="69" s="1"/>
  <c r="N16" i="1"/>
  <c r="F50" i="68" s="1"/>
  <c r="T11" i="43"/>
  <c r="V11" i="43" s="1"/>
  <c r="T14" i="43"/>
  <c r="V14" i="43" s="1"/>
  <c r="T4" i="43"/>
  <c r="V4" i="43" s="1"/>
  <c r="T5" i="43"/>
  <c r="V5" i="43" s="1"/>
  <c r="C39" i="43"/>
  <c r="T9" i="43"/>
  <c r="V9" i="43" s="1"/>
  <c r="T12" i="43"/>
  <c r="V12" i="43" s="1"/>
  <c r="T3" i="43"/>
  <c r="V3" i="43" s="1"/>
  <c r="C40" i="43"/>
  <c r="C42" i="43"/>
  <c r="T15" i="43"/>
  <c r="V15" i="43" s="1"/>
  <c r="T7" i="43"/>
  <c r="V7" i="43" s="1"/>
  <c r="T10" i="43"/>
  <c r="V10" i="43" s="1"/>
  <c r="T2" i="43"/>
  <c r="V2" i="43" s="1"/>
  <c r="C6" i="68" s="1"/>
  <c r="C37" i="43"/>
  <c r="C38" i="43"/>
  <c r="T13" i="43"/>
  <c r="V13" i="43" s="1"/>
  <c r="T16" i="43"/>
  <c r="V16" i="43" s="1"/>
  <c r="T8" i="43"/>
  <c r="V8" i="43" s="1"/>
  <c r="T6" i="43"/>
  <c r="V6" i="43" s="1"/>
  <c r="C41" i="43"/>
  <c r="C33" i="43"/>
  <c r="D25" i="6"/>
  <c r="D23" i="6"/>
  <c r="D29" i="6"/>
  <c r="D8" i="6"/>
  <c r="D13" i="6"/>
  <c r="D21" i="6"/>
  <c r="H26" i="6"/>
  <c r="D11" i="6"/>
  <c r="C18" i="4"/>
  <c r="C4" i="52" s="1"/>
  <c r="B45" i="72" s="1"/>
  <c r="D10" i="6"/>
  <c r="D26" i="6"/>
  <c r="R26" i="6" s="1"/>
  <c r="D22" i="6"/>
  <c r="E61" i="40"/>
  <c r="D12" i="6"/>
  <c r="D19" i="6"/>
  <c r="M19" i="9" s="1"/>
  <c r="C118" i="9" s="1"/>
  <c r="B2" i="74" s="1"/>
  <c r="D9" i="6"/>
  <c r="D20" i="6"/>
  <c r="D15" i="6"/>
  <c r="D28" i="6"/>
  <c r="D30" i="6" s="1"/>
  <c r="D5" i="6"/>
  <c r="H22" i="6"/>
  <c r="D14" i="6"/>
  <c r="D24" i="6"/>
  <c r="E6" i="3"/>
  <c r="E6" i="6"/>
  <c r="D3" i="37"/>
  <c r="D14" i="12"/>
  <c r="D17" i="12" s="1"/>
  <c r="C17" i="12" s="1"/>
  <c r="C17" i="4"/>
  <c r="B4" i="52" s="1"/>
  <c r="B43" i="72" s="1"/>
  <c r="D3" i="33"/>
  <c r="D3" i="21"/>
  <c r="D19" i="11"/>
  <c r="C19" i="11" s="1"/>
  <c r="C20" i="11" s="1"/>
  <c r="C28" i="11" s="1"/>
  <c r="C27" i="11" s="1"/>
  <c r="D37" i="11"/>
  <c r="I54" i="34"/>
  <c r="J54" i="34" s="1"/>
  <c r="R50" i="81"/>
  <c r="C50" i="81" s="1"/>
  <c r="H24" i="6"/>
  <c r="R24" i="6" s="1"/>
  <c r="R11" i="1" s="1"/>
  <c r="H21" i="6"/>
  <c r="G53" i="81"/>
  <c r="H53" i="81" s="1"/>
  <c r="G54" i="81"/>
  <c r="H54" i="81" s="1"/>
  <c r="E54" i="81"/>
  <c r="F54" i="81" s="1"/>
  <c r="E53" i="81"/>
  <c r="F53" i="81" s="1"/>
  <c r="C50" i="34"/>
  <c r="F41" i="68"/>
  <c r="E53" i="34"/>
  <c r="F53" i="34" s="1"/>
  <c r="C23" i="11"/>
  <c r="C26" i="68"/>
  <c r="D22" i="68" s="1"/>
  <c r="C26" i="11"/>
  <c r="D22" i="11" s="1"/>
  <c r="H25" i="6"/>
  <c r="C26" i="69"/>
  <c r="D22" i="69" s="1"/>
  <c r="N37" i="43"/>
  <c r="O37" i="43"/>
  <c r="P37" i="43"/>
  <c r="C44" i="69"/>
  <c r="D41" i="69" s="1"/>
  <c r="Q37" i="4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F50" i="69"/>
  <c r="F50" i="1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R23" i="6" l="1"/>
  <c r="R10" i="1" s="1"/>
  <c r="D16" i="6"/>
  <c r="R25" i="6"/>
  <c r="R12" i="1" s="1"/>
  <c r="C49" i="81"/>
  <c r="G38" i="43"/>
  <c r="I38" i="43" s="1"/>
  <c r="E38" i="43"/>
  <c r="E37" i="43"/>
  <c r="G37" i="43"/>
  <c r="I37" i="43" s="1"/>
  <c r="C34" i="43"/>
  <c r="E34" i="43" s="1"/>
  <c r="E33" i="43"/>
  <c r="E42" i="43"/>
  <c r="G42" i="43"/>
  <c r="I42" i="43" s="1"/>
  <c r="E41" i="43"/>
  <c r="G41" i="43"/>
  <c r="I41" i="43" s="1"/>
  <c r="G40" i="43"/>
  <c r="I40" i="43" s="1"/>
  <c r="E40" i="43"/>
  <c r="E39" i="43"/>
  <c r="G39" i="43"/>
  <c r="I39" i="43" s="1"/>
  <c r="R22" i="6"/>
  <c r="R9" i="1" s="1"/>
  <c r="C25" i="11"/>
  <c r="R21" i="6"/>
  <c r="R8" i="1" s="1"/>
  <c r="D27" i="6"/>
  <c r="A10" i="51"/>
  <c r="B9" i="72" s="1"/>
  <c r="R20" i="6"/>
  <c r="R7" i="1" s="1"/>
  <c r="A7" i="51"/>
  <c r="B7" i="72" s="1"/>
  <c r="D31" i="6"/>
  <c r="I5" i="6" s="1"/>
  <c r="C24" i="11"/>
  <c r="D20" i="12"/>
  <c r="C20" i="12" s="1"/>
  <c r="C18" i="12" s="1"/>
  <c r="D10" i="69"/>
  <c r="D10" i="68"/>
  <c r="D10" i="11"/>
  <c r="C10" i="11" s="1"/>
  <c r="D6" i="6"/>
  <c r="B3" i="81"/>
  <c r="B2" i="81"/>
  <c r="D8" i="71"/>
  <c r="C7" i="71"/>
  <c r="C19" i="67"/>
  <c r="C20" i="67" s="1"/>
  <c r="C26" i="67" s="1"/>
  <c r="T16" i="1"/>
  <c r="C18" i="15"/>
  <c r="C15" i="15"/>
  <c r="C38" i="68"/>
  <c r="C35" i="68"/>
  <c r="C36" i="11"/>
  <c r="C37" i="11"/>
  <c r="C34" i="11"/>
  <c r="C23" i="12"/>
  <c r="C14" i="12"/>
  <c r="C16" i="12" s="1"/>
  <c r="H19" i="6"/>
  <c r="L19" i="9" s="1"/>
  <c r="S19" i="6"/>
  <c r="S27" i="6" s="1"/>
  <c r="I27" i="6"/>
  <c r="I69" i="39"/>
  <c r="J67" i="39"/>
  <c r="D9" i="71"/>
  <c r="I63" i="40"/>
  <c r="H65" i="40"/>
  <c r="I58" i="21"/>
  <c r="J58" i="21" s="1"/>
  <c r="K58" i="21" s="1"/>
  <c r="L58" i="21" s="1"/>
  <c r="M58" i="21" s="1"/>
  <c r="N58" i="21" s="1"/>
  <c r="O58" i="21" s="1"/>
  <c r="H7" i="21" s="1"/>
  <c r="J48" i="35"/>
  <c r="C30" i="43" l="1"/>
  <c r="C31" i="43"/>
  <c r="C22" i="11"/>
  <c r="C31" i="11" s="1"/>
  <c r="C21" i="12"/>
  <c r="C22" i="12" s="1"/>
  <c r="I6" i="6"/>
  <c r="C10" i="69"/>
  <c r="C8" i="69" s="1"/>
  <c r="C5" i="69" s="1"/>
  <c r="C23" i="69" s="1"/>
  <c r="D19" i="69"/>
  <c r="C10" i="68"/>
  <c r="D19" i="68"/>
  <c r="F7" i="21"/>
  <c r="S7" i="21" s="1"/>
  <c r="J7" i="21"/>
  <c r="AC7" i="21" s="1"/>
  <c r="V48" i="21" s="1"/>
  <c r="I48" i="21" s="1"/>
  <c r="D7" i="71"/>
  <c r="C6" i="7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E6" i="76"/>
  <c r="E2" i="76" l="1"/>
  <c r="B2" i="43"/>
  <c r="C30" i="12"/>
  <c r="C28" i="12" s="1"/>
  <c r="C27" i="12"/>
  <c r="C25" i="12" s="1"/>
  <c r="C19" i="68"/>
  <c r="D37" i="68"/>
  <c r="C37" i="68" s="1"/>
  <c r="C33" i="68" s="1"/>
  <c r="C39" i="68" s="1"/>
  <c r="C43" i="68" s="1"/>
  <c r="D37" i="69"/>
  <c r="C37" i="69" s="1"/>
  <c r="C33" i="69" s="1"/>
  <c r="C19" i="69"/>
  <c r="W7" i="21"/>
  <c r="AA7" i="21"/>
  <c r="R48" i="21" s="1"/>
  <c r="J7" i="35"/>
  <c r="W7" i="35" s="1"/>
  <c r="D6" i="71"/>
  <c r="C5" i="7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E48" i="21"/>
  <c r="G52" i="21"/>
  <c r="H52" i="21" s="1"/>
  <c r="G53" i="21"/>
  <c r="H53" i="21" s="1"/>
  <c r="F7" i="35"/>
  <c r="M21" i="67"/>
  <c r="B6" i="76"/>
  <c r="F35" i="67"/>
  <c r="F35" i="15"/>
  <c r="M21" i="15"/>
  <c r="B2" i="76" l="1"/>
  <c r="B3" i="76" s="1"/>
  <c r="B3" i="43"/>
  <c r="C32" i="12"/>
  <c r="B2" i="12" s="1"/>
  <c r="B3" i="12" s="1"/>
  <c r="C46" i="68"/>
  <c r="C45" i="68" s="1"/>
  <c r="C42" i="68"/>
  <c r="C41" i="68" s="1"/>
  <c r="C24" i="68"/>
  <c r="C24" i="69"/>
  <c r="C20" i="69"/>
  <c r="C42" i="69"/>
  <c r="C39" i="6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7" i="68" l="1"/>
  <c r="C5" i="68" s="1"/>
  <c r="C49" i="68"/>
  <c r="C51" i="68" s="1"/>
  <c r="C28" i="69"/>
  <c r="C27" i="69" s="1"/>
  <c r="C25" i="69"/>
  <c r="C22" i="69" s="1"/>
  <c r="C43" i="69"/>
  <c r="C41" i="69" s="1"/>
  <c r="C46" i="69"/>
  <c r="C45" i="69"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23" i="68" l="1"/>
  <c r="C20" i="68"/>
  <c r="C25" i="68" s="1"/>
  <c r="C49" i="69"/>
  <c r="C51" i="69" s="1"/>
  <c r="C31" i="6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2" i="68" l="1"/>
  <c r="C28" i="68"/>
  <c r="C27" i="68" s="1"/>
  <c r="C52" i="69"/>
  <c r="C57" i="69" s="1"/>
  <c r="C56" i="69"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C31" i="68" l="1"/>
  <c r="C52" i="68" s="1"/>
  <c r="B2" i="68" s="1"/>
  <c r="B3" i="68" s="1"/>
  <c r="B2" i="69"/>
  <c r="B3" i="69"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8" i="1"/>
  <c r="C19" i="9"/>
  <c r="AO9" i="1"/>
  <c r="AO10" i="1"/>
  <c r="AO12" i="1"/>
  <c r="AO7" i="1"/>
  <c r="C57" i="68" l="1"/>
  <c r="C56" i="68" s="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D102" i="9" l="1"/>
  <c r="D21" i="9"/>
  <c r="D22" i="9"/>
  <c r="G19" i="9"/>
  <c r="G21" i="9" s="1"/>
  <c r="B6" i="70"/>
  <c r="B2" i="70" s="1"/>
  <c r="B3" i="70" s="1"/>
  <c r="B3" i="15"/>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E118" i="9"/>
  <c r="C105" i="9"/>
  <c r="R24" i="31" s="1"/>
  <c r="H102" i="9"/>
  <c r="S24" i="31" l="1"/>
  <c r="R30" i="31"/>
  <c r="S30" i="31" s="1"/>
  <c r="R33" i="31"/>
  <c r="S33" i="31" s="1"/>
  <c r="R36" i="31"/>
  <c r="S36" i="31" s="1"/>
  <c r="R35" i="31"/>
  <c r="S35" i="31" s="1"/>
  <c r="R26" i="31"/>
  <c r="S26" i="31" s="1"/>
  <c r="R29" i="31"/>
  <c r="S29" i="31" s="1"/>
  <c r="R32" i="31"/>
  <c r="S32" i="31" s="1"/>
  <c r="R31" i="31"/>
  <c r="S31" i="31" s="1"/>
  <c r="R38" i="31"/>
  <c r="S38" i="31" s="1"/>
  <c r="R41" i="31"/>
  <c r="S41" i="31" s="1"/>
  <c r="R25" i="31"/>
  <c r="S25" i="31" s="1"/>
  <c r="R28" i="31"/>
  <c r="S28" i="31" s="1"/>
  <c r="R27" i="31"/>
  <c r="S27" i="31" s="1"/>
  <c r="R34" i="31"/>
  <c r="S34" i="31" s="1"/>
  <c r="R37" i="31"/>
  <c r="S37" i="31" s="1"/>
  <c r="R40" i="31"/>
  <c r="S40" i="31" s="1"/>
  <c r="R39" i="31"/>
  <c r="S39" i="31" s="1"/>
  <c r="F119" i="9"/>
  <c r="F5" i="52" s="1"/>
  <c r="B53" i="72" s="1"/>
  <c r="D7" i="53"/>
  <c r="B21" i="72" s="1"/>
  <c r="E4" i="52"/>
  <c r="B48" i="72" s="1"/>
  <c r="D118" i="9"/>
  <c r="H119" i="9"/>
  <c r="H5" i="52" s="1"/>
  <c r="C104" i="9"/>
  <c r="H4" i="52"/>
  <c r="H101" i="9"/>
  <c r="S22" i="31" l="1"/>
  <c r="U22" i="31" s="1"/>
  <c r="F14" i="74"/>
  <c r="E14" i="74"/>
  <c r="B5" i="74"/>
  <c r="D4" i="52"/>
  <c r="B47" i="72" s="1"/>
  <c r="D119" i="9"/>
  <c r="D5" i="52" s="1"/>
  <c r="B49" i="72" s="1"/>
  <c r="M48" i="9"/>
  <c r="D45" i="9"/>
  <c r="D5" i="53"/>
  <c r="H107" i="9"/>
  <c r="M49" i="9" l="1"/>
  <c r="L63" i="9" s="1"/>
  <c r="M63" i="9" s="1"/>
  <c r="G14" i="74"/>
  <c r="B6" i="74" s="1"/>
  <c r="D6" i="74" s="1"/>
  <c r="B20" i="31"/>
  <c r="B21" i="31" s="1"/>
  <c r="R22" i="31"/>
  <c r="D5" i="74"/>
  <c r="C5" i="74"/>
  <c r="C85" i="9"/>
  <c r="D55" i="9"/>
  <c r="M53" i="9" s="1"/>
  <c r="C64" i="9"/>
  <c r="C63" i="9" s="1"/>
  <c r="C67" i="9" s="1"/>
  <c r="D52" i="9"/>
  <c r="C93" i="9"/>
  <c r="C86" i="9" s="1"/>
  <c r="D53" i="9"/>
  <c r="C78" i="9"/>
  <c r="C73" i="9" s="1"/>
  <c r="C72" i="9"/>
  <c r="D122" i="9"/>
  <c r="D13" i="53"/>
  <c r="H108" i="9"/>
  <c r="D6" i="53"/>
  <c r="B22" i="72" s="1"/>
  <c r="B20" i="72"/>
  <c r="L68" i="9" l="1"/>
  <c r="M68" i="9" s="1"/>
  <c r="L66" i="9"/>
  <c r="M66" i="9" s="1"/>
  <c r="L67" i="9"/>
  <c r="M67" i="9" s="1"/>
  <c r="L65" i="9"/>
  <c r="M65" i="9" s="1"/>
  <c r="L64" i="9"/>
  <c r="M64" i="9" s="1"/>
  <c r="C79" i="9"/>
  <c r="C6" i="74"/>
  <c r="D15" i="53"/>
  <c r="B31" i="72" s="1"/>
  <c r="D59" i="9"/>
  <c r="M55" i="9" s="1"/>
  <c r="C68" i="9"/>
  <c r="D54" i="9" s="1"/>
  <c r="D14" i="53"/>
  <c r="B32" i="72" s="1"/>
  <c r="B30" i="72"/>
  <c r="D8" i="52"/>
  <c r="D123" i="9"/>
  <c r="D9" i="52" s="1"/>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<sst xmlns="http://schemas.openxmlformats.org/spreadsheetml/2006/main" count="8262" uniqueCount="3458">
  <si>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</si>
  <si>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</si>
  <si>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</si>
  <si>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</si>
  <si>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</si>
  <si>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</si>
  <si>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</si>
  <si>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</si>
  <si>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</si>
  <si>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</si>
  <si>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</si>
  <si>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</si>
  <si>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</si>
  <si>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</si>
  <si>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</si>
  <si>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</si>
  <si>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</si>
  <si>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</si>
  <si>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</si>
  <si>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</si>
  <si>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</si>
  <si>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</si>
  <si>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</si>
  <si>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</si>
  <si>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</si>
  <si>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</si>
  <si>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</si>
  <si>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</si>
  <si>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</si>
  <si>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</si>
  <si>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</si>
  <si>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</si>
  <si>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</si>
  <si>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</si>
  <si>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</si>
  <si>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</si>
  <si>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</si>
  <si>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</si>
  <si>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</si>
  <si>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</si>
  <si>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</si>
  <si>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</si>
  <si>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</si>
  <si>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</si>
  <si>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</si>
  <si>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</si>
  <si>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</si>
  <si>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</si>
  <si>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</si>
  <si>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</si>
  <si>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</si>
  <si>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</si>
  <si>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</si>
  <si>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</si>
  <si>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</si>
  <si>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</si>
  <si>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</si>
  <si>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</si>
  <si>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</si>
  <si>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</si>
  <si>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</si>
  <si>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</si>
  <si>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</si>
  <si>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</si>
  <si>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</si>
  <si>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</si>
  <si>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</si>
  <si>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</si>
  <si>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</si>
  <si>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</si>
  <si>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</si>
  <si>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</si>
  <si>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</si>
  <si>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</si>
  <si>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</si>
  <si>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</si>
  <si>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</si>
  <si>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</si>
  <si>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</si>
  <si>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</si>
  <si>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</si>
  <si>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</si>
  <si>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</si>
  <si>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</si>
  <si>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</si>
  <si>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</si>
  <si>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</si>
  <si>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</si>
  <si>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</si>
  <si>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</si>
  <si>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</si>
  <si>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</si>
  <si>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</si>
  <si>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</si>
  <si>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</si>
  <si>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</si>
  <si>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</si>
  <si>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</si>
  <si>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</si>
  <si>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</si>
  <si>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</si>
  <si>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</si>
  <si>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</si>
  <si>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</si>
  <si>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</si>
  <si>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</si>
  <si>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</si>
  <si>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</si>
  <si>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</si>
  <si>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</si>
  <si>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</si>
  <si>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</si>
  <si>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</si>
  <si>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</si>
  <si>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</si>
  <si>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</si>
  <si>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</si>
  <si>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</si>
  <si>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</si>
  <si>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</si>
  <si>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</si>
  <si>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</si>
  <si>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</si>
  <si>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</si>
  <si>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</si>
  <si>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</si>
  <si>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</si>
  <si>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</si>
  <si>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</si>
  <si>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</si>
  <si>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</si>
  <si>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</si>
  <si>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</si>
  <si>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</si>
  <si>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</si>
  <si>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</si>
  <si>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</si>
  <si>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</si>
  <si>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</si>
  <si>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</si>
  <si>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</si>
  <si>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</si>
  <si>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</si>
  <si>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</si>
  <si>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</si>
  <si>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</si>
  <si>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</si>
  <si>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</si>
  <si>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</si>
  <si>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</si>
  <si>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</si>
  <si>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</si>
  <si>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</si>
  <si>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</si>
  <si>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</si>
  <si>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</si>
  <si>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</si>
  <si>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</si>
  <si>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</si>
  <si>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</si>
  <si>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</si>
  <si>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</si>
  <si>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</si>
  <si>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</si>
  <si>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</si>
  <si>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</si>
  <si>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</si>
  <si>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</si>
  <si>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</si>
  <si>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</si>
  <si>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</si>
  <si>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</si>
  <si>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</si>
  <si>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</si>
  <si>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</si>
  <si>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</si>
  <si>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</si>
  <si>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</si>
  <si>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</si>
  <si>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</si>
  <si>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</si>
  <si>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</si>
  <si>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</si>
  <si>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</si>
  <si>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</si>
  <si>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</si>
  <si>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</si>
  <si>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</si>
  <si>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</si>
  <si>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</si>
  <si>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</si>
  <si>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</si>
  <si>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</si>
  <si>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</si>
  <si>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</si>
  <si>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</si>
  <si>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</si>
  <si>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</si>
  <si>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</si>
  <si>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</si>
  <si>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</si>
  <si>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</si>
  <si>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</si>
  <si>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</si>
  <si>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</si>
  <si>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</si>
  <si>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</si>
  <si>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</si>
  <si>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</si>
  <si>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</si>
  <si>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</si>
  <si>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</si>
  <si>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</si>
  <si>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</si>
  <si>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</si>
  <si>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</si>
  <si>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</si>
  <si>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</si>
  <si>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</si>
  <si>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</si>
  <si>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</si>
  <si>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</si>
  <si>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</si>
  <si>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</si>
  <si>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</si>
  <si>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</si>
  <si>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</si>
  <si>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</si>
  <si>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</si>
  <si>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</si>
  <si>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</si>
  <si>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</si>
  <si>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</si>
  <si>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</si>
  <si>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</si>
  <si>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</si>
  <si>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</si>
  <si>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</si>
  <si>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</si>
  <si>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</si>
  <si>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</si>
  <si>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</si>
  <si>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</si>
  <si>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</si>
  <si>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</si>
  <si>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</si>
  <si>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</si>
  <si>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</si>
  <si>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</si>
  <si>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</si>
  <si>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</si>
  <si>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</si>
  <si>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</si>
  <si>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</si>
  <si>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</si>
  <si>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</si>
  <si>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</si>
  <si>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</si>
  <si>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</si>
  <si>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</si>
  <si>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</si>
  <si>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</si>
  <si>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</si>
  <si>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</si>
  <si>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</si>
  <si>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</si>
  <si>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</si>
  <si>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</si>
  <si>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</si>
  <si>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</si>
  <si>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</si>
  <si>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</si>
  <si>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</si>
  <si>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</si>
  <si>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</si>
  <si>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</si>
  <si>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</si>
  <si>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</si>
  <si>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</si>
  <si>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</si>
  <si>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</si>
  <si>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</si>
  <si>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</si>
  <si>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</si>
  <si>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</si>
  <si>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</si>
  <si>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</si>
  <si>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</si>
  <si>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</si>
  <si>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</si>
  <si>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</si>
  <si>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</si>
  <si>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</si>
  <si>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</si>
  <si>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</si>
  <si>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</si>
  <si>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</si>
  <si>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</si>
  <si>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</si>
  <si>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</si>
  <si>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</si>
  <si>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</si>
  <si>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</si>
  <si>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</si>
  <si>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</si>
  <si>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</si>
  <si>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</si>
  <si>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</si>
  <si>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</si>
  <si>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</si>
  <si>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</si>
  <si>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</si>
  <si>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</si>
  <si>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</si>
  <si>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</si>
  <si>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</si>
  <si>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</si>
  <si>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</si>
  <si>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</si>
  <si>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</si>
  <si>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</si>
  <si>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</si>
  <si>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</si>
  <si>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</si>
  <si>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</si>
  <si>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</si>
  <si>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</si>
  <si>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</si>
  <si>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</si>
  <si>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</si>
  <si>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</si>
  <si>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</si>
  <si>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</si>
  <si>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</si>
  <si>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</si>
  <si>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</si>
  <si>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</si>
  <si>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</si>
  <si>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</si>
  <si>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</si>
  <si>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</si>
  <si>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</si>
  <si>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</si>
  <si>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</si>
  <si>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</si>
  <si>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</si>
  <si>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</si>
  <si>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</si>
  <si>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</si>
  <si>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</si>
  <si>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</si>
  <si>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</si>
  <si>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</si>
  <si>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</si>
  <si>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</si>
  <si>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</si>
  <si>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</si>
  <si>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</si>
  <si>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</si>
  <si>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</si>
  <si>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</si>
  <si>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</si>
  <si>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</si>
  <si>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</si>
  <si>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</si>
  <si>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</si>
  <si>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</si>
  <si>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</si>
  <si>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</si>
  <si>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</si>
  <si>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</si>
  <si>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</si>
  <si>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</si>
  <si>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</si>
  <si>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</si>
  <si>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</si>
  <si>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</si>
  <si>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</si>
  <si>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</si>
  <si>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</si>
  <si>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</si>
  <si>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</si>
  <si>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</si>
  <si>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</si>
  <si>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</si>
  <si>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</si>
  <si>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</si>
  <si>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</si>
  <si>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</si>
  <si>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</si>
  <si>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</si>
  <si>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</si>
  <si>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</si>
  <si>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</si>
  <si>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</si>
  <si>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</si>
  <si>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</si>
  <si>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</si>
  <si>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</si>
  <si>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</si>
  <si>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</si>
  <si>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</si>
  <si>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</si>
  <si>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</si>
  <si>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</si>
  <si>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</si>
  <si>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</si>
  <si>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</si>
  <si>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</si>
  <si>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</si>
  <si>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</si>
  <si>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</si>
  <si>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</si>
  <si>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</si>
  <si>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</si>
  <si>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</si>
  <si>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</si>
  <si>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</si>
  <si>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</si>
  <si>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</si>
  <si>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</si>
  <si>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</si>
  <si>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</si>
  <si>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</si>
  <si>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</si>
  <si>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</si>
  <si>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</si>
  <si>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</si>
  <si>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</si>
  <si>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</si>
  <si>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</si>
  <si>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</si>
  <si>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</si>
  <si>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</si>
  <si>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</si>
  <si>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</si>
  <si>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</si>
  <si>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</si>
  <si>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</si>
  <si>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</si>
  <si>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</si>
  <si>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</si>
  <si>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</si>
  <si>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</si>
  <si>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</si>
  <si>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</si>
  <si>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</si>
  <si>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</si>
  <si>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</si>
  <si>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</si>
  <si>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</si>
  <si>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</si>
  <si>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</si>
  <si>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</si>
  <si>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</si>
  <si>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</si>
  <si>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</si>
  <si>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</si>
  <si>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</si>
  <si>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</si>
  <si>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</si>
  <si>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</si>
  <si>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</si>
  <si>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</si>
  <si>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</si>
  <si>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</si>
  <si>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</si>
  <si>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</si>
  <si>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</si>
  <si>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</si>
  <si>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</si>
  <si>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</si>
  <si>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</si>
  <si>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</si>
  <si>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</si>
  <si>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</si>
  <si>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</si>
  <si>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</si>
  <si>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</si>
  <si>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</si>
  <si>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</si>
  <si>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</si>
  <si>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</si>
  <si>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</si>
  <si>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</si>
  <si>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</si>
  <si>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</si>
  <si>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</si>
  <si>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</si>
  <si>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</si>
  <si>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</si>
  <si>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</si>
  <si>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</si>
  <si>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</si>
  <si>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</si>
  <si>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</si>
  <si>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</si>
  <si>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</si>
  <si>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</si>
  <si>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</si>
  <si>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</si>
  <si>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</si>
  <si>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</si>
  <si>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</si>
  <si>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</si>
  <si>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</si>
  <si>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</si>
  <si>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</si>
  <si>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</si>
  <si>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</si>
  <si>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</si>
  <si>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</si>
  <si>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</si>
  <si>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</si>
  <si>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</si>
  <si>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</si>
  <si>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</si>
  <si>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</si>
  <si>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</si>
  <si>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</si>
  <si>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</si>
  <si>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</si>
  <si>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</si>
  <si>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</si>
  <si>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</si>
  <si>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</si>
  <si>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</si>
  <si>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</si>
  <si>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</si>
  <si>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</si>
  <si>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</si>
  <si>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</si>
  <si>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</si>
  <si>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</si>
  <si>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</si>
  <si>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</si>
  <si>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</si>
  <si>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</si>
  <si>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</si>
  <si>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</si>
  <si>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</si>
  <si>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</si>
  <si>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</si>
  <si>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</si>
  <si>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</si>
  <si>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</si>
  <si>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</si>
  <si>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</si>
  <si>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</si>
  <si>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</si>
  <si>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</si>
  <si>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</si>
  <si>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</si>
  <si>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</si>
  <si>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</si>
  <si>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</si>
  <si>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</si>
  <si>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</si>
  <si>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</si>
  <si>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</si>
  <si>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</si>
  <si>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</si>
  <si>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</si>
  <si>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</si>
  <si>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</si>
  <si>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</si>
  <si>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</si>
  <si>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</si>
  <si>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</si>
  <si>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</si>
  <si>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</si>
  <si>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</si>
  <si>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</si>
  <si>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</si>
  <si>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</si>
  <si>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</si>
  <si>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</si>
  <si>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</si>
  <si>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</si>
  <si>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</si>
  <si>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</si>
  <si>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</si>
  <si>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</si>
  <si>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</si>
  <si>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</si>
  <si>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</si>
  <si>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</si>
  <si>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</si>
  <si>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</si>
  <si>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</si>
  <si>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</si>
  <si>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</si>
  <si>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</si>
  <si>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</si>
  <si>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</si>
  <si>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</si>
  <si>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</si>
  <si>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</si>
  <si>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</si>
  <si>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</si>
  <si>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</si>
  <si>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</si>
  <si>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</si>
  <si>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</si>
  <si>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</si>
  <si>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</si>
  <si>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</si>
  <si>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</si>
  <si>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</si>
  <si>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</si>
  <si>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</si>
  <si>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</si>
  <si>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</si>
  <si>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</si>
  <si>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</si>
  <si>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</si>
  <si>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</si>
  <si>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</si>
  <si>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</si>
  <si>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</si>
  <si>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</si>
  <si>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</si>
  <si>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</si>
  <si>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</si>
  <si>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</si>
  <si>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</si>
  <si>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</si>
  <si>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</si>
  <si>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</si>
  <si>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</si>
  <si>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</si>
  <si>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</si>
  <si>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</si>
  <si>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</si>
  <si>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</si>
  <si>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</si>
  <si>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</si>
  <si>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</si>
  <si>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</si>
  <si>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</si>
  <si>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</si>
  <si>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</si>
  <si>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</si>
  <si>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</si>
  <si>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</si>
  <si>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</si>
  <si>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</si>
  <si>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</si>
  <si>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</si>
  <si>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</si>
  <si>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</si>
  <si>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</si>
  <si>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</si>
  <si>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</si>
  <si>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</si>
  <si>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</si>
  <si>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</si>
  <si>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</si>
  <si>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</si>
  <si>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</si>
  <si>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</si>
  <si>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</si>
  <si>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</si>
  <si>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</si>
  <si>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</si>
  <si>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</si>
  <si>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</si>
  <si>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</si>
  <si>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</si>
  <si>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</si>
  <si>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</si>
  <si>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</si>
  <si>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</si>
  <si>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</si>
  <si>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</si>
  <si>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</si>
  <si>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</si>
  <si>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</si>
  <si>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</si>
  <si>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</si>
  <si>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</si>
  <si>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</si>
  <si>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</si>
  <si>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</si>
  <si>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</si>
  <si>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</si>
  <si>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</si>
  <si>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</si>
  <si>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</si>
  <si>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</si>
  <si>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</si>
  <si>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</si>
  <si>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</si>
  <si>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</si>
  <si>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</si>
  <si>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</si>
  <si>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</si>
  <si>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</si>
  <si>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</si>
  <si>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</si>
  <si>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</si>
  <si>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</si>
  <si>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</si>
  <si>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</si>
  <si>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</si>
  <si>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</si>
  <si>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</si>
  <si>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</si>
  <si>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</si>
  <si>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</si>
  <si>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</si>
  <si>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</si>
  <si>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</si>
  <si>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</si>
  <si>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</si>
  <si>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</si>
  <si>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</si>
  <si>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</si>
  <si>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</si>
  <si>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</si>
  <si>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</si>
  <si>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</si>
  <si>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</si>
  <si>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</si>
  <si>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</si>
  <si>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</si>
  <si>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</si>
  <si>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</si>
  <si>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</si>
  <si>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</si>
  <si>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</si>
  <si>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</si>
  <si>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</si>
  <si>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</si>
  <si>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</si>
  <si>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</si>
  <si>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</si>
  <si>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</si>
  <si>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</si>
  <si>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</si>
  <si>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</si>
  <si>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</si>
  <si>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</si>
  <si>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</si>
  <si>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</si>
  <si>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</si>
  <si>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</si>
  <si>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</si>
  <si>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</si>
  <si>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</si>
  <si>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</si>
  <si>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</si>
  <si>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</si>
  <si>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</si>
  <si>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</si>
  <si>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</si>
  <si>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</si>
  <si>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</si>
  <si>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</si>
  <si>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</si>
  <si>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</si>
  <si>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</si>
  <si>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</si>
  <si>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</si>
  <si>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</si>
  <si>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</si>
  <si>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</si>
  <si>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</si>
  <si>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</si>
  <si>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</si>
  <si>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</si>
  <si>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</si>
  <si>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</si>
  <si>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</si>
  <si>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</si>
  <si>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</si>
  <si>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</si>
  <si>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</si>
  <si>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</si>
  <si>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</si>
  <si>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</si>
  <si>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</si>
  <si>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</si>
  <si>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</si>
  <si>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</si>
  <si>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</si>
  <si>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</si>
  <si>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</si>
  <si>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</si>
  <si>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</si>
  <si>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</si>
  <si>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</si>
  <si>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</si>
  <si>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</si>
  <si>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</si>
  <si>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</si>
  <si>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</si>
  <si>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</si>
  <si>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</si>
  <si>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</si>
  <si>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</si>
  <si>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</si>
  <si>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</si>
  <si>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</si>
  <si>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</si>
  <si>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</si>
  <si>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</si>
  <si>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</si>
  <si>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</si>
  <si>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</si>
  <si>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</si>
  <si>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</si>
  <si>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</si>
  <si>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</si>
  <si>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</si>
  <si>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</si>
  <si>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</si>
  <si>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</si>
  <si>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</si>
  <si>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</si>
  <si>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</si>
  <si>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</si>
  <si>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</si>
  <si>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</si>
  <si>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</si>
  <si>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</si>
  <si>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</si>
  <si>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</si>
  <si>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</si>
  <si>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</si>
  <si>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</si>
  <si>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</si>
  <si>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</si>
  <si>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</si>
  <si>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</si>
  <si>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</si>
  <si>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</si>
  <si>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</si>
  <si>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</si>
  <si>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</si>
  <si>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</si>
  <si>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</si>
  <si>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</si>
  <si>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</si>
  <si>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</si>
  <si>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</si>
  <si>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</si>
  <si>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</si>
  <si>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</si>
  <si>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</si>
  <si>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</si>
  <si>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</si>
  <si>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</si>
  <si>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</si>
  <si>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</si>
  <si>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</si>
  <si>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</si>
  <si>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</si>
  <si>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</si>
  <si>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</si>
  <si>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</si>
  <si>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</si>
  <si>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</si>
  <si>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</si>
  <si>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</si>
  <si>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</si>
  <si>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</si>
  <si>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</si>
  <si>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</si>
  <si>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</si>
  <si>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</si>
  <si>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</si>
  <si>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</si>
  <si>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</si>
  <si>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</si>
  <si>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</si>
  <si>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</si>
  <si>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</si>
  <si>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</si>
  <si>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</si>
  <si>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</si>
  <si>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</si>
  <si>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</si>
  <si>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</si>
  <si>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</si>
  <si>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</si>
  <si>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</si>
  <si>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</si>
  <si>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</si>
  <si>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</si>
  <si>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</si>
  <si>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</si>
  <si>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</si>
  <si>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</si>
  <si>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</si>
  <si>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</si>
  <si>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</si>
  <si>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</si>
  <si>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</si>
  <si>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</si>
  <si>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</si>
  <si>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</si>
  <si>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</si>
  <si>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</si>
  <si>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</si>
  <si>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</si>
  <si>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</si>
  <si>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</si>
  <si>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</si>
  <si>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</si>
  <si>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</si>
  <si>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</si>
  <si>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</si>
  <si>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</si>
  <si>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</si>
  <si>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</si>
  <si>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</si>
  <si>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</si>
  <si>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</si>
  <si>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</si>
  <si>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</si>
  <si>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</si>
  <si>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</si>
  <si>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</si>
  <si>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</si>
  <si>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</si>
  <si>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</si>
  <si>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</si>
  <si>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</si>
  <si>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</si>
  <si>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</si>
  <si>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</si>
  <si>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</si>
  <si>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</si>
  <si>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</si>
  <si>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</si>
  <si>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</si>
  <si>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</si>
  <si>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</si>
  <si>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</si>
  <si>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</si>
  <si>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</si>
  <si>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</si>
  <si>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</si>
  <si>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</si>
  <si>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</si>
  <si>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</si>
  <si>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</si>
  <si>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</si>
  <si>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</si>
  <si>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</si>
  <si>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</si>
  <si>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</si>
  <si>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</si>
  <si>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</si>
  <si>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</si>
  <si>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</si>
  <si>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</si>
  <si>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</si>
  <si>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</si>
  <si>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</si>
  <si>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</si>
  <si>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</si>
  <si>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</si>
  <si>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</si>
  <si>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</si>
  <si>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</si>
  <si>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</si>
  <si>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</si>
  <si>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</si>
  <si>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</si>
  <si>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</si>
  <si>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</si>
  <si>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</si>
  <si>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</si>
  <si>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</si>
  <si>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</si>
  <si>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</si>
  <si>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</si>
  <si>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</si>
  <si>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</si>
  <si>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</si>
  <si>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</si>
  <si>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</si>
  <si>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</si>
  <si>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</si>
  <si>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</si>
  <si>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</si>
  <si>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</si>
  <si>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</si>
  <si>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</si>
  <si>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</si>
  <si>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</si>
  <si>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</si>
  <si>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</si>
  <si>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</si>
  <si>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</si>
  <si>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</si>
  <si>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</si>
  <si>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</si>
  <si>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</si>
  <si>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</si>
  <si>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</si>
  <si>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</si>
  <si>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</si>
  <si>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</si>
  <si>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</si>
  <si>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</si>
  <si>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</si>
  <si>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</si>
  <si>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</si>
  <si>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</si>
  <si>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</si>
  <si>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</si>
  <si>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</si>
  <si>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</si>
  <si>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</si>
  <si>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</si>
  <si>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</si>
  <si>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</si>
  <si>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</si>
  <si>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</si>
  <si>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</si>
  <si>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</si>
  <si>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</si>
  <si>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</si>
  <si>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</si>
  <si>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</si>
  <si>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</si>
  <si>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</si>
  <si>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</si>
  <si>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</si>
  <si>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</si>
  <si>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</si>
  <si>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</si>
  <si>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</si>
  <si>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</si>
  <si>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</si>
  <si>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</si>
  <si>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</si>
  <si>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</si>
  <si>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</si>
  <si>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</si>
  <si>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</si>
  <si>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</si>
  <si>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</si>
  <si>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</si>
  <si>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</si>
  <si>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</si>
  <si>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</si>
  <si>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</si>
  <si>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</si>
  <si>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</si>
  <si>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</si>
  <si>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</si>
  <si>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</si>
  <si>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</si>
  <si>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</si>
  <si>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</si>
  <si>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</si>
  <si>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</si>
  <si>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</si>
  <si>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</si>
  <si>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</si>
  <si>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</si>
  <si>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</si>
  <si>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</si>
  <si>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</si>
  <si>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</si>
  <si>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</si>
  <si>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</si>
  <si>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</si>
  <si>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</si>
  <si>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</si>
  <si>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</si>
  <si>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</si>
  <si>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</si>
  <si>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</si>
  <si>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</si>
  <si>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</si>
  <si>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</si>
  <si>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</si>
  <si>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</si>
  <si>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</si>
  <si>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</si>
  <si>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</si>
  <si>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</si>
  <si>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</si>
  <si>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</si>
  <si>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</si>
  <si>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</si>
  <si>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</si>
  <si>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</si>
  <si>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</si>
  <si>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</si>
  <si>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</si>
  <si>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</si>
  <si>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</si>
  <si>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</si>
  <si>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</si>
  <si>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</si>
  <si>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</si>
  <si>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</si>
  <si>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</si>
  <si>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</si>
  <si>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</si>
  <si>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</si>
  <si>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</si>
  <si>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</si>
  <si>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</si>
  <si>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</si>
  <si>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</si>
  <si>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</si>
  <si>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</si>
  <si>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</si>
  <si>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</si>
  <si>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</si>
  <si>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</si>
  <si>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</si>
  <si>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</si>
  <si>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</si>
  <si>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</si>
  <si>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</si>
  <si>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</si>
  <si>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</si>
  <si>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</si>
  <si>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</si>
  <si>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</si>
  <si>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</si>
  <si>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</si>
  <si>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</si>
  <si>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</si>
  <si>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</si>
  <si>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</si>
  <si>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</si>
  <si>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</si>
  <si>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</si>
  <si>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</si>
  <si>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</si>
  <si>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</si>
  <si>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</si>
  <si>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</si>
  <si>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</si>
  <si>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</si>
  <si>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</si>
  <si>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</si>
  <si>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</si>
  <si>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</si>
  <si>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</si>
  <si>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</si>
  <si>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</si>
  <si>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</si>
  <si>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</si>
  <si>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</si>
  <si>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</si>
  <si>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</si>
  <si>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</si>
  <si>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</si>
  <si>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</si>
  <si>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</si>
  <si>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</si>
  <si>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</si>
  <si>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</si>
  <si>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</si>
  <si>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</si>
  <si>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</si>
  <si>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</si>
  <si>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</si>
  <si>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</si>
  <si>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</si>
  <si>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</si>
  <si>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</si>
  <si>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</si>
  <si>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</si>
  <si>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</si>
  <si>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</si>
  <si>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</si>
  <si>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</si>
  <si>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</si>
  <si>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</si>
  <si>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</si>
  <si>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</si>
  <si>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</si>
  <si>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</si>
  <si>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</si>
  <si>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</si>
  <si>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</si>
  <si>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</si>
  <si>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</si>
  <si>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</si>
  <si>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</si>
  <si>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</si>
  <si>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</si>
  <si>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</si>
  <si>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</si>
  <si>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</si>
  <si>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</si>
  <si>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</si>
  <si>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</si>
  <si>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</si>
  <si>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</si>
  <si>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</si>
  <si>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</si>
  <si>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</si>
  <si>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</si>
  <si>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</si>
  <si>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</si>
  <si>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</si>
  <si>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</si>
  <si>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</si>
  <si>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</si>
  <si>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</si>
  <si>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</si>
  <si>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</si>
  <si>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</si>
  <si>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</si>
  <si>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</si>
  <si>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</si>
  <si>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</si>
  <si>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</si>
  <si>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</si>
  <si>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</si>
  <si>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</si>
  <si>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</si>
  <si>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</si>
  <si>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</si>
  <si>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</si>
  <si>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</si>
  <si>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</si>
  <si>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</si>
  <si>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</si>
  <si>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</si>
  <si>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</si>
  <si>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</si>
  <si>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</si>
  <si>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</si>
  <si>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</si>
  <si>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</si>
  <si>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</si>
  <si>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</si>
  <si>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</si>
  <si>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</si>
  <si>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</si>
  <si>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</si>
  <si>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</si>
  <si>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</si>
  <si>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</si>
  <si>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</si>
  <si>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</si>
  <si>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</si>
  <si>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</si>
  <si>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</si>
  <si>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</si>
  <si>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</si>
  <si>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</si>
  <si>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</si>
  <si>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</si>
  <si>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</si>
  <si>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</si>
  <si>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</si>
  <si>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</si>
  <si>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</si>
  <si>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</si>
  <si>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</si>
  <si>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</si>
  <si>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</si>
  <si>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</si>
  <si>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</si>
  <si>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</si>
  <si>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</si>
  <si>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</si>
  <si>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</si>
  <si>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</si>
  <si>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</si>
  <si>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</si>
  <si>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</si>
  <si>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</si>
  <si>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</si>
  <si>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</si>
  <si>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</si>
  <si>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</si>
  <si>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</si>
  <si>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</si>
  <si>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</si>
  <si>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</si>
  <si>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</si>
  <si>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</si>
  <si>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</si>
  <si>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</si>
  <si>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</si>
  <si>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</si>
  <si>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</si>
  <si>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</si>
  <si>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</si>
  <si>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</si>
  <si>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</si>
  <si>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</si>
  <si>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</si>
  <si>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</si>
  <si>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</si>
  <si>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</si>
  <si>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</si>
  <si>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</si>
  <si>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</si>
  <si>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</si>
  <si>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</si>
  <si>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</si>
  <si>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</si>
  <si>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</si>
  <si>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</si>
  <si>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</si>
  <si>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</si>
  <si>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</si>
  <si>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</si>
  <si>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</si>
  <si>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</si>
  <si>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</si>
  <si>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</si>
  <si>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</si>
  <si>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</si>
  <si>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</si>
  <si>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</si>
  <si>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</si>
  <si>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</si>
  <si>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</si>
  <si>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</si>
  <si>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</si>
  <si>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</si>
  <si>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</si>
  <si>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</si>
  <si>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</si>
  <si>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</si>
  <si>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</si>
  <si>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</si>
  <si>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</si>
  <si>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</si>
  <si>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</si>
  <si>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</si>
  <si>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</si>
  <si>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</si>
  <si>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</si>
  <si>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</si>
  <si>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</si>
  <si>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</si>
  <si>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</si>
  <si>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</si>
  <si>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</si>
  <si>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</si>
  <si>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</si>
  <si>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</si>
  <si>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</si>
  <si>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</si>
  <si>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</si>
  <si>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</si>
  <si>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</si>
  <si>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</si>
  <si>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</si>
  <si>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</si>
  <si>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</si>
  <si>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</si>
  <si>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</si>
  <si>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</si>
  <si>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</si>
  <si>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</si>
  <si>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</si>
  <si>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</si>
  <si>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</si>
  <si>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</si>
  <si>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</si>
  <si>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</si>
  <si>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</si>
  <si>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</si>
  <si>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</si>
  <si>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</si>
  <si>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</si>
  <si>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</si>
  <si>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</si>
  <si>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</si>
  <si>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</si>
  <si>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</si>
  <si>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</si>
  <si>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</si>
  <si>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</si>
  <si>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</si>
  <si>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</si>
  <si>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</si>
  <si>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</si>
  <si>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</si>
  <si>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</si>
  <si>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</si>
  <si>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</si>
  <si>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</si>
  <si>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</si>
  <si>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</si>
  <si>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</si>
  <si>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</si>
  <si>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</si>
  <si>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</si>
  <si>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</si>
  <si>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</si>
  <si>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</si>
  <si>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</si>
  <si>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</si>
  <si>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</si>
  <si>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</si>
  <si>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</si>
  <si>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</si>
  <si>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</si>
  <si>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</si>
  <si>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</si>
  <si>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</si>
  <si>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</si>
  <si>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</si>
  <si>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</si>
  <si>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</si>
  <si>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</si>
  <si>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</si>
  <si>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</si>
  <si>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</si>
  <si>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</si>
  <si>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</si>
  <si>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</si>
  <si>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</si>
  <si>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</si>
  <si>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</si>
  <si>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</si>
  <si>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</si>
  <si>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</si>
  <si>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</si>
  <si>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</si>
  <si>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</si>
  <si>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</si>
  <si>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</si>
  <si>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</si>
  <si>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</si>
  <si>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</si>
  <si>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</si>
  <si>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</si>
  <si>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</si>
  <si>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</si>
  <si>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</si>
  <si>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</si>
  <si>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</si>
  <si>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</si>
  <si>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</si>
  <si>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</si>
  <si>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</si>
  <si>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</si>
  <si>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</si>
  <si>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</si>
  <si>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</si>
  <si>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</si>
  <si>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</si>
  <si>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</si>
  <si>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</si>
  <si>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</si>
  <si>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</si>
  <si>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</si>
  <si>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</si>
  <si>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</si>
  <si>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</si>
  <si>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</si>
  <si>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</si>
  <si>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</si>
  <si>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</si>
  <si>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</si>
  <si>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</si>
  <si>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</si>
  <si>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</si>
  <si>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</si>
  <si>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</si>
  <si>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</si>
  <si>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</si>
  <si>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</si>
  <si>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</si>
  <si>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</si>
  <si>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</si>
  <si>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</si>
  <si>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</si>
  <si>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</si>
  <si>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</si>
  <si>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</si>
  <si>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</si>
  <si>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</si>
  <si>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</si>
  <si>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</si>
  <si>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</si>
  <si>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</si>
  <si>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</si>
  <si>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</si>
  <si>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</si>
  <si>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</si>
  <si>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</si>
  <si>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</si>
  <si>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</si>
  <si>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</si>
  <si>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</si>
  <si>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</si>
  <si>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</si>
  <si>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</si>
  <si>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</si>
  <si>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</si>
  <si>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</si>
  <si>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</si>
  <si>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</si>
  <si>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</si>
  <si>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</si>
  <si>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</si>
  <si>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</si>
  <si>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</si>
  <si>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</si>
  <si>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</si>
  <si>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</si>
  <si>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</si>
  <si>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</si>
  <si>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</si>
  <si>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</si>
  <si>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</si>
  <si>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</si>
  <si>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</si>
  <si>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</si>
  <si>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</si>
  <si>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</si>
  <si>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</si>
  <si>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</si>
  <si>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</si>
  <si>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</si>
  <si>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</si>
  <si>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</si>
  <si>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</si>
  <si>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</si>
  <si>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</si>
  <si>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</si>
  <si>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</si>
  <si>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</si>
  <si>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</si>
  <si>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</si>
  <si>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</si>
  <si>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</si>
  <si>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</si>
  <si>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</si>
  <si>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</si>
  <si>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</si>
  <si>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</si>
  <si>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</si>
  <si>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</si>
  <si>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</si>
  <si>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</si>
  <si>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</si>
  <si>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</si>
  <si>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</si>
  <si>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</si>
  <si>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</si>
  <si>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</si>
  <si>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</si>
  <si>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</si>
  <si>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</si>
  <si>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</si>
  <si>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</si>
  <si>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</si>
  <si>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</si>
  <si>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</si>
  <si>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</si>
  <si>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</si>
  <si>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</si>
  <si>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</si>
  <si>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</si>
  <si>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</si>
  <si>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</si>
  <si>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</si>
  <si>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</si>
  <si>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</si>
  <si>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</si>
  <si>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</si>
  <si>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</si>
  <si>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</si>
  <si>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</si>
  <si>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</si>
  <si>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</si>
  <si>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</si>
  <si>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</si>
  <si>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</si>
  <si>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</si>
  <si>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</si>
  <si>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</si>
  <si>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</si>
  <si>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</si>
  <si>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</si>
  <si>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</si>
  <si>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</si>
  <si>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</si>
  <si>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</si>
  <si>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</si>
  <si>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</si>
  <si>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</si>
  <si>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</si>
  <si>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</si>
  <si>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</si>
  <si>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</si>
  <si>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</si>
  <si>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</si>
  <si>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</si>
  <si>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</si>
  <si>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</si>
  <si>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</si>
  <si>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</si>
  <si>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</si>
  <si>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</si>
  <si>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</si>
  <si>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</si>
  <si>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</si>
  <si>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</si>
  <si>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</si>
  <si>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</si>
  <si>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</si>
  <si>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</si>
  <si>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</si>
  <si>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</si>
  <si>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</si>
  <si>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</si>
  <si>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</si>
  <si>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</si>
  <si>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</si>
  <si>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</si>
  <si>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</si>
  <si>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</si>
  <si>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</si>
  <si>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</si>
  <si>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</si>
  <si>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</si>
  <si>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</si>
  <si>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</si>
  <si>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</si>
  <si>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</si>
  <si>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</si>
  <si>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</si>
  <si>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</si>
  <si>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</si>
  <si>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</si>
  <si>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</si>
  <si>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</si>
  <si>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</si>
  <si>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</si>
  <si>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</si>
  <si>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</si>
  <si>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</si>
  <si>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</si>
  <si>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</si>
  <si>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</si>
  <si>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</si>
  <si>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</si>
  <si>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</si>
  <si>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</si>
  <si>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</si>
  <si>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</si>
  <si>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</si>
  <si>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</si>
  <si>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</si>
  <si>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</si>
  <si>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</si>
  <si>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</si>
  <si>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</si>
  <si>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</si>
  <si>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</si>
  <si>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</si>
  <si>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</si>
  <si>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</si>
  <si>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</si>
  <si>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</si>
  <si>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</si>
  <si>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</si>
  <si>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</si>
  <si>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</si>
  <si>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</si>
  <si>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</si>
  <si>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</si>
  <si>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</si>
  <si>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</si>
  <si>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</si>
  <si>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</si>
  <si>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</si>
  <si>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</si>
  <si>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</si>
  <si>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</si>
  <si>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</si>
  <si>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</si>
  <si>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</si>
  <si>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</si>
  <si>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</si>
  <si>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</si>
  <si>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</si>
  <si>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</si>
  <si>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</si>
  <si>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</si>
  <si>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</si>
  <si>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</si>
  <si>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</si>
  <si>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</si>
  <si>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</si>
  <si>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</si>
  <si>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</si>
  <si>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</si>
  <si>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</si>
  <si>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</si>
  <si>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</si>
  <si>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</si>
  <si>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</si>
  <si>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</si>
  <si>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</si>
  <si>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</si>
  <si>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</si>
  <si>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</si>
  <si>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</si>
  <si>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</si>
  <si>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</si>
  <si>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</si>
  <si>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</si>
  <si>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</si>
  <si>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</si>
  <si>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</si>
  <si>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</si>
  <si>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</si>
  <si>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</si>
  <si>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</si>
  <si>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</si>
  <si>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</si>
  <si>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</si>
  <si>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</si>
  <si>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</si>
  <si>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</si>
  <si>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</si>
  <si>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</si>
  <si>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</si>
  <si>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</si>
  <si>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</si>
  <si>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</si>
  <si>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</si>
  <si>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</si>
  <si>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</si>
  <si>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</si>
  <si>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</si>
  <si>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</si>
  <si>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</si>
  <si>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</si>
  <si>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</si>
  <si>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</si>
  <si>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</si>
  <si>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</si>
  <si>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</si>
  <si>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</si>
  <si>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</si>
  <si>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</si>
  <si>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</si>
  <si>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</si>
  <si>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</si>
  <si>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</si>
  <si>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</si>
  <si>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</si>
  <si>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</si>
  <si>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</si>
  <si>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</si>
  <si>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</si>
  <si>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</si>
  <si>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</si>
  <si>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</si>
  <si>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</si>
  <si>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</si>
  <si>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</si>
  <si>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</si>
  <si>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</si>
  <si>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</si>
  <si>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</si>
  <si>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</si>
  <si>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</si>
  <si>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</si>
  <si>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</si>
  <si>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</si>
  <si>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</si>
  <si>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</si>
  <si>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</si>
  <si>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</si>
  <si>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</si>
  <si>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</si>
  <si>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</si>
  <si>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</si>
  <si>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</si>
  <si>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</si>
  <si>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</si>
  <si>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</si>
  <si>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</si>
  <si>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</si>
  <si>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</si>
  <si>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</si>
  <si>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</si>
  <si>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</si>
  <si>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</si>
  <si>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</si>
  <si>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</si>
  <si>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</si>
  <si>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</si>
  <si>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</si>
  <si>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</si>
  <si>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</si>
  <si>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</si>
  <si>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</si>
  <si>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</si>
  <si>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</si>
  <si>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</si>
  <si>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</si>
  <si>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</si>
  <si>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</si>
  <si>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</si>
  <si>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</si>
  <si>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</si>
  <si>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</si>
  <si>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</si>
  <si>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</si>
  <si>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</si>
  <si>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</si>
  <si>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</si>
  <si>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</si>
  <si>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</si>
  <si>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</si>
  <si>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</si>
  <si>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</si>
  <si>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</si>
  <si>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</si>
  <si>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</si>
  <si>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</si>
  <si>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</si>
  <si>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</si>
  <si>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</si>
  <si>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</si>
  <si>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</si>
  <si>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</si>
  <si>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</si>
  <si>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</si>
  <si>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</si>
  <si>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</si>
  <si>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</si>
  <si>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</si>
  <si>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</si>
  <si>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</si>
  <si>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</si>
  <si>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</si>
  <si>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</si>
  <si>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</si>
  <si>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</si>
  <si>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</si>
  <si>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</si>
  <si>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</si>
  <si>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</si>
  <si>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</si>
  <si>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</si>
  <si>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</si>
  <si>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</si>
  <si>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</si>
  <si>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</si>
  <si>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</si>
  <si>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</si>
  <si>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</si>
  <si>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</si>
  <si>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</si>
  <si>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</si>
  <si>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</si>
  <si>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</si>
  <si>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</si>
  <si>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</si>
  <si>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</si>
  <si>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</si>
  <si>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</si>
  <si>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</si>
  <si>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</si>
  <si>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</si>
  <si>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</si>
  <si>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</si>
  <si>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</si>
  <si>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</si>
  <si>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</si>
  <si>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</si>
  <si>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</si>
  <si>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</si>
  <si>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</si>
  <si>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</si>
  <si>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</si>
  <si>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</si>
  <si>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</si>
  <si>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</si>
  <si>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</si>
  <si>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</si>
  <si>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</si>
  <si>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</si>
  <si>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</si>
  <si>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</si>
  <si>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</si>
  <si>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</si>
  <si>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</si>
  <si>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</si>
  <si>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</si>
  <si>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</si>
  <si>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</si>
  <si>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</si>
  <si>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</si>
  <si>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</si>
  <si>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</si>
  <si>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</si>
  <si>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</si>
  <si>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</si>
  <si>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</si>
  <si>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</si>
  <si>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</si>
  <si>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</si>
  <si>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</si>
  <si>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</si>
  <si>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</si>
  <si>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</si>
  <si>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</si>
  <si>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</si>
  <si>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</si>
  <si>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</si>
  <si>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</si>
  <si>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</si>
  <si>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</si>
  <si>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</si>
  <si>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</si>
  <si>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</si>
  <si>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</si>
  <si>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</si>
  <si>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</si>
  <si>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</si>
  <si>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</si>
  <si>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</si>
  <si>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</si>
  <si>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</si>
  <si>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</si>
  <si>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</si>
  <si>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</si>
  <si>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</si>
  <si>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</si>
  <si>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</si>
  <si>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</si>
  <si>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</si>
  <si>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</si>
  <si>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</si>
  <si>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</si>
  <si>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</si>
  <si>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</si>
  <si>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</si>
  <si>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</si>
  <si>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</si>
  <si>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</si>
  <si>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</si>
  <si>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</si>
  <si>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</si>
  <si>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</si>
  <si>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</si>
  <si>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</si>
  <si>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</si>
  <si>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</si>
  <si>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</si>
  <si>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</si>
  <si>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</si>
  <si>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</si>
  <si>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</si>
  <si>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</si>
  <si>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</si>
  <si>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</si>
  <si>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</si>
  <si>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</si>
  <si>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</si>
  <si>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</si>
  <si>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</si>
  <si>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</si>
  <si>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</si>
  <si>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</si>
  <si>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</si>
  <si>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</si>
  <si>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</si>
  <si>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</si>
  <si>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</si>
  <si>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</si>
  <si>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</si>
  <si>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</si>
  <si>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</si>
  <si>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</si>
  <si>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</si>
  <si>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</si>
  <si>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</si>
  <si>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</si>
  <si>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</si>
  <si>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</si>
  <si>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</si>
  <si>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</si>
  <si>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</si>
  <si>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</si>
  <si>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</si>
  <si>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</si>
  <si>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</si>
  <si>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</si>
  <si>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</si>
  <si>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</si>
  <si>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</si>
  <si>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</si>
  <si>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</si>
  <si>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</si>
  <si>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</si>
  <si>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</si>
  <si>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</si>
  <si>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</si>
  <si>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</si>
  <si>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</si>
  <si>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</si>
  <si>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</si>
  <si>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</si>
  <si>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</si>
  <si>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</si>
  <si>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</si>
  <si>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</si>
  <si>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</si>
  <si>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</si>
  <si>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</si>
  <si>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</si>
  <si>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</si>
  <si>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</si>
  <si>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</si>
  <si>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</si>
  <si>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</si>
  <si>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</si>
  <si>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</si>
  <si>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</si>
  <si>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</si>
  <si>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</si>
  <si>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</si>
  <si>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</si>
  <si>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</si>
  <si>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</si>
  <si>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</si>
  <si>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</si>
  <si>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</si>
  <si>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</si>
  <si>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</si>
  <si>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</si>
  <si>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</si>
  <si>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</si>
  <si>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</si>
  <si>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</si>
  <si>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</si>
  <si>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</si>
  <si>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</si>
  <si>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</si>
  <si>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</si>
  <si>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</si>
  <si>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</si>
  <si>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</si>
  <si>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</si>
  <si>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</si>
  <si>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</si>
  <si>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</si>
  <si>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</si>
  <si>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</si>
  <si>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</si>
  <si>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</si>
  <si>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</si>
  <si>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</si>
  <si>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</si>
  <si>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</si>
  <si>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</si>
  <si>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</si>
  <si>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</si>
  <si>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</si>
  <si>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</si>
  <si>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</si>
  <si>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</si>
  <si>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</si>
  <si>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</si>
  <si>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</si>
  <si>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</si>
  <si>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</si>
  <si>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</si>
  <si>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</si>
  <si>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</si>
  <si>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</si>
  <si>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</si>
  <si>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</si>
  <si>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</si>
  <si>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</si>
  <si>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</si>
  <si>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</si>
  <si>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</si>
  <si>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</si>
  <si>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</si>
  <si>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</si>
  <si>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</si>
  <si>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</si>
  <si>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</si>
  <si>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</si>
  <si>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</si>
  <si>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</si>
  <si>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</si>
  <si>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</si>
  <si>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</si>
  <si>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</si>
  <si>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</si>
  <si>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</si>
  <si>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</si>
  <si>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</si>
  <si>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</si>
  <si>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</si>
  <si>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</si>
  <si>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</si>
  <si>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</si>
  <si>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</si>
  <si>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</si>
  <si>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</si>
  <si>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</si>
  <si>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</si>
  <si>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</si>
  <si>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</si>
  <si>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</si>
  <si>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</si>
  <si>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</si>
  <si>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</si>
  <si>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</si>
  <si>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</si>
  <si>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</si>
  <si>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</si>
  <si>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</si>
  <si>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</si>
  <si>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</si>
  <si>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</si>
  <si>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</si>
  <si>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</si>
  <si>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</si>
  <si>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</si>
  <si>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</si>
  <si>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</si>
  <si>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</si>
  <si>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</si>
  <si>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</si>
  <si>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</si>
  <si>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</si>
  <si>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</si>
  <si>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</si>
  <si>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</si>
  <si>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</si>
  <si>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</si>
  <si>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</si>
  <si>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</si>
  <si>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</si>
  <si>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</si>
  <si>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</si>
  <si>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</si>
  <si>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</si>
  <si>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</si>
  <si>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</si>
  <si>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</si>
  <si>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</si>
  <si>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</si>
  <si>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</si>
  <si>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</si>
  <si>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</si>
  <si>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</si>
  <si>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</si>
  <si>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</si>
  <si>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</si>
  <si>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</si>
  <si>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</si>
  <si>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</si>
  <si>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</si>
  <si>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</si>
  <si>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</si>
  <si>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</si>
  <si>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</si>
  <si>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</si>
  <si>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</si>
  <si>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</si>
  <si>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</si>
  <si>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</si>
  <si>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</si>
  <si>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</si>
  <si>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</si>
  <si>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</si>
  <si>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</si>
  <si>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</si>
  <si>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</si>
  <si>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</si>
  <si>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</si>
  <si>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</si>
  <si>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</si>
  <si>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</si>
  <si>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</si>
  <si>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</si>
  <si>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</si>
  <si>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</si>
  <si>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</si>
  <si>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</si>
  <si>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</si>
  <si>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</si>
  <si>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</si>
  <si>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</si>
  <si>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</si>
  <si>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</si>
  <si>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</si>
  <si>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</si>
  <si>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</si>
  <si>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</si>
  <si>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</si>
  <si>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</si>
  <si>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</si>
  <si>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</si>
  <si>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</si>
  <si>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</si>
  <si>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</si>
  <si>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</si>
  <si>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</si>
  <si>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</si>
  <si>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</si>
  <si>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</si>
  <si>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</si>
  <si>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</si>
  <si>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</si>
  <si>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</si>
  <si>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</si>
  <si>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</si>
  <si>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</si>
  <si>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</si>
  <si>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</si>
  <si>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</si>
  <si>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</si>
  <si>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</si>
  <si>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</si>
  <si>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</si>
  <si>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</si>
  <si>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</si>
  <si>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</si>
  <si>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</si>
  <si>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</si>
  <si>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</si>
  <si>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</si>
  <si>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</si>
  <si>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</si>
  <si>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</si>
  <si>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</si>
  <si>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</si>
  <si>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</si>
  <si>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</si>
  <si>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</si>
  <si>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</si>
  <si>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</si>
  <si>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</si>
  <si>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</si>
  <si>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</si>
  <si>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</si>
  <si>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</si>
  <si>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</si>
  <si>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</si>
  <si>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</si>
  <si>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</si>
  <si>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</si>
  <si>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</si>
  <si>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</si>
  <si>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</si>
  <si>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</si>
  <si>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</si>
  <si>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</si>
  <si>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</si>
  <si>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</si>
  <si>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</si>
  <si>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</si>
  <si>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</si>
  <si>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</si>
  <si>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</si>
  <si>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</si>
  <si>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</si>
  <si>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</si>
  <si>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</si>
  <si>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</si>
  <si>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</si>
  <si>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</si>
  <si>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</si>
  <si>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</si>
  <si>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</si>
  <si>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</si>
  <si>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</si>
  <si>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</si>
  <si>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</si>
  <si>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</si>
  <si>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</si>
  <si>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</si>
  <si>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</si>
  <si>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</si>
  <si>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</si>
  <si>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</si>
  <si>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</si>
  <si>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</si>
  <si>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</si>
  <si>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</si>
  <si>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</si>
  <si>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</si>
  <si>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</si>
  <si>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</si>
  <si>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</si>
  <si>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</si>
  <si>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</si>
  <si>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</si>
  <si>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</si>
  <si>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</si>
  <si>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</si>
  <si>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</si>
  <si>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</si>
  <si>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</si>
  <si>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</si>
  <si>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</si>
  <si>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</si>
  <si>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</si>
  <si>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</si>
  <si>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</si>
  <si>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</si>
  <si>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</si>
  <si>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</si>
  <si>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</si>
  <si>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</si>
  <si>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</si>
  <si>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</si>
  <si>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</si>
  <si>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</si>
  <si>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</si>
  <si>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</si>
  <si>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</si>
  <si>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</si>
  <si>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</si>
  <si>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</si>
  <si>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</si>
  <si>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</si>
  <si>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</si>
  <si>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</si>
  <si>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</si>
  <si>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</si>
  <si>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</si>
  <si>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</si>
  <si>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</si>
  <si>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</si>
  <si>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</si>
  <si>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</si>
  <si>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</si>
  <si>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</si>
  <si>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</si>
  <si>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</si>
  <si>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</si>
  <si>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</si>
  <si>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</si>
  <si>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</si>
  <si>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</si>
  <si>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</si>
  <si>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</si>
  <si>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</si>
  <si>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</si>
  <si>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</si>
  <si>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</si>
  <si>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</si>
  <si>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</si>
  <si>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</si>
  <si>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</si>
  <si>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</si>
  <si>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</si>
  <si>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</si>
  <si>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</si>
  <si>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</si>
  <si>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</si>
  <si>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</si>
  <si>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</si>
  <si>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</si>
  <si>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</si>
  <si>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</si>
  <si>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</si>
  <si>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</si>
  <si>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</si>
  <si>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</si>
  <si>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</si>
  <si>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</si>
  <si>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</si>
  <si>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</si>
  <si>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</si>
  <si>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</si>
  <si>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</si>
  <si>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</si>
  <si>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</si>
  <si>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</si>
  <si>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</si>
  <si>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</si>
  <si>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</si>
  <si>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</si>
  <si>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</si>
  <si>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</si>
  <si>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</si>
  <si>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</si>
  <si>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</si>
  <si>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</si>
  <si>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</si>
  <si>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</si>
  <si>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</si>
  <si>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</si>
  <si>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</si>
  <si>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</si>
  <si>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</si>
  <si>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</si>
  <si>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</si>
  <si>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</si>
  <si>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</si>
  <si>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</si>
  <si>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</si>
  <si>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</si>
  <si>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</si>
  <si>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</si>
  <si>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</si>
  <si>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</si>
  <si>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</si>
  <si>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</si>
  <si>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</si>
  <si>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</si>
  <si>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</si>
  <si>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</si>
  <si>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</si>
  <si>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</si>
  <si>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</si>
  <si>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</si>
  <si>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</si>
  <si>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</si>
  <si>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</si>
  <si>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</si>
  <si>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</si>
  <si>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</si>
  <si>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</si>
  <si>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</si>
  <si>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</si>
  <si>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</si>
  <si>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</si>
  <si>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</si>
  <si>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</si>
  <si>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</si>
  <si>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</si>
  <si>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</si>
  <si>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</si>
  <si>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</si>
  <si>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</si>
  <si>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</si>
  <si>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</si>
  <si>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</si>
  <si>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</si>
  <si>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</si>
  <si>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</si>
  <si>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</si>
  <si>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</si>
  <si>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</si>
  <si>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</si>
  <si>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</si>
  <si>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</si>
  <si>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</si>
  <si>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</si>
  <si>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</si>
  <si>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</si>
  <si>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</si>
  <si>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</si>
  <si>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</si>
  <si>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</si>
  <si>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</si>
  <si>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</si>
  <si>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</si>
  <si>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</si>
  <si>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</si>
  <si>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</si>
  <si>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</si>
  <si>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</si>
  <si>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</si>
  <si>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</si>
  <si>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</si>
  <si>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</si>
  <si>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</si>
  <si>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</si>
  <si>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</si>
  <si>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</si>
  <si>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</si>
  <si>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</si>
  <si>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</si>
  <si>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</si>
  <si>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</si>
  <si>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</si>
  <si>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</si>
  <si>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</si>
  <si>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</si>
  <si>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</si>
  <si>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</si>
  <si>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</si>
  <si>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</si>
  <si>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</si>
  <si>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</si>
  <si>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</si>
  <si>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</si>
  <si>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</si>
  <si>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</si>
  <si>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</si>
  <si>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</si>
  <si>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</si>
  <si>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</si>
  <si>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</si>
  <si>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</si>
  <si>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</si>
  <si>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</si>
  <si>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</si>
  <si>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</si>
  <si>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</si>
  <si>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</si>
  <si>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</si>
  <si>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</si>
  <si>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</si>
  <si>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</si>
  <si>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</si>
  <si>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</si>
  <si>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</si>
  <si>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</si>
  <si>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</si>
  <si>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</si>
  <si>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</si>
  <si>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</si>
  <si>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</si>
  <si>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</si>
  <si>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</si>
  <si>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</si>
  <si>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</si>
  <si>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</si>
  <si>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</si>
  <si>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</si>
  <si>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</si>
  <si>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</si>
  <si>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</si>
  <si>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</si>
  <si>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</si>
  <si>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</si>
  <si>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</si>
  <si>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</si>
  <si>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</si>
  <si>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</si>
  <si>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</si>
  <si>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</si>
  <si>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</si>
  <si>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</si>
  <si>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</si>
  <si>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</si>
  <si>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</si>
  <si>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</si>
  <si>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</si>
  <si>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</si>
  <si>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</si>
  <si>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</si>
  <si>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</si>
  <si>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</si>
  <si>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</si>
  <si>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</si>
  <si>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</si>
  <si>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</si>
  <si>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</si>
  <si>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</si>
  <si>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</si>
  <si>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</si>
  <si>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</si>
  <si>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</si>
  <si>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</si>
  <si>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</si>
  <si>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</si>
  <si>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</si>
  <si>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</si>
  <si>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</si>
  <si>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</si>
  <si>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</si>
  <si>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</si>
  <si>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</si>
  <si>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</si>
  <si>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</si>
  <si>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</si>
  <si>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</si>
  <si>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</si>
  <si>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</si>
  <si>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</si>
  <si>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</si>
  <si>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</si>
  <si>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</si>
  <si>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</si>
  <si>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</si>
  <si>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</si>
  <si>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</si>
  <si>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</si>
  <si>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</si>
  <si>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</si>
  <si>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</si>
  <si>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</si>
  <si>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</si>
  <si>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</si>
  <si>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</si>
  <si>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</si>
  <si>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</si>
  <si>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</si>
  <si>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</si>
  <si>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</si>
  <si>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</si>
  <si>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</si>
  <si>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</si>
  <si>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</si>
  <si>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</si>
  <si>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</si>
  <si>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</si>
  <si>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</si>
  <si>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</si>
  <si>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</si>
  <si>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</si>
  <si>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</si>
  <si>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</si>
  <si>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</si>
  <si>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</si>
  <si>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</si>
  <si>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</si>
  <si>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</si>
  <si>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</si>
  <si>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</si>
  <si>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</si>
  <si>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</si>
  <si>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</si>
  <si>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</si>
  <si>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</si>
  <si>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</si>
  <si>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</si>
  <si>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</si>
  <si>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</si>
  <si>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</si>
  <si>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</si>
  <si>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</si>
  <si>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</si>
  <si>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</si>
  <si>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</si>
  <si>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</si>
  <si>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</si>
  <si>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</si>
  <si>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</si>
  <si>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</si>
  <si>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</si>
  <si>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</si>
  <si>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</si>
  <si>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</si>
  <si>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</si>
  <si>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</si>
  <si>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</si>
  <si>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</si>
  <si>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</si>
  <si>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</si>
  <si>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</si>
  <si>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</si>
  <si>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</si>
  <si>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</si>
  <si>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</si>
  <si>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</si>
  <si>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</si>
  <si>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</si>
  <si>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</si>
  <si>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</si>
  <si>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</si>
  <si>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</si>
  <si>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</si>
  <si>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</si>
  <si>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</si>
  <si>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</si>
  <si>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</si>
  <si>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</si>
  <si>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</si>
  <si>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</si>
  <si>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</si>
  <si>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</si>
  <si>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</si>
  <si>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</si>
  <si>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</si>
  <si>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</si>
  <si>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</si>
  <si>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</si>
  <si>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</si>
  <si>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</si>
  <si>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</si>
  <si>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</si>
  <si>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</si>
  <si>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</si>
  <si>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</si>
  <si>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</si>
  <si>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</si>
  <si>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</si>
  <si>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</si>
  <si>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</si>
  <si>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</si>
  <si>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</si>
  <si>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</si>
  <si>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</si>
  <si>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</si>
  <si>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</si>
  <si>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</si>
  <si>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</si>
  <si>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</si>
  <si>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</si>
  <si>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</si>
  <si>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</si>
  <si>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</si>
  <si>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</si>
  <si>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</si>
  <si>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</si>
  <si>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</si>
  <si>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</si>
  <si>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</si>
  <si>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</si>
  <si>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</si>
  <si>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</si>
  <si>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</si>
  <si>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</si>
  <si>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</si>
  <si>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</si>
  <si>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</si>
  <si>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</si>
  <si>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</si>
  <si>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</si>
  <si>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</si>
  <si>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</si>
  <si>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</si>
  <si>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</si>
  <si>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</si>
  <si>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</si>
  <si>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</si>
  <si>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</si>
  <si>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</si>
  <si>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</si>
  <si>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</si>
  <si>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</si>
  <si>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</si>
  <si>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</si>
  <si>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</si>
  <si>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</si>
  <si>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</si>
  <si>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</si>
  <si>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</si>
  <si>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</si>
  <si>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</si>
  <si>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</si>
  <si>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</si>
  <si>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</si>
  <si>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</si>
  <si>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</si>
  <si>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</si>
  <si>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</si>
  <si>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</si>
  <si>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</si>
  <si>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</si>
  <si>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</si>
  <si>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</si>
  <si>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</si>
  <si>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</si>
  <si>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</si>
  <si>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</si>
  <si>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</si>
  <si>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</si>
  <si>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</si>
  <si>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</si>
  <si>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</si>
  <si>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</si>
  <si>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</si>
  <si>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</si>
  <si>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</si>
  <si>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</si>
  <si>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</si>
  <si>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</si>
  <si>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</si>
  <si>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</si>
  <si>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</si>
  <si>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</si>
  <si>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</si>
  <si>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</si>
  <si>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</si>
  <si>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</si>
  <si>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</si>
  <si>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</si>
  <si>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</si>
  <si>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</si>
  <si>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</si>
  <si>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</si>
  <si>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</si>
  <si>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</si>
  <si>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</si>
  <si>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</si>
  <si>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</si>
  <si>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</si>
  <si>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</si>
  <si>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</si>
  <si>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</si>
  <si>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</si>
  <si>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</si>
  <si>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</si>
  <si>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</si>
  <si>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</si>
  <si>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</si>
  <si>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</si>
  <si>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</si>
  <si>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</si>
  <si>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</si>
  <si>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</si>
  <si>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</si>
  <si>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</si>
  <si>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</si>
  <si>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</si>
  <si>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</si>
  <si>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</si>
  <si>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</si>
  <si>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</si>
  <si>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</si>
  <si>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</si>
  <si>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</si>
  <si>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</si>
  <si>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</si>
  <si>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</si>
  <si>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</si>
  <si>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</si>
  <si>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</si>
  <si>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</si>
  <si>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</si>
  <si>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</si>
  <si>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</si>
  <si>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</si>
  <si>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</si>
  <si>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</si>
  <si>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</si>
  <si>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</si>
  <si>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</si>
  <si>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</si>
  <si>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</si>
  <si>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</si>
  <si>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</si>
  <si>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</si>
  <si>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</si>
  <si>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</si>
  <si>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</si>
  <si>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</si>
  <si>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</si>
  <si>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</si>
  <si>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</si>
  <si>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</si>
  <si>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</si>
  <si>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</si>
  <si>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</si>
  <si>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</si>
  <si>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</si>
  <si>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</si>
  <si>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</si>
  <si>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</si>
  <si>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</si>
  <si>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</si>
  <si>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</si>
  <si>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</si>
  <si>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</si>
  <si>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</si>
  <si>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</si>
  <si>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</si>
  <si>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</si>
  <si>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</si>
  <si>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</si>
  <si>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</si>
  <si>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</si>
  <si>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</si>
  <si>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</si>
  <si>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</si>
  <si>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</si>
  <si>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</si>
  <si>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</si>
  <si>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</si>
  <si>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</si>
  <si>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</si>
  <si>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</si>
  <si>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</si>
  <si>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</si>
  <si>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</si>
  <si>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</si>
  <si>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</si>
  <si>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</si>
  <si>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</si>
  <si>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</si>
  <si>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</si>
  <si>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</si>
  <si>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</si>
  <si>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</si>
  <si>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</si>
  <si>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</si>
  <si>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</si>
  <si>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</si>
  <si>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</si>
  <si>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</si>
  <si>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</si>
  <si>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</si>
  <si>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</si>
  <si>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</si>
  <si>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</si>
  <si>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</si>
  <si>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</si>
  <si>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</si>
  <si>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</si>
  <si>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</si>
  <si>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</si>
  <si>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</si>
  <si>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</si>
  <si>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</si>
  <si>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</si>
  <si>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</si>
  <si>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</si>
  <si>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</si>
  <si>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</si>
  <si>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</si>
  <si>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</si>
  <si>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</si>
  <si>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</si>
  <si>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</si>
  <si>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</si>
  <si>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</si>
  <si>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</si>
  <si>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</si>
  <si>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</si>
  <si>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</si>
  <si>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</si>
  <si>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</si>
  <si>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</si>
  <si>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</si>
  <si>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</si>
  <si>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</si>
  <si>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</si>
  <si>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</si>
  <si>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</si>
  <si>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</si>
  <si>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</si>
  <si>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</si>
  <si>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</si>
  <si>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</si>
  <si>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</si>
  <si>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</si>
  <si>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</si>
  <si>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</si>
  <si>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</si>
  <si>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</si>
  <si>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</si>
  <si>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</si>
  <si>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</si>
  <si>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</si>
  <si>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</si>
  <si>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</si>
  <si>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</si>
  <si>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</si>
  <si>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</si>
  <si>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</si>
  <si>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</si>
  <si>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</si>
  <si>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</si>
  <si>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</si>
  <si>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</si>
  <si>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</si>
  <si>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</si>
  <si>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</si>
  <si>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</si>
  <si>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</si>
  <si>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</si>
  <si>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</si>
  <si>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</si>
  <si>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</si>
  <si>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</si>
  <si>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</si>
  <si>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</si>
  <si>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</si>
  <si>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</si>
  <si>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</si>
  <si>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</si>
  <si>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</si>
  <si>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</si>
  <si>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</si>
  <si>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</si>
  <si>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</si>
  <si>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</si>
  <si>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</si>
  <si>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</si>
  <si>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</si>
  <si>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</si>
  <si>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</si>
  <si>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</si>
  <si>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</si>
  <si>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</si>
  <si>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</si>
  <si>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</si>
  <si>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</si>
  <si>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</si>
  <si>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</si>
  <si>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</si>
  <si>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</si>
  <si>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</si>
  <si>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</si>
  <si>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</si>
  <si>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</si>
  <si>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</si>
  <si>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</si>
  <si>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</si>
  <si>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</si>
  <si>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</si>
  <si>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</si>
  <si>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</si>
  <si>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</si>
  <si>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</si>
  <si>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</si>
  <si>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</si>
  <si>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</si>
  <si>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</si>
  <si>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</si>
  <si>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</si>
  <si>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</si>
  <si>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</si>
  <si>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</si>
  <si>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</si>
  <si>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</si>
  <si>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</si>
  <si>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</si>
  <si>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</si>
  <si>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</si>
  <si>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</si>
  <si>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</si>
  <si>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</si>
  <si>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</si>
  <si>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</si>
  <si>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</si>
  <si>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</si>
  <si>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</si>
  <si>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</si>
  <si>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</si>
  <si>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</si>
  <si>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</si>
  <si>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</si>
  <si>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</si>
  <si>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</si>
  <si>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</si>
  <si>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</si>
  <si>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</si>
  <si>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</si>
  <si>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</si>
  <si>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</si>
  <si>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</si>
  <si>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</si>
  <si>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</si>
  <si>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</si>
  <si>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</si>
  <si>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</si>
  <si>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</si>
  <si>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</si>
  <si>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</si>
  <si>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</si>
  <si>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</si>
  <si>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</si>
  <si>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</si>
  <si>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</si>
  <si>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</si>
  <si>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</si>
  <si>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</si>
  <si>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</si>
  <si>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</si>
  <si>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</si>
  <si>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</si>
  <si>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</si>
  <si>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</si>
  <si>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</si>
  <si>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</si>
  <si>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</si>
  <si>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</si>
  <si>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</si>
  <si>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</si>
  <si>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</si>
  <si>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</si>
  <si>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</si>
  <si>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</si>
  <si>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</si>
  <si>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</si>
  <si>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</si>
  <si>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</si>
  <si>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</si>
  <si>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</si>
  <si>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</si>
  <si>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</si>
  <si>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</si>
  <si>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</si>
  <si>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</si>
  <si>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</si>
  <si>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</si>
  <si>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</si>
  <si>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</si>
  <si>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</si>
  <si>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</si>
  <si>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</si>
  <si>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</si>
  <si>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</si>
  <si>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</si>
  <si>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</si>
  <si>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</si>
  <si>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</si>
  <si>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</si>
  <si>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</si>
  <si>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</si>
  <si>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</si>
  <si>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</si>
  <si>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</si>
  <si>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</si>
  <si>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</si>
  <si>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</si>
  <si>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</si>
  <si>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</si>
  <si>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</si>
  <si>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</si>
  <si>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</si>
  <si>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</si>
  <si>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</si>
  <si>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</si>
  <si>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</si>
  <si>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</si>
  <si>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</si>
  <si>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</si>
  <si>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</si>
  <si>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</si>
  <si>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</si>
  <si>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</si>
  <si>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</si>
  <si>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</si>
  <si>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</si>
  <si>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</si>
  <si>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</si>
  <si>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</si>
  <si>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</si>
  <si>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</si>
  <si>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</si>
  <si>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</si>
  <si>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</si>
  <si>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</si>
  <si>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</si>
  <si>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</si>
  <si>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</si>
  <si>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</si>
  <si>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</si>
  <si>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</si>
  <si>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</si>
  <si>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</si>
  <si>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</si>
  <si>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</si>
  <si>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</si>
  <si>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</si>
  <si>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</si>
  <si>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</si>
  <si>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</si>
  <si>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</si>
  <si>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</si>
  <si>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</si>
  <si>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</si>
  <si>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</si>
  <si>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</si>
  <si>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</si>
  <si>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</si>
  <si>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</si>
  <si>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</si>
  <si>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</si>
  <si>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</si>
  <si>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</si>
  <si>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</si>
  <si>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</si>
  <si>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</si>
  <si>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</si>
  <si>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</si>
  <si>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</si>
  <si>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</si>
  <si>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</si>
  <si>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</si>
  <si>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</si>
  <si>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</si>
  <si>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</si>
  <si>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</si>
  <si>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</si>
  <si>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</si>
  <si>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</si>
  <si>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</si>
  <si>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</si>
  <si>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</si>
  <si>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</si>
  <si>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</si>
  <si>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</si>
  <si>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</si>
  <si>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</si>
  <si>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</si>
  <si>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</si>
  <si>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</si>
  <si>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</si>
  <si>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</si>
  <si>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</si>
  <si>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</si>
  <si>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</si>
  <si>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</si>
  <si>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</si>
  <si>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</si>
  <si>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</si>
  <si>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</si>
  <si>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</si>
  <si>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</si>
  <si>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</si>
  <si>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</si>
  <si>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</si>
  <si>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</si>
  <si>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</si>
  <si>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</si>
  <si>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</si>
  <si>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</si>
  <si>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</si>
  <si>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</si>
  <si>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</si>
  <si>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</si>
  <si>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</si>
  <si>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</si>
  <si>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</si>
  <si>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</si>
  <si>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</si>
  <si>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</si>
  <si>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</si>
  <si>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</si>
  <si>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</si>
  <si>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</si>
  <si>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</si>
  <si>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</si>
  <si>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</si>
  <si>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</si>
  <si>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</si>
  <si>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</si>
  <si>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</si>
  <si>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</si>
  <si>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</si>
  <si>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</si>
  <si>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</si>
  <si>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</si>
  <si>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</si>
  <si>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</si>
  <si>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</si>
  <si>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</si>
  <si>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</si>
  <si>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</si>
  <si>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</si>
  <si>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</si>
  <si>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</si>
  <si>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</si>
  <si>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</si>
  <si>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</si>
  <si>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</si>
  <si>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</si>
  <si>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</si>
  <si>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</si>
  <si>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</si>
  <si>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</si>
  <si>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</si>
  <si>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</si>
  <si>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</si>
  <si>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</si>
  <si>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</si>
  <si>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</si>
  <si>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</si>
  <si>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</si>
  <si>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</si>
  <si>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</si>
  <si>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</si>
  <si>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</si>
  <si>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</si>
  <si>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</si>
  <si>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</si>
  <si>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</si>
  <si>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</si>
  <si>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</si>
  <si>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</si>
  <si>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</si>
  <si>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</si>
  <si>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</si>
  <si>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</si>
  <si>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</si>
  <si>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</si>
  <si>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</si>
  <si>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</si>
  <si>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</si>
  <si>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</si>
  <si>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</si>
  <si>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</si>
  <si>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</si>
  <si>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</si>
  <si>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</si>
  <si>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</si>
  <si>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</si>
  <si>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</si>
  <si>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</si>
  <si>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</si>
  <si>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</si>
  <si>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</si>
  <si>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</si>
  <si>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</si>
  <si>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</si>
  <si>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</si>
  <si>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</si>
  <si>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</si>
  <si>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</si>
  <si>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</si>
  <si>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</si>
  <si>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</si>
  <si>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</si>
  <si>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</si>
  <si>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</si>
  <si>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</si>
  <si>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</si>
  <si>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</si>
  <si>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</si>
  <si>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</si>
  <si>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</si>
  <si>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</si>
  <si>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</si>
  <si>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</si>
  <si>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</si>
  <si>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</si>
  <si>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</si>
  <si>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</si>
  <si>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</si>
  <si>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</si>
  <si>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</si>
  <si>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</si>
  <si>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</si>
  <si>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</si>
  <si>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</si>
  <si>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</si>
  <si>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</si>
  <si>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</si>
  <si>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</si>
  <si>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</si>
  <si>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</si>
  <si>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</si>
  <si>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</si>
  <si>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</si>
  <si>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</si>
  <si>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</si>
  <si>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</si>
  <si>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</si>
  <si>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</si>
  <si>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</si>
  <si>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</si>
  <si>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</si>
  <si>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</si>
  <si>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</si>
  <si>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</si>
  <si>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</si>
  <si>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</si>
  <si>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</si>
  <si>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</si>
  <si>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</si>
  <si>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</si>
  <si>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</si>
  <si>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</si>
  <si>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</si>
  <si>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</si>
  <si>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</si>
  <si>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</si>
  <si>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</si>
  <si>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</si>
  <si>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</si>
  <si>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</si>
  <si>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</si>
  <si>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</si>
  <si>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</si>
  <si>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</si>
  <si>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</si>
  <si>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</si>
  <si>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</si>
  <si>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</si>
  <si>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</si>
  <si>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</si>
  <si>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</si>
  <si>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</si>
  <si>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</si>
  <si>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</si>
  <si>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t>无</t>
  </si>
  <si>
    <t>否</t>
  </si>
  <si>
    <t>现房</t>
  </si>
  <si>
    <t>是</t>
  </si>
  <si>
    <t>地上</t>
  </si>
  <si>
    <t>成新度</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</si>
  <si>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</si>
  <si>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</si>
  <si>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</si>
  <si>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</si>
  <si>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</si>
  <si>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</si>
  <si>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</si>
  <si>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</si>
  <si>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</si>
  <si>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</si>
  <si>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</si>
  <si>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</si>
  <si>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</si>
  <si>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</si>
  <si>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</si>
  <si>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</si>
  <si>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</si>
  <si>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</si>
  <si>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</si>
  <si>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</si>
  <si>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</si>
  <si>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</si>
  <si>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</si>
  <si>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</si>
  <si>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</si>
  <si>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</si>
  <si>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</si>
  <si>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</si>
  <si>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</si>
  <si>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</si>
  <si>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</si>
  <si>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</si>
  <si>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</si>
  <si>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</si>
  <si>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</si>
  <si>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</si>
  <si>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</si>
  <si>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</si>
  <si>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楼面单价</t>
  </si>
  <si>
    <t>租金</t>
  </si>
  <si>
    <t>抵押</t>
  </si>
  <si>
    <t>房地产抵押价值</t>
  </si>
  <si>
    <t>丹棱SOHO</t>
    <phoneticPr fontId="3" type="noConversion"/>
  </si>
  <si>
    <t>中关村SOHO</t>
    <phoneticPr fontId="3" type="noConversion"/>
  </si>
  <si>
    <t>1+1大厦</t>
    <phoneticPr fontId="3" type="noConversion"/>
  </si>
  <si>
    <t>收益法</t>
  </si>
  <si>
    <t>自定义容积率</t>
  </si>
  <si>
    <t>一般</t>
  </si>
  <si>
    <t>较差</t>
  </si>
  <si>
    <t>好</t>
  </si>
  <si>
    <t>未包含在土地购买价格中</t>
  </si>
  <si>
    <t>全部缴纳</t>
  </si>
  <si>
    <t>已包含在土地取得成本中</t>
  </si>
  <si>
    <t>成本法</t>
  </si>
  <si>
    <t>成本比率</t>
  </si>
  <si>
    <t>Ⅷ-密1</t>
  </si>
  <si>
    <t>商业项目</t>
  </si>
  <si>
    <t>商业</t>
    <phoneticPr fontId="3" type="noConversion"/>
  </si>
  <si>
    <t>楼层修正</t>
  </si>
  <si>
    <t>通路</t>
  </si>
  <si>
    <t>通电</t>
  </si>
  <si>
    <t>通讯</t>
  </si>
  <si>
    <t>通上水</t>
  </si>
  <si>
    <t>通下水</t>
  </si>
  <si>
    <t>平整</t>
  </si>
  <si>
    <t>通热</t>
  </si>
  <si>
    <t>与级别开发程度不一致</t>
  </si>
  <si>
    <t>不临65条商业街</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</si>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</sst>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53" fillId="0" borderId="1"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vertical="center" wrapText="1"/>
      <protection locked="0"/>
    </xf>
    <xf numFmtId="0" fontId="10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77" fillId="0" borderId="1" xfId="1" applyNumberFormat="1" applyFont="1" applyFill="1" applyBorder="1" applyAlignment="1" applyProtection="1">
      <alignment vertical="center"/>
      <protection locked="0" hidden="1"/>
    </xf>
    <xf numFmtId="0" fontId="47" fillId="3" borderId="3" xfId="0" applyNumberFormat="1" applyFont="1" applyFill="1" applyBorder="1" applyProtection="1">
      <alignment vertical="center"/>
      <protection locked="0"/>
    </xf>
    <xf numFmtId="10" fontId="47" fillId="7" borderId="0" xfId="17"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估价对象为北京市房地产，为所有。根据《国有土地使用证》[]，估价对象（分摊）出让国有建设用地使用权面积为3870平方米，建筑面积为2625.54平方米。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估价对象为北京市房地产,属开发建设的商业项目，该项目尚在开发建设中。根据《国有土地使用证》[]，估价对象（分摊）出让国有建设用地使用权面积为3870平方米，规划建筑面积为2625.54平方米。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2024年7月10日（评估专业人员实地查勘之日）</v>
      </c>
    </row>
    <row r="13" spans="1:2" s="1200" customFormat="1">
      <c r="A13" s="1198" t="s">
        <v>529</v>
      </c>
      <c r="B13" s="1199"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2210</v>
      </c>
    </row>
    <row r="21" spans="1:2" s="1200" customFormat="1">
      <c r="A21" s="1198" t="s">
        <v>537</v>
      </c>
      <c r="B21" s="1199">
        <f ca="1">'预评函-2'!D7</f>
        <v>8419</v>
      </c>
    </row>
    <row r="22" spans="1:2" s="1200" customFormat="1">
      <c r="A22" s="1198" t="s">
        <v>538</v>
      </c>
      <c r="B22" s="1199" t="str">
        <f ca="1">'预评函-2'!D6</f>
        <v>贰仟贰佰壹拾万元整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2210</v>
      </c>
    </row>
    <row r="31" spans="1:2" s="1200" customFormat="1">
      <c r="A31" s="1198" t="s">
        <v>576</v>
      </c>
      <c r="B31" s="1199">
        <f ca="1">'预评函-2'!D15</f>
        <v>8419</v>
      </c>
    </row>
    <row r="32" spans="1:2" s="1200" customFormat="1">
      <c r="A32" s="1198" t="s">
        <v>543</v>
      </c>
      <c r="B32" s="1199" t="str">
        <f ca="1">'预评函-2'!D14</f>
        <v>贰仟贰佰壹拾万元整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2625.54</v>
      </c>
    </row>
    <row r="44" spans="1:2" s="1200" customFormat="1">
      <c r="A44" s="1198" t="s">
        <v>575</v>
      </c>
      <c r="B44" s="1199" t="str">
        <f>'预评函-3'!C2</f>
        <v>(分摊)土地面积</v>
      </c>
    </row>
    <row r="45" spans="1:2" s="1200" customFormat="1">
      <c r="A45" s="1198" t="s">
        <v>547</v>
      </c>
      <c r="B45" s="1199">
        <f>'预评函-3'!C4</f>
        <v>3870</v>
      </c>
    </row>
    <row r="46" spans="1:2" s="1200" customFormat="1">
      <c r="A46" s="1198" t="s">
        <v>573</v>
      </c>
      <c r="B46" s="1199" t="str">
        <f>'预评函-3'!D2</f>
        <v>出让国有建设用地使用权价值</v>
      </c>
    </row>
    <row r="47" spans="1:2" s="1200" customFormat="1">
      <c r="A47" s="1198" t="s">
        <v>548</v>
      </c>
      <c r="B47" s="1199">
        <f ca="1">'预评函-3'!D4</f>
        <v>1616</v>
      </c>
    </row>
    <row r="48" spans="1:2" s="1200" customFormat="1">
      <c r="A48" s="1198" t="s">
        <v>549</v>
      </c>
      <c r="B48" s="1199">
        <f ca="1">'预评函-3'!E4</f>
        <v>6154</v>
      </c>
    </row>
    <row r="49" spans="1:2" s="1200" customFormat="1">
      <c r="A49" s="1198" t="s">
        <v>550</v>
      </c>
      <c r="B49" s="1199" t="str">
        <f ca="1">'预评函-3'!D5</f>
        <v>壹仟陆佰壹拾陆万元整</v>
      </c>
    </row>
    <row r="50" spans="1:2" s="1200" customFormat="1">
      <c r="A50" s="1198" t="s">
        <v>574</v>
      </c>
      <c r="B50" s="1199" t="str">
        <f>'预评函-3'!F2</f>
        <v>在建建筑物价值</v>
      </c>
    </row>
    <row r="51" spans="1:2" s="1200" customFormat="1">
      <c r="A51" s="1198" t="s">
        <v>551</v>
      </c>
      <c r="B51" s="1199">
        <f ca="1">'预评函-3'!F4</f>
        <v>595</v>
      </c>
    </row>
    <row r="52" spans="1:2" s="1200" customFormat="1">
      <c r="A52" s="1198" t="s">
        <v>552</v>
      </c>
      <c r="B52" s="1199">
        <f ca="1">'预评函-3'!G4</f>
        <v>2265</v>
      </c>
    </row>
    <row r="53" spans="1:2" s="1200" customFormat="1">
      <c r="A53" s="1198" t="s">
        <v>580</v>
      </c>
      <c r="B53" s="1199" t="str">
        <f ca="1">'预评函-3'!F5</f>
        <v>伍佰玖拾伍万元整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2580</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2581</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1" t="s">
        <v>385</v>
      </c>
      <c r="C54" s="1548" t="s">
        <v>583</v>
      </c>
    </row>
    <row r="55" spans="1:4">
      <c r="A55" s="3510"/>
      <c r="B55" s="1551" t="s">
        <v>386</v>
      </c>
      <c r="C55" s="1548" t="s">
        <v>584</v>
      </c>
    </row>
    <row r="56" spans="1:4">
      <c r="A56" s="3510"/>
      <c r="B56" s="1551" t="s">
        <v>387</v>
      </c>
      <c r="C56" s="1548" t="s">
        <v>588</v>
      </c>
    </row>
    <row r="57" spans="1:4">
      <c r="A57" s="351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11" t="s">
        <v>2583</v>
      </c>
      <c r="J2" s="3511"/>
      <c r="K2" s="3511"/>
      <c r="L2" s="3511"/>
      <c r="M2" s="3511"/>
      <c r="N2" s="3511"/>
      <c r="O2" s="3511"/>
      <c r="P2" s="3511"/>
      <c r="Q2" s="3511"/>
      <c r="R2" s="3511"/>
    </row>
    <row r="3" spans="1:18">
      <c r="A3" s="3016" t="s">
        <v>2504</v>
      </c>
      <c r="B3" s="3017">
        <f>项目基本情况!D3</f>
        <v>45483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2.44</v>
      </c>
      <c r="D5" s="3021">
        <f>IF(ISERROR(ROUND(POWER(1+E5,A5-C5)*(POWER(1+E5,C5)-1)/(POWER(1+E5,A5)-1),3)),0,ROUND(POWER(1+E5,A5-C5)*(POWER(1+E5,C5)-1)/(POWER(1+E5,A5)-1),4))</f>
        <v>0.1153</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12.45</v>
      </c>
      <c r="D6" s="3021">
        <f>IF(ISERROR(ROUND(POWER(1+E6,A6-C6)*(POWER(1+E6,C6)-1)/(POWER(1+E6,A6)-1),3)),0,ROUND(POWER(1+E6,A6-C6)*(POWER(1+E6,C6)-1)/(POWER(1+E6,A6)-1),4))</f>
        <v>0.4496</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32.46</v>
      </c>
      <c r="D7" s="3021">
        <f>IF(ISERROR(ROUND(POWER(1+E7,A7-C7)*(POWER(1+E7,C7)-1)/(POWER(1+E7,A7)-1),3)),0,ROUND(POWER(1+E7,A7-C7)*(POWER(1+E7,C7)-1)/(POWER(1+E7,A7)-1),4))</f>
        <v>0.76949999999999996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6" sqref="F26"/>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467"/>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2169</v>
      </c>
      <c r="B3" s="2369">
        <v>45483</v>
      </c>
      <c r="C3" s="2370" t="s">
        <v>2170</v>
      </c>
      <c r="D3" s="2369">
        <f>B3</f>
        <v>45483</v>
      </c>
      <c r="E3" s="2659"/>
      <c r="F3" s="2659"/>
      <c r="G3" s="2659"/>
      <c r="H3" s="2659"/>
      <c r="I3" s="2659"/>
      <c r="J3" s="2467"/>
      <c r="K3" s="2364"/>
      <c r="L3" s="2365"/>
      <c r="M3" s="2365"/>
      <c r="N3" s="2366"/>
      <c r="O3" s="1573"/>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3429</v>
      </c>
      <c r="C8" s="2386"/>
      <c r="D8" s="3523" t="s">
        <v>2176</v>
      </c>
      <c r="E8" s="2387" t="s">
        <v>3430</v>
      </c>
      <c r="F8" s="2388"/>
      <c r="G8" s="2659"/>
      <c r="H8" s="2659"/>
      <c r="I8" s="2659"/>
      <c r="J8" s="2435"/>
      <c r="K8" s="2610"/>
      <c r="L8" s="2609"/>
      <c r="M8" s="2609"/>
      <c r="N8" s="2435"/>
      <c r="O8" s="2446"/>
      <c r="P8" s="2435"/>
      <c r="Q8" s="2435"/>
      <c r="R8" s="2435"/>
    </row>
    <row r="9" spans="1:30" ht="13.5" thickBot="1">
      <c r="A9" s="2389" t="s">
        <v>2177</v>
      </c>
      <c r="B9" s="2390" t="s">
        <v>3430</v>
      </c>
      <c r="C9" s="2391"/>
      <c r="D9" s="3524"/>
      <c r="E9" s="2390"/>
      <c r="F9" s="2392"/>
      <c r="G9" s="2661"/>
      <c r="H9" s="2661"/>
      <c r="I9" s="2661"/>
      <c r="J9" s="2435"/>
      <c r="K9" s="2612"/>
      <c r="L9" s="2609"/>
      <c r="M9" s="2609"/>
      <c r="N9" s="2435"/>
      <c r="O9" s="2446"/>
      <c r="P9" s="2435"/>
      <c r="Q9" s="2435"/>
      <c r="R9" s="2435"/>
    </row>
    <row r="10" spans="1:30" ht="13.5" thickTop="1">
      <c r="A10" s="2393" t="s">
        <v>2178</v>
      </c>
      <c r="B10" s="2394" t="s">
        <v>3381</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3382</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1"/>
    </row>
    <row r="13" spans="1:30">
      <c r="A13" s="3419" t="s">
        <v>3334</v>
      </c>
      <c r="B13" s="2403" t="s">
        <v>2189</v>
      </c>
      <c r="C13" s="853"/>
      <c r="D13" s="853">
        <v>52502</v>
      </c>
      <c r="E13" s="853"/>
      <c r="F13" s="853"/>
      <c r="G13" s="853"/>
      <c r="H13" s="853"/>
      <c r="I13" s="853"/>
      <c r="J13" s="3058"/>
      <c r="K13" s="2609"/>
      <c r="L13" s="2609"/>
      <c r="M13" s="2435"/>
      <c r="N13" s="2446"/>
      <c r="O13" s="2435"/>
      <c r="P13" s="2435"/>
      <c r="Q13" s="2435"/>
      <c r="AD13" s="1741"/>
    </row>
    <row r="14" spans="1:30">
      <c r="A14" s="1078"/>
      <c r="B14" s="2403" t="s">
        <v>2190</v>
      </c>
      <c r="C14" s="2404"/>
      <c r="D14" s="2404">
        <v>40</v>
      </c>
      <c r="E14" s="2404"/>
      <c r="F14" s="2404"/>
      <c r="G14" s="2404"/>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19.23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30"/>
      <c r="C16" s="3531"/>
      <c r="D16" s="3532"/>
      <c r="E16" s="2409" t="s">
        <v>2193</v>
      </c>
      <c r="F16" s="3533"/>
      <c r="G16" s="3534"/>
      <c r="H16" s="3534"/>
      <c r="I16" s="3535"/>
      <c r="J16" s="2435"/>
      <c r="K16" s="2613"/>
      <c r="L16" s="2447"/>
      <c r="M16" s="2447"/>
      <c r="N16" s="2505"/>
      <c r="O16" s="2447"/>
      <c r="P16" s="2505"/>
      <c r="Q16" s="2435"/>
      <c r="R16" s="2435"/>
    </row>
    <row r="17" spans="1:28">
      <c r="A17" s="313" t="s">
        <v>2194</v>
      </c>
      <c r="B17" s="302" t="s">
        <v>2195</v>
      </c>
      <c r="C17" s="8">
        <f>'数据-汇总表'!E3</f>
        <v>2625.54</v>
      </c>
      <c r="D17" s="2318" t="s">
        <v>2196</v>
      </c>
      <c r="E17" s="3536" t="s">
        <v>2197</v>
      </c>
      <c r="F17" s="3537"/>
      <c r="G17" s="3537"/>
      <c r="H17" s="3537"/>
      <c r="I17" s="3538"/>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3870</v>
      </c>
      <c r="D18" s="1089" t="s">
        <v>2200</v>
      </c>
      <c r="E18" s="3539" t="s">
        <v>2201</v>
      </c>
      <c r="F18" s="3540"/>
      <c r="G18" s="3540"/>
      <c r="H18" s="3540"/>
      <c r="I18" s="3541"/>
      <c r="J18" s="2435"/>
      <c r="K18" s="2614"/>
      <c r="L18" s="2447"/>
      <c r="M18" s="2447"/>
      <c r="N18" s="2505"/>
      <c r="O18" s="2447"/>
      <c r="P18" s="2505"/>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26" t="s">
        <v>2205</v>
      </c>
      <c r="C20" s="3527"/>
      <c r="D20" s="3528" t="s">
        <v>2206</v>
      </c>
      <c r="E20" s="3529"/>
      <c r="F20" s="2643" t="s">
        <v>1056</v>
      </c>
      <c r="G20" s="2660"/>
      <c r="H20" s="2660"/>
      <c r="I20" s="2660"/>
      <c r="J20" s="2435"/>
      <c r="K20" s="3525"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5" t="s">
        <v>2209</v>
      </c>
      <c r="E21" s="2631" t="s">
        <v>1057</v>
      </c>
      <c r="F21" s="2644"/>
      <c r="G21" s="2660"/>
      <c r="H21" s="2660"/>
      <c r="I21" s="2660"/>
      <c r="J21" s="2435"/>
      <c r="K21" s="352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2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13" t="s">
        <v>2213</v>
      </c>
      <c r="B27" s="320" t="s">
        <v>2214</v>
      </c>
      <c r="C27" s="2412" t="s">
        <v>3445</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3"/>
      <c r="B28" s="302" t="s">
        <v>2215</v>
      </c>
      <c r="C28" s="2414" t="s">
        <v>3383</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3"/>
      <c r="B29" s="302" t="s">
        <v>2216</v>
      </c>
      <c r="C29" s="2416" t="s">
        <v>3384</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4"/>
      <c r="B30" s="302" t="s">
        <v>2217</v>
      </c>
      <c r="C30" s="3515"/>
      <c r="D30" s="3516"/>
      <c r="E30" s="2660"/>
      <c r="F30" s="2660"/>
      <c r="G30" s="2660"/>
      <c r="H30" s="2660"/>
      <c r="I30" s="2660"/>
      <c r="J30" s="2435"/>
      <c r="K30" s="2612"/>
      <c r="L30" s="2609"/>
      <c r="M30" s="2609"/>
      <c r="N30" s="2435"/>
      <c r="O30" s="2446"/>
      <c r="P30" s="2435"/>
      <c r="Q30" s="2435"/>
      <c r="R30" s="2435"/>
      <c r="S30" s="2435"/>
      <c r="T30" s="2435"/>
      <c r="U30" s="2435"/>
      <c r="V30" s="2435"/>
    </row>
    <row r="31" spans="1:28">
      <c r="A31" s="3517" t="s">
        <v>2218</v>
      </c>
      <c r="B31" s="2418" t="s">
        <v>3385</v>
      </c>
      <c r="C31" s="2319"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18"/>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18"/>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12" t="s">
        <v>2227</v>
      </c>
      <c r="T34" s="2424" t="str">
        <f>NUMBERSTRING(7-K34,1)&amp;"通"</f>
        <v>七通</v>
      </c>
      <c r="U34" s="2435"/>
      <c r="V34" s="2435"/>
    </row>
    <row r="35" spans="1:30">
      <c r="A35" s="2425"/>
      <c r="B35" s="3519" t="s">
        <v>2228</v>
      </c>
      <c r="C35" s="3519"/>
      <c r="D35" s="3519"/>
      <c r="E35" s="3519"/>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5"/>
      <c r="V35" s="2435"/>
    </row>
    <row r="36" spans="1:30">
      <c r="A36" s="2426"/>
      <c r="B36" s="662" t="s">
        <v>2184</v>
      </c>
      <c r="C36" s="662" t="s">
        <v>2185</v>
      </c>
      <c r="D36" s="662" t="s">
        <v>2183</v>
      </c>
      <c r="E36" s="662"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t="s">
        <v>305</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3444</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3"/>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Sheet1!H3</f>
        <v>13600.36</v>
      </c>
      <c r="B3" s="11">
        <f>IF(C3="否",G5-AT5,G5)</f>
        <v>9226.9599999999991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9226.9599999999991</v>
      </c>
      <c r="H5" s="13">
        <f t="shared" ref="H5:AT5" si="0">SUM(H13:H656)</f>
        <v>9226.9599999999991</v>
      </c>
      <c r="I5" s="13">
        <f t="shared" si="0"/>
        <v>9226.9599999999991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2625.54</v>
      </c>
      <c r="BA5" s="15">
        <f t="shared" si="1"/>
        <v>2625.54</v>
      </c>
      <c r="BB5" s="15">
        <f t="shared" si="1"/>
        <v>2625.54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13600.36</v>
      </c>
      <c r="F6" s="13" t="s">
        <v>0</v>
      </c>
      <c r="G6" s="13" t="s">
        <v>1</v>
      </c>
      <c r="H6" s="17">
        <f>SUMIF(I$12:AB$12,"总值",I6:AB6)</f>
        <v>13600.36</v>
      </c>
      <c r="I6" s="13">
        <f t="shared" ref="I6:AB6" si="2">ROUND($A$3*I5/$B$3,2)</f>
        <v>13600.36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3870</v>
      </c>
      <c r="AZ6" s="13" t="s">
        <v>2</v>
      </c>
      <c r="BA6" s="13">
        <f>ROUND($AY$6*BA5/$AZ$5,2)</f>
        <v>3870</v>
      </c>
      <c r="BB6" s="13">
        <f>ROUND($AY$6*BB5/$AZ$5,2)</f>
        <v>3870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3387</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460">
        <v>3</v>
      </c>
      <c r="D13" s="1622" t="s">
        <v>3386</v>
      </c>
      <c r="E13" s="13">
        <f>IF($C$3="是",ROUND($A$3*G13/$B$3,2),ROUND($A$3*(G13-AT13)/$B$3,2))</f>
        <v>111.49</v>
      </c>
      <c r="F13" s="29"/>
      <c r="G13" s="30">
        <f>H13+AC13+AT13</f>
        <v>75.64</v>
      </c>
      <c r="H13" s="17">
        <f>SUMIF(I$12:AB$12,"总值",I13:AB13)</f>
        <v>75.64</v>
      </c>
      <c r="I13" s="3462">
        <v>75.64</v>
      </c>
      <c r="J13" s="3462"/>
      <c r="K13" s="3462"/>
      <c r="L13" s="3462"/>
      <c r="M13" s="3462"/>
      <c r="N13" s="3462"/>
      <c r="O13" s="1623"/>
      <c r="P13" s="1623"/>
      <c r="Q13" s="1623"/>
      <c r="R13" s="1623"/>
      <c r="S13" s="1623"/>
      <c r="T13" s="1623"/>
      <c r="U13" s="1623"/>
      <c r="V13" s="1623"/>
      <c r="W13" s="1623"/>
      <c r="X13" s="1623"/>
      <c r="Y13" s="1623"/>
      <c r="Z13" s="1623"/>
      <c r="AA13" s="1623"/>
      <c r="AB13" s="1623"/>
      <c r="AC13" s="13">
        <f>SUMIF(AD$12:AS$12,"总值",AD13:AS13)</f>
        <v>0</v>
      </c>
      <c r="AD13" s="3465"/>
      <c r="AE13" s="3465"/>
      <c r="AF13" s="3465"/>
      <c r="AG13" s="3465"/>
      <c r="AH13" s="3465"/>
      <c r="AI13" s="3465"/>
      <c r="AJ13" s="3465"/>
      <c r="AK13" s="3465"/>
      <c r="AL13" s="3465"/>
      <c r="AM13" s="3465"/>
      <c r="AN13" s="3465"/>
      <c r="AO13" s="3465"/>
      <c r="AP13" s="3465"/>
      <c r="AQ13" s="3465"/>
      <c r="AR13" s="3465"/>
      <c r="AS13" s="3465"/>
      <c r="AT13" s="1624"/>
      <c r="AU13" s="1625"/>
      <c r="AV13" s="8">
        <f t="shared" ref="AV13:AX17" si="6">A13</f>
        <v>0</v>
      </c>
      <c r="AW13" s="8">
        <f t="shared" si="6"/>
        <v>0</v>
      </c>
      <c r="AX13" s="8">
        <f t="shared" si="6"/>
        <v>3</v>
      </c>
      <c r="AY13" s="1346">
        <f>ROUND($AY$6*AZ13/$AZ$5,2)</f>
        <v>111.49</v>
      </c>
      <c r="AZ13" s="13">
        <f>BA13+BL13</f>
        <v>75.64</v>
      </c>
      <c r="BA13" s="13">
        <f>SUM(BB13:BK13)</f>
        <v>75.64</v>
      </c>
      <c r="BB13" s="13">
        <f>IF($D13="是",I13-J13,0)</f>
        <v>75.64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460">
        <v>4</v>
      </c>
      <c r="D14" s="1622" t="s">
        <v>3386</v>
      </c>
      <c r="E14" s="13">
        <f>IF($C$3="是",ROUND($A$3*G14/$B$3,2),ROUND($A$3*(G14-AT14)/$B$3,2))</f>
        <v>1946.83</v>
      </c>
      <c r="F14" s="29"/>
      <c r="G14" s="30">
        <f>H14+AC14+AT14</f>
        <v>1320.8</v>
      </c>
      <c r="H14" s="17">
        <f>SUMIF(I$12:AB$12,"总值",I14:AB14)</f>
        <v>1320.8</v>
      </c>
      <c r="I14" s="3462">
        <v>1320.8</v>
      </c>
      <c r="J14" s="3462"/>
      <c r="K14" s="3462"/>
      <c r="L14" s="3462"/>
      <c r="M14" s="3462"/>
      <c r="N14" s="3462"/>
      <c r="O14" s="1623"/>
      <c r="P14" s="1623"/>
      <c r="Q14" s="1623"/>
      <c r="R14" s="1623"/>
      <c r="S14" s="1623"/>
      <c r="T14" s="1623"/>
      <c r="U14" s="1623"/>
      <c r="V14" s="1623"/>
      <c r="W14" s="1623"/>
      <c r="X14" s="1623"/>
      <c r="Y14" s="1623"/>
      <c r="Z14" s="1623"/>
      <c r="AA14" s="1623"/>
      <c r="AB14" s="1623"/>
      <c r="AC14" s="13">
        <f>SUMIF(AD$12:AS$12,"总值",AD14:AS14)</f>
        <v>0</v>
      </c>
      <c r="AD14" s="3465"/>
      <c r="AE14" s="3465"/>
      <c r="AF14" s="3465"/>
      <c r="AG14" s="3465"/>
      <c r="AH14" s="3465"/>
      <c r="AI14" s="3465"/>
      <c r="AJ14" s="3465"/>
      <c r="AK14" s="3465"/>
      <c r="AL14" s="3465"/>
      <c r="AM14" s="3465"/>
      <c r="AN14" s="3465"/>
      <c r="AO14" s="3465"/>
      <c r="AP14" s="3465"/>
      <c r="AQ14" s="3465"/>
      <c r="AR14" s="3465"/>
      <c r="AS14" s="3465"/>
      <c r="AT14" s="1624"/>
      <c r="AU14" s="1625"/>
      <c r="AV14" s="8">
        <f t="shared" si="6"/>
        <v>0</v>
      </c>
      <c r="AW14" s="8">
        <f t="shared" si="6"/>
        <v>0</v>
      </c>
      <c r="AX14" s="8">
        <f t="shared" si="6"/>
        <v>4</v>
      </c>
      <c r="AY14" s="1346">
        <f>ROUND($AY$6*AZ14/$AZ$5,2)</f>
        <v>1946.84</v>
      </c>
      <c r="AZ14" s="13">
        <f>BA14+BL14</f>
        <v>1320.8</v>
      </c>
      <c r="BA14" s="13">
        <f>SUM(BB14:BK14)</f>
        <v>1320.8</v>
      </c>
      <c r="BB14" s="13">
        <f>IF($D14="是",I14-J14,0)</f>
        <v>1320.8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3460">
        <v>5</v>
      </c>
      <c r="D15" s="1622" t="s">
        <v>3386</v>
      </c>
      <c r="E15" s="13">
        <f>IF($C$3="是",ROUND($A$3*G15/$B$3,2),ROUND($A$3*(G15-AT15)/$B$3,2))</f>
        <v>1811.67</v>
      </c>
      <c r="F15" s="29"/>
      <c r="G15" s="30">
        <f>H15+AC15+AT15</f>
        <v>1229.0999999999999</v>
      </c>
      <c r="H15" s="17">
        <f>SUMIF(I$12:AB$12,"总值",I15:AB15)</f>
        <v>1229.0999999999999</v>
      </c>
      <c r="I15" s="3462">
        <v>1229.0999999999999</v>
      </c>
      <c r="J15" s="3462"/>
      <c r="K15" s="3462"/>
      <c r="L15" s="3462"/>
      <c r="M15" s="3462"/>
      <c r="N15" s="3462"/>
      <c r="O15" s="1623"/>
      <c r="P15" s="1623"/>
      <c r="Q15" s="1623"/>
      <c r="R15" s="1623"/>
      <c r="S15" s="1623"/>
      <c r="T15" s="1623"/>
      <c r="U15" s="1623"/>
      <c r="V15" s="1623"/>
      <c r="W15" s="1623"/>
      <c r="X15" s="1623"/>
      <c r="Y15" s="1623"/>
      <c r="Z15" s="1623"/>
      <c r="AA15" s="1623"/>
      <c r="AB15" s="1623"/>
      <c r="AC15" s="13">
        <f>SUMIF(AD$12:AS$12,"总值",AD15:AS15)</f>
        <v>0</v>
      </c>
      <c r="AD15" s="3465"/>
      <c r="AE15" s="3465"/>
      <c r="AF15" s="3465"/>
      <c r="AG15" s="3465"/>
      <c r="AH15" s="3465"/>
      <c r="AI15" s="3465"/>
      <c r="AJ15" s="3465"/>
      <c r="AK15" s="3465"/>
      <c r="AL15" s="3465"/>
      <c r="AM15" s="3465"/>
      <c r="AN15" s="3465"/>
      <c r="AO15" s="3465"/>
      <c r="AP15" s="3465"/>
      <c r="AQ15" s="3465"/>
      <c r="AR15" s="3465"/>
      <c r="AS15" s="3465"/>
      <c r="AT15" s="1624"/>
      <c r="AU15" s="1625"/>
      <c r="AV15" s="8">
        <f t="shared" si="6"/>
        <v>0</v>
      </c>
      <c r="AW15" s="8">
        <f t="shared" si="6"/>
        <v>0</v>
      </c>
      <c r="AX15" s="8">
        <f t="shared" si="6"/>
        <v>5</v>
      </c>
      <c r="AY15" s="1346">
        <f>ROUND($AY$6*AZ15/$AZ$5,2)</f>
        <v>1811.67</v>
      </c>
      <c r="AZ15" s="13">
        <f>BA15+BL15</f>
        <v>1229.0999999999999</v>
      </c>
      <c r="BA15" s="13">
        <f>SUM(BB15:BK15)</f>
        <v>1229.0999999999999</v>
      </c>
      <c r="BB15" s="13">
        <f>IF($D15="是",I15-J15,0)</f>
        <v>1229.0999999999999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3460"/>
      <c r="D16" s="1622"/>
      <c r="E16" s="13">
        <f>IF($C$3="是",ROUND($A$3*G16/$B$3,2),ROUND($A$3*(G16-AT16)/$B$3,2))</f>
        <v>1573.49</v>
      </c>
      <c r="F16" s="29"/>
      <c r="G16" s="30">
        <f>H16+AC16+AT16</f>
        <v>1067.51</v>
      </c>
      <c r="H16" s="17">
        <f>SUMIF(I$12:AB$12,"总值",I16:AB16)</f>
        <v>1067.51</v>
      </c>
      <c r="I16" s="3462">
        <f>Sheet1!H11</f>
        <v>1067.51</v>
      </c>
      <c r="J16" s="3462"/>
      <c r="K16" s="3462"/>
      <c r="L16" s="3462"/>
      <c r="M16" s="3462"/>
      <c r="N16" s="3462"/>
      <c r="O16" s="1623"/>
      <c r="P16" s="1623"/>
      <c r="Q16" s="1623"/>
      <c r="R16" s="1623"/>
      <c r="S16" s="1623"/>
      <c r="T16" s="1623"/>
      <c r="U16" s="1623"/>
      <c r="V16" s="1623"/>
      <c r="W16" s="1623"/>
      <c r="X16" s="1623"/>
      <c r="Y16" s="1623"/>
      <c r="Z16" s="1623"/>
      <c r="AA16" s="1623"/>
      <c r="AB16" s="1623"/>
      <c r="AC16" s="13">
        <f>SUMIF(AD$12:AS$12,"总值",AD16:AS16)</f>
        <v>0</v>
      </c>
      <c r="AD16" s="3465"/>
      <c r="AE16" s="3465"/>
      <c r="AF16" s="3465"/>
      <c r="AG16" s="3465"/>
      <c r="AH16" s="3465"/>
      <c r="AI16" s="3465"/>
      <c r="AJ16" s="3465"/>
      <c r="AK16" s="3465"/>
      <c r="AL16" s="3465"/>
      <c r="AM16" s="3465"/>
      <c r="AN16" s="3465"/>
      <c r="AO16" s="3465"/>
      <c r="AP16" s="3465"/>
      <c r="AQ16" s="3465"/>
      <c r="AR16" s="3465"/>
      <c r="AS16" s="3465"/>
      <c r="AT16" s="1624"/>
      <c r="AU16" s="1625"/>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3460"/>
      <c r="D17" s="1622"/>
      <c r="E17" s="13">
        <f>IF($C$3="是",ROUND($A$3*G17/$B$3,2),ROUND($A$3*(G17-AT17)/$B$3,2))</f>
        <v>1235.43</v>
      </c>
      <c r="F17" s="29"/>
      <c r="G17" s="30">
        <f>H17+AC17+AT17</f>
        <v>838.16</v>
      </c>
      <c r="H17" s="17">
        <f>SUMIF(I$12:AB$12,"总值",I17:AB17)</f>
        <v>838.16</v>
      </c>
      <c r="I17" s="3462">
        <f>Sheet1!H12</f>
        <v>838.16</v>
      </c>
      <c r="J17" s="3462"/>
      <c r="K17" s="3462"/>
      <c r="L17" s="3462"/>
      <c r="M17" s="3462"/>
      <c r="N17" s="3462"/>
      <c r="O17" s="1623"/>
      <c r="P17" s="1623"/>
      <c r="Q17" s="1623"/>
      <c r="R17" s="1623"/>
      <c r="S17" s="1623"/>
      <c r="T17" s="1623"/>
      <c r="U17" s="1623"/>
      <c r="V17" s="1623"/>
      <c r="W17" s="1623"/>
      <c r="X17" s="1623"/>
      <c r="Y17" s="1623"/>
      <c r="Z17" s="1623"/>
      <c r="AA17" s="1623"/>
      <c r="AB17" s="1623"/>
      <c r="AC17" s="13">
        <f>SUMIF(AD$12:AS$12,"总值",AD17:AS17)</f>
        <v>0</v>
      </c>
      <c r="AD17" s="3465"/>
      <c r="AE17" s="3465"/>
      <c r="AF17" s="3465"/>
      <c r="AG17" s="3465"/>
      <c r="AH17" s="3465"/>
      <c r="AI17" s="3465"/>
      <c r="AJ17" s="3465"/>
      <c r="AK17" s="3465"/>
      <c r="AL17" s="3465"/>
      <c r="AM17" s="3465"/>
      <c r="AN17" s="3465"/>
      <c r="AO17" s="3465"/>
      <c r="AP17" s="3465"/>
      <c r="AQ17" s="3465"/>
      <c r="AR17" s="3465"/>
      <c r="AS17" s="3465"/>
      <c r="AT17" s="1624"/>
      <c r="AU17" s="1625"/>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60"/>
      <c r="D18" s="1622"/>
      <c r="E18" s="32">
        <f t="shared" ref="E18:E112" si="7">IF($C$3="是",ROUND($A$3*G18/$B$3,2),ROUND($A$3*(G18-AT18)/$B$3,2))</f>
        <v>1223.23</v>
      </c>
      <c r="F18" s="33"/>
      <c r="G18" s="34">
        <f t="shared" ref="G18:G109" si="8">H18+AC18+AT18</f>
        <v>829.88</v>
      </c>
      <c r="H18" s="35">
        <f t="shared" ref="H18:H109" si="9">SUMIF(I$12:AB$12,"总值",I18:AB18)</f>
        <v>829.88</v>
      </c>
      <c r="I18" s="3462">
        <f>Sheet1!H13</f>
        <v>829.88</v>
      </c>
      <c r="J18" s="3463"/>
      <c r="K18" s="3463"/>
      <c r="L18" s="3463"/>
      <c r="M18" s="3463"/>
      <c r="N18" s="3463"/>
      <c r="O18" s="36"/>
      <c r="P18" s="36"/>
      <c r="Q18" s="36"/>
      <c r="R18" s="36"/>
      <c r="S18" s="36"/>
      <c r="T18" s="36"/>
      <c r="U18" s="36"/>
      <c r="V18" s="36"/>
      <c r="W18" s="36"/>
      <c r="X18" s="36"/>
      <c r="Y18" s="36"/>
      <c r="Z18" s="36"/>
      <c r="AA18" s="36"/>
      <c r="AB18" s="36"/>
      <c r="AC18" s="32">
        <f t="shared" ref="AC18:AC109" si="10">SUMIF(AD$12:AS$12,"总值",AD18:AS18)</f>
        <v>0</v>
      </c>
      <c r="AD18" s="3466"/>
      <c r="AE18" s="3466"/>
      <c r="AF18" s="3466"/>
      <c r="AG18" s="3466"/>
      <c r="AH18" s="3466"/>
      <c r="AI18" s="3466"/>
      <c r="AJ18" s="3466"/>
      <c r="AK18" s="3466"/>
      <c r="AL18" s="3466"/>
      <c r="AM18" s="3466"/>
      <c r="AN18" s="3466"/>
      <c r="AO18" s="3466"/>
      <c r="AP18" s="3466"/>
      <c r="AQ18" s="3466"/>
      <c r="AR18" s="3466"/>
      <c r="AS18" s="3466"/>
      <c r="AT18" s="38"/>
      <c r="AU18" s="1627"/>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60"/>
      <c r="D19" s="1622"/>
      <c r="E19" s="32">
        <f t="shared" si="7"/>
        <v>995.29</v>
      </c>
      <c r="F19" s="33"/>
      <c r="G19" s="34">
        <f t="shared" si="8"/>
        <v>675.24</v>
      </c>
      <c r="H19" s="35">
        <f t="shared" si="9"/>
        <v>675.24</v>
      </c>
      <c r="I19" s="3462">
        <f>Sheet1!H14</f>
        <v>675.24</v>
      </c>
      <c r="J19" s="3463"/>
      <c r="K19" s="3463"/>
      <c r="L19" s="3463"/>
      <c r="M19" s="3463"/>
      <c r="N19" s="3463"/>
      <c r="O19" s="36"/>
      <c r="P19" s="36"/>
      <c r="Q19" s="36"/>
      <c r="R19" s="36"/>
      <c r="S19" s="36"/>
      <c r="T19" s="36"/>
      <c r="U19" s="36"/>
      <c r="V19" s="36"/>
      <c r="W19" s="36"/>
      <c r="X19" s="36"/>
      <c r="Y19" s="36"/>
      <c r="Z19" s="36"/>
      <c r="AA19" s="36"/>
      <c r="AB19" s="36"/>
      <c r="AC19" s="32">
        <f t="shared" si="10"/>
        <v>0</v>
      </c>
      <c r="AD19" s="3466"/>
      <c r="AE19" s="3466"/>
      <c r="AF19" s="3466"/>
      <c r="AG19" s="3466"/>
      <c r="AH19" s="3466"/>
      <c r="AI19" s="3466"/>
      <c r="AJ19" s="3466"/>
      <c r="AK19" s="3466"/>
      <c r="AL19" s="3466"/>
      <c r="AM19" s="3466"/>
      <c r="AN19" s="3466"/>
      <c r="AO19" s="3466"/>
      <c r="AP19" s="3466"/>
      <c r="AQ19" s="3466"/>
      <c r="AR19" s="3466"/>
      <c r="AS19" s="3466"/>
      <c r="AT19" s="38"/>
      <c r="AU19" s="1627"/>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60"/>
      <c r="D20" s="1622"/>
      <c r="E20" s="32">
        <f t="shared" si="7"/>
        <v>4702.93</v>
      </c>
      <c r="F20" s="33"/>
      <c r="G20" s="34">
        <f t="shared" si="8"/>
        <v>3190.63</v>
      </c>
      <c r="H20" s="35">
        <f t="shared" si="9"/>
        <v>3190.63</v>
      </c>
      <c r="I20" s="3462">
        <f>Sheet1!H15</f>
        <v>3190.63</v>
      </c>
      <c r="J20" s="3463"/>
      <c r="K20" s="3463"/>
      <c r="L20" s="3463"/>
      <c r="M20" s="3463"/>
      <c r="N20" s="3463"/>
      <c r="O20" s="36"/>
      <c r="P20" s="36"/>
      <c r="Q20" s="36"/>
      <c r="R20" s="36"/>
      <c r="S20" s="36"/>
      <c r="T20" s="36"/>
      <c r="U20" s="36"/>
      <c r="V20" s="36"/>
      <c r="W20" s="36"/>
      <c r="X20" s="36"/>
      <c r="Y20" s="36"/>
      <c r="Z20" s="36"/>
      <c r="AA20" s="36"/>
      <c r="AB20" s="36"/>
      <c r="AC20" s="32">
        <f t="shared" si="10"/>
        <v>0</v>
      </c>
      <c r="AD20" s="3466"/>
      <c r="AE20" s="3466"/>
      <c r="AF20" s="3466"/>
      <c r="AG20" s="3466"/>
      <c r="AH20" s="3466"/>
      <c r="AI20" s="3466"/>
      <c r="AJ20" s="3466"/>
      <c r="AK20" s="3466"/>
      <c r="AL20" s="3466"/>
      <c r="AM20" s="3466"/>
      <c r="AN20" s="3466"/>
      <c r="AO20" s="3466"/>
      <c r="AP20" s="3466"/>
      <c r="AQ20" s="3466"/>
      <c r="AR20" s="3466"/>
      <c r="AS20" s="3466"/>
      <c r="AT20" s="38"/>
      <c r="AU20" s="1627"/>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61"/>
      <c r="D21" s="1622"/>
      <c r="E21" s="32">
        <f t="shared" si="7"/>
        <v>0</v>
      </c>
      <c r="F21" s="33"/>
      <c r="G21" s="34">
        <f t="shared" si="8"/>
        <v>0</v>
      </c>
      <c r="H21" s="35">
        <f t="shared" si="9"/>
        <v>0</v>
      </c>
      <c r="I21" s="3463"/>
      <c r="J21" s="3463"/>
      <c r="K21" s="3463"/>
      <c r="L21" s="3463"/>
      <c r="M21" s="3463"/>
      <c r="N21" s="3463"/>
      <c r="O21" s="36"/>
      <c r="P21" s="36"/>
      <c r="Q21" s="36"/>
      <c r="R21" s="36"/>
      <c r="S21" s="36"/>
      <c r="T21" s="36"/>
      <c r="U21" s="36"/>
      <c r="V21" s="36"/>
      <c r="W21" s="36"/>
      <c r="X21" s="36"/>
      <c r="Y21" s="36"/>
      <c r="Z21" s="36"/>
      <c r="AA21" s="36"/>
      <c r="AB21" s="36"/>
      <c r="AC21" s="32">
        <f t="shared" si="10"/>
        <v>0</v>
      </c>
      <c r="AD21" s="3466"/>
      <c r="AE21" s="3466"/>
      <c r="AF21" s="3466"/>
      <c r="AG21" s="3466"/>
      <c r="AH21" s="3466"/>
      <c r="AI21" s="3466"/>
      <c r="AJ21" s="3466"/>
      <c r="AK21" s="3466"/>
      <c r="AL21" s="3466"/>
      <c r="AM21" s="3466"/>
      <c r="AN21" s="3466"/>
      <c r="AO21" s="3466"/>
      <c r="AP21" s="3466"/>
      <c r="AQ21" s="3466"/>
      <c r="AR21" s="3466"/>
      <c r="AS21" s="3466"/>
      <c r="AT21" s="38"/>
      <c r="AU21" s="1627"/>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61"/>
      <c r="D22" s="1622"/>
      <c r="E22" s="32">
        <f t="shared" si="7"/>
        <v>0</v>
      </c>
      <c r="F22" s="33"/>
      <c r="G22" s="34">
        <f t="shared" si="8"/>
        <v>0</v>
      </c>
      <c r="H22" s="35">
        <f t="shared" si="9"/>
        <v>0</v>
      </c>
      <c r="I22" s="3463"/>
      <c r="J22" s="3463"/>
      <c r="K22" s="3463"/>
      <c r="L22" s="3463"/>
      <c r="M22" s="3463"/>
      <c r="N22" s="3463"/>
      <c r="O22" s="36"/>
      <c r="P22" s="36"/>
      <c r="Q22" s="36"/>
      <c r="R22" s="36"/>
      <c r="S22" s="36"/>
      <c r="T22" s="36"/>
      <c r="U22" s="36"/>
      <c r="V22" s="36"/>
      <c r="W22" s="36"/>
      <c r="X22" s="36"/>
      <c r="Y22" s="36"/>
      <c r="Z22" s="36"/>
      <c r="AA22" s="36"/>
      <c r="AB22" s="36"/>
      <c r="AC22" s="32">
        <f t="shared" si="10"/>
        <v>0</v>
      </c>
      <c r="AD22" s="3466"/>
      <c r="AE22" s="3466"/>
      <c r="AF22" s="3466"/>
      <c r="AG22" s="3466"/>
      <c r="AH22" s="3466"/>
      <c r="AI22" s="3466"/>
      <c r="AJ22" s="3466"/>
      <c r="AK22" s="3466"/>
      <c r="AL22" s="3466"/>
      <c r="AM22" s="3466"/>
      <c r="AN22" s="3466"/>
      <c r="AO22" s="3466"/>
      <c r="AP22" s="3466"/>
      <c r="AQ22" s="3466"/>
      <c r="AR22" s="3466"/>
      <c r="AS22" s="3466"/>
      <c r="AT22" s="38"/>
      <c r="AU22" s="1627"/>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61"/>
      <c r="D23" s="1622"/>
      <c r="E23" s="32">
        <f t="shared" si="7"/>
        <v>0</v>
      </c>
      <c r="F23" s="33"/>
      <c r="G23" s="34">
        <f t="shared" si="8"/>
        <v>0</v>
      </c>
      <c r="H23" s="35">
        <f t="shared" si="9"/>
        <v>0</v>
      </c>
      <c r="I23" s="3463"/>
      <c r="J23" s="3463"/>
      <c r="K23" s="3463"/>
      <c r="L23" s="3463"/>
      <c r="M23" s="3463"/>
      <c r="N23" s="3463"/>
      <c r="O23" s="36"/>
      <c r="P23" s="36"/>
      <c r="Q23" s="36"/>
      <c r="R23" s="36"/>
      <c r="S23" s="36"/>
      <c r="T23" s="36"/>
      <c r="U23" s="36"/>
      <c r="V23" s="36"/>
      <c r="W23" s="36"/>
      <c r="X23" s="36"/>
      <c r="Y23" s="36"/>
      <c r="Z23" s="36"/>
      <c r="AA23" s="36"/>
      <c r="AB23" s="36"/>
      <c r="AC23" s="32">
        <f t="shared" si="10"/>
        <v>0</v>
      </c>
      <c r="AD23" s="3466"/>
      <c r="AE23" s="3466"/>
      <c r="AF23" s="3466"/>
      <c r="AG23" s="3466"/>
      <c r="AH23" s="3466"/>
      <c r="AI23" s="3466"/>
      <c r="AJ23" s="3466"/>
      <c r="AK23" s="3466"/>
      <c r="AL23" s="3466"/>
      <c r="AM23" s="3466"/>
      <c r="AN23" s="3466"/>
      <c r="AO23" s="3466"/>
      <c r="AP23" s="3466"/>
      <c r="AQ23" s="3466"/>
      <c r="AR23" s="3466"/>
      <c r="AS23" s="3466"/>
      <c r="AT23" s="38"/>
      <c r="AU23" s="1627"/>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61"/>
      <c r="D24" s="1622"/>
      <c r="E24" s="32">
        <f t="shared" si="7"/>
        <v>0</v>
      </c>
      <c r="F24" s="33"/>
      <c r="G24" s="34">
        <f t="shared" si="8"/>
        <v>0</v>
      </c>
      <c r="H24" s="35">
        <f t="shared" si="9"/>
        <v>0</v>
      </c>
      <c r="I24" s="3463"/>
      <c r="J24" s="3463"/>
      <c r="K24" s="3463"/>
      <c r="L24" s="3463"/>
      <c r="M24" s="3463"/>
      <c r="N24" s="3463"/>
      <c r="O24" s="36"/>
      <c r="P24" s="36"/>
      <c r="Q24" s="36"/>
      <c r="R24" s="36"/>
      <c r="S24" s="36"/>
      <c r="T24" s="36"/>
      <c r="U24" s="36"/>
      <c r="V24" s="36"/>
      <c r="W24" s="36"/>
      <c r="X24" s="36"/>
      <c r="Y24" s="36"/>
      <c r="Z24" s="36"/>
      <c r="AA24" s="36"/>
      <c r="AB24" s="36"/>
      <c r="AC24" s="32">
        <f t="shared" si="10"/>
        <v>0</v>
      </c>
      <c r="AD24" s="3466"/>
      <c r="AE24" s="3466"/>
      <c r="AF24" s="3466"/>
      <c r="AG24" s="3466"/>
      <c r="AH24" s="3466"/>
      <c r="AI24" s="3466"/>
      <c r="AJ24" s="3466"/>
      <c r="AK24" s="3466"/>
      <c r="AL24" s="3466"/>
      <c r="AM24" s="3466"/>
      <c r="AN24" s="3466"/>
      <c r="AO24" s="3466"/>
      <c r="AP24" s="3466"/>
      <c r="AQ24" s="3466"/>
      <c r="AR24" s="3466"/>
      <c r="AS24" s="3466"/>
      <c r="AT24" s="38"/>
      <c r="AU24" s="1627"/>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61"/>
      <c r="D25" s="1622"/>
      <c r="E25" s="32">
        <f t="shared" si="7"/>
        <v>0</v>
      </c>
      <c r="F25" s="33"/>
      <c r="G25" s="34">
        <f t="shared" si="8"/>
        <v>0</v>
      </c>
      <c r="H25" s="35">
        <f t="shared" si="9"/>
        <v>0</v>
      </c>
      <c r="I25" s="3463"/>
      <c r="J25" s="3463"/>
      <c r="K25" s="3463"/>
      <c r="L25" s="3463"/>
      <c r="M25" s="3463"/>
      <c r="N25" s="3463"/>
      <c r="O25" s="36"/>
      <c r="P25" s="36"/>
      <c r="Q25" s="36"/>
      <c r="R25" s="36"/>
      <c r="S25" s="36"/>
      <c r="T25" s="36"/>
      <c r="U25" s="36"/>
      <c r="V25" s="36"/>
      <c r="W25" s="36"/>
      <c r="X25" s="36"/>
      <c r="Y25" s="36"/>
      <c r="Z25" s="36"/>
      <c r="AA25" s="36"/>
      <c r="AB25" s="36"/>
      <c r="AC25" s="32">
        <f t="shared" si="10"/>
        <v>0</v>
      </c>
      <c r="AD25" s="3466"/>
      <c r="AE25" s="3466"/>
      <c r="AF25" s="3466"/>
      <c r="AG25" s="3466"/>
      <c r="AH25" s="3466"/>
      <c r="AI25" s="3466"/>
      <c r="AJ25" s="3466"/>
      <c r="AK25" s="3466"/>
      <c r="AL25" s="3466"/>
      <c r="AM25" s="3466"/>
      <c r="AN25" s="3466"/>
      <c r="AO25" s="3466"/>
      <c r="AP25" s="3466"/>
      <c r="AQ25" s="3466"/>
      <c r="AR25" s="3466"/>
      <c r="AS25" s="3466"/>
      <c r="AT25" s="38"/>
      <c r="AU25" s="1627"/>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61"/>
      <c r="D26" s="1622"/>
      <c r="E26" s="32">
        <f t="shared" si="7"/>
        <v>0</v>
      </c>
      <c r="F26" s="33"/>
      <c r="G26" s="34">
        <f t="shared" si="8"/>
        <v>0</v>
      </c>
      <c r="H26" s="35">
        <f t="shared" si="9"/>
        <v>0</v>
      </c>
      <c r="I26" s="3463"/>
      <c r="J26" s="3463"/>
      <c r="K26" s="3463"/>
      <c r="L26" s="3463"/>
      <c r="M26" s="3463"/>
      <c r="N26" s="3463"/>
      <c r="O26" s="36"/>
      <c r="P26" s="36"/>
      <c r="Q26" s="36"/>
      <c r="R26" s="36"/>
      <c r="S26" s="36"/>
      <c r="T26" s="36"/>
      <c r="U26" s="36"/>
      <c r="V26" s="36"/>
      <c r="W26" s="36"/>
      <c r="X26" s="36"/>
      <c r="Y26" s="36"/>
      <c r="Z26" s="36"/>
      <c r="AA26" s="36"/>
      <c r="AB26" s="36"/>
      <c r="AC26" s="32">
        <f t="shared" si="10"/>
        <v>0</v>
      </c>
      <c r="AD26" s="3466"/>
      <c r="AE26" s="3466"/>
      <c r="AF26" s="3466"/>
      <c r="AG26" s="3466"/>
      <c r="AH26" s="3466"/>
      <c r="AI26" s="3466"/>
      <c r="AJ26" s="3466"/>
      <c r="AK26" s="3466"/>
      <c r="AL26" s="3466"/>
      <c r="AM26" s="3466"/>
      <c r="AN26" s="3466"/>
      <c r="AO26" s="3466"/>
      <c r="AP26" s="3466"/>
      <c r="AQ26" s="3466"/>
      <c r="AR26" s="3466"/>
      <c r="AS26" s="3466"/>
      <c r="AT26" s="38"/>
      <c r="AU26" s="1627"/>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61"/>
      <c r="D27" s="1622"/>
      <c r="E27" s="32">
        <f t="shared" si="7"/>
        <v>0</v>
      </c>
      <c r="F27" s="33"/>
      <c r="G27" s="34">
        <f t="shared" si="8"/>
        <v>0</v>
      </c>
      <c r="H27" s="35">
        <f t="shared" si="9"/>
        <v>0</v>
      </c>
      <c r="I27" s="3463"/>
      <c r="J27" s="3463"/>
      <c r="K27" s="3463"/>
      <c r="L27" s="3463"/>
      <c r="M27" s="3463"/>
      <c r="N27" s="3463"/>
      <c r="O27" s="36"/>
      <c r="P27" s="36"/>
      <c r="Q27" s="36"/>
      <c r="R27" s="36"/>
      <c r="S27" s="36"/>
      <c r="T27" s="36"/>
      <c r="U27" s="36"/>
      <c r="V27" s="36"/>
      <c r="W27" s="36"/>
      <c r="X27" s="36"/>
      <c r="Y27" s="36"/>
      <c r="Z27" s="36"/>
      <c r="AA27" s="36"/>
      <c r="AB27" s="36"/>
      <c r="AC27" s="32">
        <f t="shared" si="10"/>
        <v>0</v>
      </c>
      <c r="AD27" s="3466"/>
      <c r="AE27" s="3466"/>
      <c r="AF27" s="3466"/>
      <c r="AG27" s="3466"/>
      <c r="AH27" s="3466"/>
      <c r="AI27" s="3466"/>
      <c r="AJ27" s="3466"/>
      <c r="AK27" s="3466"/>
      <c r="AL27" s="3466"/>
      <c r="AM27" s="3466"/>
      <c r="AN27" s="3466"/>
      <c r="AO27" s="3466"/>
      <c r="AP27" s="3466"/>
      <c r="AQ27" s="3466"/>
      <c r="AR27" s="3466"/>
      <c r="AS27" s="3466"/>
      <c r="AT27" s="38"/>
      <c r="AU27" s="1627"/>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61"/>
      <c r="D28" s="1622"/>
      <c r="E28" s="32">
        <f t="shared" si="7"/>
        <v>0</v>
      </c>
      <c r="F28" s="33"/>
      <c r="G28" s="34">
        <f t="shared" si="8"/>
        <v>0</v>
      </c>
      <c r="H28" s="35">
        <f t="shared" si="9"/>
        <v>0</v>
      </c>
      <c r="I28" s="3463"/>
      <c r="J28" s="3463"/>
      <c r="K28" s="3463"/>
      <c r="L28" s="3463"/>
      <c r="M28" s="3463"/>
      <c r="N28" s="3463"/>
      <c r="O28" s="36"/>
      <c r="P28" s="36"/>
      <c r="Q28" s="36"/>
      <c r="R28" s="36"/>
      <c r="S28" s="36"/>
      <c r="T28" s="36"/>
      <c r="U28" s="36"/>
      <c r="V28" s="36"/>
      <c r="W28" s="36"/>
      <c r="X28" s="36"/>
      <c r="Y28" s="36"/>
      <c r="Z28" s="36"/>
      <c r="AA28" s="36"/>
      <c r="AB28" s="36"/>
      <c r="AC28" s="32">
        <f t="shared" si="10"/>
        <v>0</v>
      </c>
      <c r="AD28" s="3466"/>
      <c r="AE28" s="3466"/>
      <c r="AF28" s="3466"/>
      <c r="AG28" s="3466"/>
      <c r="AH28" s="3466"/>
      <c r="AI28" s="3466"/>
      <c r="AJ28" s="3466"/>
      <c r="AK28" s="3466"/>
      <c r="AL28" s="3466"/>
      <c r="AM28" s="3466"/>
      <c r="AN28" s="3466"/>
      <c r="AO28" s="3466"/>
      <c r="AP28" s="3466"/>
      <c r="AQ28" s="3466"/>
      <c r="AR28" s="3466"/>
      <c r="AS28" s="3466"/>
      <c r="AT28" s="38"/>
      <c r="AU28" s="1627"/>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61"/>
      <c r="D29" s="1622"/>
      <c r="E29" s="32">
        <f t="shared" si="7"/>
        <v>0</v>
      </c>
      <c r="F29" s="33"/>
      <c r="G29" s="34">
        <f t="shared" si="8"/>
        <v>0</v>
      </c>
      <c r="H29" s="35">
        <f t="shared" si="9"/>
        <v>0</v>
      </c>
      <c r="I29" s="3463"/>
      <c r="J29" s="3463"/>
      <c r="K29" s="3463"/>
      <c r="L29" s="3463"/>
      <c r="M29" s="3463"/>
      <c r="N29" s="3463"/>
      <c r="O29" s="36"/>
      <c r="P29" s="36"/>
      <c r="Q29" s="36"/>
      <c r="R29" s="36"/>
      <c r="S29" s="36"/>
      <c r="T29" s="36"/>
      <c r="U29" s="36"/>
      <c r="V29" s="36"/>
      <c r="W29" s="36"/>
      <c r="X29" s="36"/>
      <c r="Y29" s="36"/>
      <c r="Z29" s="36"/>
      <c r="AA29" s="36"/>
      <c r="AB29" s="36"/>
      <c r="AC29" s="32">
        <f t="shared" si="10"/>
        <v>0</v>
      </c>
      <c r="AD29" s="3466"/>
      <c r="AE29" s="3466"/>
      <c r="AF29" s="3466"/>
      <c r="AG29" s="3466"/>
      <c r="AH29" s="3466"/>
      <c r="AI29" s="3466"/>
      <c r="AJ29" s="3466"/>
      <c r="AK29" s="3466"/>
      <c r="AL29" s="3466"/>
      <c r="AM29" s="3466"/>
      <c r="AN29" s="3466"/>
      <c r="AO29" s="3466"/>
      <c r="AP29" s="3466"/>
      <c r="AQ29" s="3466"/>
      <c r="AR29" s="3466"/>
      <c r="AS29" s="3466"/>
      <c r="AT29" s="38"/>
      <c r="AU29" s="1627"/>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61"/>
      <c r="D30" s="1622"/>
      <c r="E30" s="32">
        <f t="shared" si="7"/>
        <v>0</v>
      </c>
      <c r="F30" s="33"/>
      <c r="G30" s="34">
        <f t="shared" si="8"/>
        <v>0</v>
      </c>
      <c r="H30" s="35">
        <f t="shared" si="9"/>
        <v>0</v>
      </c>
      <c r="I30" s="3463"/>
      <c r="J30" s="3463"/>
      <c r="K30" s="3463"/>
      <c r="L30" s="3463"/>
      <c r="M30" s="3463"/>
      <c r="N30" s="3463"/>
      <c r="O30" s="36"/>
      <c r="P30" s="36"/>
      <c r="Q30" s="36"/>
      <c r="R30" s="36"/>
      <c r="S30" s="36"/>
      <c r="T30" s="36"/>
      <c r="U30" s="36"/>
      <c r="V30" s="36"/>
      <c r="W30" s="36"/>
      <c r="X30" s="36"/>
      <c r="Y30" s="36"/>
      <c r="Z30" s="36"/>
      <c r="AA30" s="36"/>
      <c r="AB30" s="36"/>
      <c r="AC30" s="32">
        <f t="shared" si="10"/>
        <v>0</v>
      </c>
      <c r="AD30" s="3466"/>
      <c r="AE30" s="3466"/>
      <c r="AF30" s="3466"/>
      <c r="AG30" s="3466"/>
      <c r="AH30" s="3466"/>
      <c r="AI30" s="3466"/>
      <c r="AJ30" s="3466"/>
      <c r="AK30" s="3466"/>
      <c r="AL30" s="3466"/>
      <c r="AM30" s="3466"/>
      <c r="AN30" s="3466"/>
      <c r="AO30" s="3466"/>
      <c r="AP30" s="3466"/>
      <c r="AQ30" s="3466"/>
      <c r="AR30" s="3466"/>
      <c r="AS30" s="3466"/>
      <c r="AT30" s="38"/>
      <c r="AU30" s="1627"/>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61"/>
      <c r="D31" s="1622"/>
      <c r="E31" s="32">
        <f t="shared" si="7"/>
        <v>0</v>
      </c>
      <c r="F31" s="33"/>
      <c r="G31" s="34">
        <f t="shared" si="8"/>
        <v>0</v>
      </c>
      <c r="H31" s="35">
        <f t="shared" si="9"/>
        <v>0</v>
      </c>
      <c r="I31" s="3464"/>
      <c r="J31" s="3463"/>
      <c r="K31" s="3463"/>
      <c r="L31" s="3463"/>
      <c r="M31" s="3463"/>
      <c r="N31" s="3463"/>
      <c r="O31" s="36"/>
      <c r="P31" s="36"/>
      <c r="Q31" s="36"/>
      <c r="R31" s="36"/>
      <c r="S31" s="36"/>
      <c r="T31" s="36"/>
      <c r="U31" s="36"/>
      <c r="V31" s="36"/>
      <c r="W31" s="36"/>
      <c r="X31" s="36"/>
      <c r="Y31" s="36"/>
      <c r="Z31" s="36"/>
      <c r="AA31" s="36"/>
      <c r="AB31" s="36"/>
      <c r="AC31" s="32">
        <f t="shared" si="10"/>
        <v>0</v>
      </c>
      <c r="AD31" s="3466"/>
      <c r="AE31" s="3466"/>
      <c r="AF31" s="3466"/>
      <c r="AG31" s="3466"/>
      <c r="AH31" s="3466"/>
      <c r="AI31" s="3466"/>
      <c r="AJ31" s="3466"/>
      <c r="AK31" s="3466"/>
      <c r="AL31" s="3466"/>
      <c r="AM31" s="3466"/>
      <c r="AN31" s="3466"/>
      <c r="AO31" s="3466"/>
      <c r="AP31" s="3466"/>
      <c r="AQ31" s="3466"/>
      <c r="AR31" s="3466"/>
      <c r="AS31" s="3466"/>
      <c r="AT31" s="38"/>
      <c r="AU31" s="1627"/>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61"/>
      <c r="D32" s="1622"/>
      <c r="E32" s="32">
        <f t="shared" si="7"/>
        <v>0</v>
      </c>
      <c r="F32" s="33"/>
      <c r="G32" s="34">
        <f t="shared" si="8"/>
        <v>0</v>
      </c>
      <c r="H32" s="35">
        <f t="shared" si="9"/>
        <v>0</v>
      </c>
      <c r="I32" s="3464"/>
      <c r="J32" s="3463"/>
      <c r="K32" s="3463"/>
      <c r="L32" s="3463"/>
      <c r="M32" s="3463"/>
      <c r="N32" s="3463"/>
      <c r="O32" s="36"/>
      <c r="P32" s="36"/>
      <c r="Q32" s="36"/>
      <c r="R32" s="36"/>
      <c r="S32" s="36"/>
      <c r="T32" s="36"/>
      <c r="U32" s="36"/>
      <c r="V32" s="36"/>
      <c r="W32" s="36"/>
      <c r="X32" s="36"/>
      <c r="Y32" s="36"/>
      <c r="Z32" s="36"/>
      <c r="AA32" s="36"/>
      <c r="AB32" s="36"/>
      <c r="AC32" s="32">
        <f t="shared" si="10"/>
        <v>0</v>
      </c>
      <c r="AD32" s="3466"/>
      <c r="AE32" s="3466"/>
      <c r="AF32" s="3466"/>
      <c r="AG32" s="3466"/>
      <c r="AH32" s="3466"/>
      <c r="AI32" s="3466"/>
      <c r="AJ32" s="3466"/>
      <c r="AK32" s="3466"/>
      <c r="AL32" s="3466"/>
      <c r="AM32" s="3466"/>
      <c r="AN32" s="3466"/>
      <c r="AO32" s="3466"/>
      <c r="AP32" s="3466"/>
      <c r="AQ32" s="3466"/>
      <c r="AR32" s="3466"/>
      <c r="AS32" s="3466"/>
      <c r="AT32" s="38"/>
      <c r="AU32" s="1627"/>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61"/>
      <c r="D33" s="1622"/>
      <c r="E33" s="32">
        <f t="shared" si="7"/>
        <v>0</v>
      </c>
      <c r="F33" s="33"/>
      <c r="G33" s="34">
        <f t="shared" si="8"/>
        <v>0</v>
      </c>
      <c r="H33" s="35">
        <f t="shared" si="9"/>
        <v>0</v>
      </c>
      <c r="I33" s="3463"/>
      <c r="J33" s="3463"/>
      <c r="K33" s="3463"/>
      <c r="L33" s="3463"/>
      <c r="M33" s="3463"/>
      <c r="N33" s="3463"/>
      <c r="O33" s="36"/>
      <c r="P33" s="36"/>
      <c r="Q33" s="36"/>
      <c r="R33" s="36"/>
      <c r="S33" s="36"/>
      <c r="T33" s="36"/>
      <c r="U33" s="36"/>
      <c r="V33" s="36"/>
      <c r="W33" s="36"/>
      <c r="X33" s="36"/>
      <c r="Y33" s="36"/>
      <c r="Z33" s="36"/>
      <c r="AA33" s="36"/>
      <c r="AB33" s="36"/>
      <c r="AC33" s="32">
        <f t="shared" si="10"/>
        <v>0</v>
      </c>
      <c r="AD33" s="3466"/>
      <c r="AE33" s="3466"/>
      <c r="AF33" s="3466"/>
      <c r="AG33" s="3466"/>
      <c r="AH33" s="3466"/>
      <c r="AI33" s="3466"/>
      <c r="AJ33" s="3466"/>
      <c r="AK33" s="3466"/>
      <c r="AL33" s="3466"/>
      <c r="AM33" s="3466"/>
      <c r="AN33" s="3466"/>
      <c r="AO33" s="3466"/>
      <c r="AP33" s="3466"/>
      <c r="AQ33" s="3466"/>
      <c r="AR33" s="3466"/>
      <c r="AS33" s="3466"/>
      <c r="AT33" s="38"/>
      <c r="AU33" s="1627"/>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61"/>
      <c r="D34" s="1622"/>
      <c r="E34" s="32">
        <f t="shared" si="7"/>
        <v>0</v>
      </c>
      <c r="F34" s="33"/>
      <c r="G34" s="34">
        <f t="shared" si="8"/>
        <v>0</v>
      </c>
      <c r="H34" s="35">
        <f t="shared" si="9"/>
        <v>0</v>
      </c>
      <c r="I34" s="3463"/>
      <c r="J34" s="3463"/>
      <c r="K34" s="3463"/>
      <c r="L34" s="3463"/>
      <c r="M34" s="3463"/>
      <c r="N34" s="3463"/>
      <c r="O34" s="36"/>
      <c r="P34" s="36"/>
      <c r="Q34" s="36"/>
      <c r="R34" s="36"/>
      <c r="S34" s="36"/>
      <c r="T34" s="36"/>
      <c r="U34" s="36"/>
      <c r="V34" s="36"/>
      <c r="W34" s="36"/>
      <c r="X34" s="36"/>
      <c r="Y34" s="36"/>
      <c r="Z34" s="36"/>
      <c r="AA34" s="36"/>
      <c r="AB34" s="36"/>
      <c r="AC34" s="32">
        <f t="shared" si="10"/>
        <v>0</v>
      </c>
      <c r="AD34" s="3466"/>
      <c r="AE34" s="3466"/>
      <c r="AF34" s="3466"/>
      <c r="AG34" s="3466"/>
      <c r="AH34" s="3466"/>
      <c r="AI34" s="3466"/>
      <c r="AJ34" s="3466"/>
      <c r="AK34" s="3466"/>
      <c r="AL34" s="3466"/>
      <c r="AM34" s="3466"/>
      <c r="AN34" s="3466"/>
      <c r="AO34" s="3466"/>
      <c r="AP34" s="3466"/>
      <c r="AQ34" s="3466"/>
      <c r="AR34" s="3466"/>
      <c r="AS34" s="3466"/>
      <c r="AT34" s="38"/>
      <c r="AU34" s="1627"/>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61"/>
      <c r="D35" s="1622"/>
      <c r="E35" s="32">
        <f t="shared" si="7"/>
        <v>0</v>
      </c>
      <c r="F35" s="33"/>
      <c r="G35" s="34">
        <f t="shared" si="8"/>
        <v>0</v>
      </c>
      <c r="H35" s="35">
        <f t="shared" si="9"/>
        <v>0</v>
      </c>
      <c r="I35" s="3463"/>
      <c r="J35" s="3463"/>
      <c r="K35" s="3463"/>
      <c r="L35" s="3463"/>
      <c r="M35" s="3463"/>
      <c r="N35" s="3463"/>
      <c r="O35" s="36"/>
      <c r="P35" s="36"/>
      <c r="Q35" s="36"/>
      <c r="R35" s="36"/>
      <c r="S35" s="36"/>
      <c r="T35" s="36"/>
      <c r="U35" s="36"/>
      <c r="V35" s="36"/>
      <c r="W35" s="36"/>
      <c r="X35" s="36"/>
      <c r="Y35" s="36"/>
      <c r="Z35" s="36"/>
      <c r="AA35" s="36"/>
      <c r="AB35" s="36"/>
      <c r="AC35" s="32">
        <f t="shared" si="10"/>
        <v>0</v>
      </c>
      <c r="AD35" s="3466"/>
      <c r="AE35" s="3466"/>
      <c r="AF35" s="3466"/>
      <c r="AG35" s="3466"/>
      <c r="AH35" s="3466"/>
      <c r="AI35" s="3466"/>
      <c r="AJ35" s="3466"/>
      <c r="AK35" s="3466"/>
      <c r="AL35" s="3466"/>
      <c r="AM35" s="3466"/>
      <c r="AN35" s="3466"/>
      <c r="AO35" s="3466"/>
      <c r="AP35" s="3466"/>
      <c r="AQ35" s="3466"/>
      <c r="AR35" s="3466"/>
      <c r="AS35" s="3466"/>
      <c r="AT35" s="38"/>
      <c r="AU35" s="1627"/>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61"/>
      <c r="D36" s="1622"/>
      <c r="E36" s="32">
        <f t="shared" si="7"/>
        <v>0</v>
      </c>
      <c r="F36" s="33"/>
      <c r="G36" s="34">
        <f t="shared" si="8"/>
        <v>0</v>
      </c>
      <c r="H36" s="35">
        <f t="shared" si="9"/>
        <v>0</v>
      </c>
      <c r="I36" s="3463"/>
      <c r="J36" s="3463"/>
      <c r="K36" s="3463"/>
      <c r="L36" s="3463"/>
      <c r="M36" s="3463"/>
      <c r="N36" s="3463"/>
      <c r="O36" s="36"/>
      <c r="P36" s="36"/>
      <c r="Q36" s="36"/>
      <c r="R36" s="36"/>
      <c r="S36" s="36"/>
      <c r="T36" s="36"/>
      <c r="U36" s="36"/>
      <c r="V36" s="36"/>
      <c r="W36" s="36"/>
      <c r="X36" s="36"/>
      <c r="Y36" s="36"/>
      <c r="Z36" s="36"/>
      <c r="AA36" s="36"/>
      <c r="AB36" s="36"/>
      <c r="AC36" s="32">
        <f t="shared" si="10"/>
        <v>0</v>
      </c>
      <c r="AD36" s="3466"/>
      <c r="AE36" s="3466"/>
      <c r="AF36" s="3466"/>
      <c r="AG36" s="3466"/>
      <c r="AH36" s="3466"/>
      <c r="AI36" s="3466"/>
      <c r="AJ36" s="3466"/>
      <c r="AK36" s="3466"/>
      <c r="AL36" s="3466"/>
      <c r="AM36" s="3466"/>
      <c r="AN36" s="3466"/>
      <c r="AO36" s="3466"/>
      <c r="AP36" s="3466"/>
      <c r="AQ36" s="3466"/>
      <c r="AR36" s="3466"/>
      <c r="AS36" s="3466"/>
      <c r="AT36" s="38"/>
      <c r="AU36" s="1627"/>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61"/>
      <c r="D37" s="1622"/>
      <c r="E37" s="32">
        <f t="shared" si="7"/>
        <v>0</v>
      </c>
      <c r="F37" s="33"/>
      <c r="G37" s="34">
        <f t="shared" si="8"/>
        <v>0</v>
      </c>
      <c r="H37" s="35">
        <f t="shared" si="9"/>
        <v>0</v>
      </c>
      <c r="I37" s="3463"/>
      <c r="J37" s="3463"/>
      <c r="K37" s="3463"/>
      <c r="L37" s="3463"/>
      <c r="M37" s="3463"/>
      <c r="N37" s="3463"/>
      <c r="O37" s="36"/>
      <c r="P37" s="36"/>
      <c r="Q37" s="36"/>
      <c r="R37" s="36"/>
      <c r="S37" s="36"/>
      <c r="T37" s="36"/>
      <c r="U37" s="36"/>
      <c r="V37" s="36"/>
      <c r="W37" s="36"/>
      <c r="X37" s="36"/>
      <c r="Y37" s="36"/>
      <c r="Z37" s="36"/>
      <c r="AA37" s="36"/>
      <c r="AB37" s="36"/>
      <c r="AC37" s="32">
        <f t="shared" si="10"/>
        <v>0</v>
      </c>
      <c r="AD37" s="3466"/>
      <c r="AE37" s="3466"/>
      <c r="AF37" s="3466"/>
      <c r="AG37" s="3466"/>
      <c r="AH37" s="3466"/>
      <c r="AI37" s="3466"/>
      <c r="AJ37" s="3466"/>
      <c r="AK37" s="3466"/>
      <c r="AL37" s="3466"/>
      <c r="AM37" s="3466"/>
      <c r="AN37" s="3466"/>
      <c r="AO37" s="3466"/>
      <c r="AP37" s="3466"/>
      <c r="AQ37" s="3466"/>
      <c r="AR37" s="3466"/>
      <c r="AS37" s="3466"/>
      <c r="AT37" s="38"/>
      <c r="AU37" s="1627"/>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461"/>
      <c r="D38" s="1622"/>
      <c r="E38" s="32">
        <f t="shared" si="7"/>
        <v>0</v>
      </c>
      <c r="F38" s="33"/>
      <c r="G38" s="34">
        <f t="shared" si="8"/>
        <v>0</v>
      </c>
      <c r="H38" s="35">
        <f t="shared" si="9"/>
        <v>0</v>
      </c>
      <c r="I38" s="3463"/>
      <c r="J38" s="3463"/>
      <c r="K38" s="3463"/>
      <c r="L38" s="3463"/>
      <c r="M38" s="3463"/>
      <c r="N38" s="3463"/>
      <c r="O38" s="36"/>
      <c r="P38" s="36"/>
      <c r="Q38" s="36"/>
      <c r="R38" s="36"/>
      <c r="S38" s="36"/>
      <c r="T38" s="36"/>
      <c r="U38" s="36"/>
      <c r="V38" s="36"/>
      <c r="W38" s="36"/>
      <c r="X38" s="36"/>
      <c r="Y38" s="36"/>
      <c r="Z38" s="36"/>
      <c r="AA38" s="36"/>
      <c r="AB38" s="36"/>
      <c r="AC38" s="32">
        <f t="shared" si="10"/>
        <v>0</v>
      </c>
      <c r="AD38" s="3466"/>
      <c r="AE38" s="3466"/>
      <c r="AF38" s="3466"/>
      <c r="AG38" s="3466"/>
      <c r="AH38" s="3466"/>
      <c r="AI38" s="3466"/>
      <c r="AJ38" s="3466"/>
      <c r="AK38" s="3466"/>
      <c r="AL38" s="3466"/>
      <c r="AM38" s="3466"/>
      <c r="AN38" s="3466"/>
      <c r="AO38" s="3466"/>
      <c r="AP38" s="3466"/>
      <c r="AQ38" s="3466"/>
      <c r="AR38" s="3466"/>
      <c r="AS38" s="3466"/>
      <c r="AT38" s="38"/>
      <c r="AU38" s="1627"/>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461"/>
      <c r="D39" s="1622"/>
      <c r="E39" s="32">
        <f t="shared" si="7"/>
        <v>0</v>
      </c>
      <c r="F39" s="33"/>
      <c r="G39" s="34">
        <f t="shared" si="8"/>
        <v>0</v>
      </c>
      <c r="H39" s="35">
        <f t="shared" si="9"/>
        <v>0</v>
      </c>
      <c r="I39" s="3463"/>
      <c r="J39" s="3463"/>
      <c r="K39" s="3463"/>
      <c r="L39" s="3463"/>
      <c r="M39" s="3463"/>
      <c r="N39" s="3463"/>
      <c r="O39" s="36"/>
      <c r="P39" s="36"/>
      <c r="Q39" s="36"/>
      <c r="R39" s="36"/>
      <c r="S39" s="36"/>
      <c r="T39" s="36"/>
      <c r="U39" s="36"/>
      <c r="V39" s="36"/>
      <c r="W39" s="36"/>
      <c r="X39" s="36"/>
      <c r="Y39" s="36"/>
      <c r="Z39" s="36"/>
      <c r="AA39" s="36"/>
      <c r="AB39" s="36"/>
      <c r="AC39" s="32">
        <f t="shared" si="10"/>
        <v>0</v>
      </c>
      <c r="AD39" s="3466"/>
      <c r="AE39" s="3466"/>
      <c r="AF39" s="3466"/>
      <c r="AG39" s="3466"/>
      <c r="AH39" s="3466"/>
      <c r="AI39" s="3466"/>
      <c r="AJ39" s="3466"/>
      <c r="AK39" s="3466"/>
      <c r="AL39" s="3466"/>
      <c r="AM39" s="3466"/>
      <c r="AN39" s="3466"/>
      <c r="AO39" s="3466"/>
      <c r="AP39" s="3466"/>
      <c r="AQ39" s="3466"/>
      <c r="AR39" s="3466"/>
      <c r="AS39" s="3466"/>
      <c r="AT39" s="38"/>
      <c r="AU39" s="1627"/>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461"/>
      <c r="D40" s="1622"/>
      <c r="E40" s="32">
        <f t="shared" si="7"/>
        <v>0</v>
      </c>
      <c r="F40" s="33"/>
      <c r="G40" s="34">
        <f t="shared" si="8"/>
        <v>0</v>
      </c>
      <c r="H40" s="35">
        <f t="shared" si="9"/>
        <v>0</v>
      </c>
      <c r="I40" s="3463"/>
      <c r="J40" s="3463"/>
      <c r="K40" s="3463"/>
      <c r="L40" s="3463"/>
      <c r="M40" s="3463"/>
      <c r="N40" s="3463"/>
      <c r="O40" s="36"/>
      <c r="P40" s="36"/>
      <c r="Q40" s="36"/>
      <c r="R40" s="36"/>
      <c r="S40" s="36"/>
      <c r="T40" s="36"/>
      <c r="U40" s="36"/>
      <c r="V40" s="36"/>
      <c r="W40" s="36"/>
      <c r="X40" s="36"/>
      <c r="Y40" s="36"/>
      <c r="Z40" s="36"/>
      <c r="AA40" s="36"/>
      <c r="AB40" s="36"/>
      <c r="AC40" s="32">
        <f t="shared" si="10"/>
        <v>0</v>
      </c>
      <c r="AD40" s="3466"/>
      <c r="AE40" s="3466"/>
      <c r="AF40" s="3466"/>
      <c r="AG40" s="3466"/>
      <c r="AH40" s="3466"/>
      <c r="AI40" s="3466"/>
      <c r="AJ40" s="3466"/>
      <c r="AK40" s="3466"/>
      <c r="AL40" s="3466"/>
      <c r="AM40" s="3466"/>
      <c r="AN40" s="3466"/>
      <c r="AO40" s="3466"/>
      <c r="AP40" s="3466"/>
      <c r="AQ40" s="3466"/>
      <c r="AR40" s="3466"/>
      <c r="AS40" s="3466"/>
      <c r="AT40" s="38"/>
      <c r="AU40" s="1627"/>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61"/>
      <c r="D41" s="1622"/>
      <c r="E41" s="32">
        <f t="shared" si="7"/>
        <v>0</v>
      </c>
      <c r="F41" s="33"/>
      <c r="G41" s="34">
        <f t="shared" si="8"/>
        <v>0</v>
      </c>
      <c r="H41" s="35">
        <f t="shared" si="9"/>
        <v>0</v>
      </c>
      <c r="I41" s="3463"/>
      <c r="J41" s="3463"/>
      <c r="K41" s="3463"/>
      <c r="L41" s="3463"/>
      <c r="M41" s="3463"/>
      <c r="N41" s="3463"/>
      <c r="O41" s="36"/>
      <c r="P41" s="36"/>
      <c r="Q41" s="36"/>
      <c r="R41" s="36"/>
      <c r="S41" s="36"/>
      <c r="T41" s="36"/>
      <c r="U41" s="36"/>
      <c r="V41" s="36"/>
      <c r="W41" s="36"/>
      <c r="X41" s="36"/>
      <c r="Y41" s="36"/>
      <c r="Z41" s="36"/>
      <c r="AA41" s="36"/>
      <c r="AB41" s="36"/>
      <c r="AC41" s="32">
        <f t="shared" si="10"/>
        <v>0</v>
      </c>
      <c r="AD41" s="3466"/>
      <c r="AE41" s="3466"/>
      <c r="AF41" s="3466"/>
      <c r="AG41" s="3466"/>
      <c r="AH41" s="3466"/>
      <c r="AI41" s="3466"/>
      <c r="AJ41" s="3466"/>
      <c r="AK41" s="3466"/>
      <c r="AL41" s="3466"/>
      <c r="AM41" s="3466"/>
      <c r="AN41" s="3466"/>
      <c r="AO41" s="3466"/>
      <c r="AP41" s="3466"/>
      <c r="AQ41" s="3466"/>
      <c r="AR41" s="3466"/>
      <c r="AS41" s="3466"/>
      <c r="AT41" s="38"/>
      <c r="AU41" s="1627"/>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51" t="s">
        <v>1131</v>
      </c>
      <c r="B2" s="3551"/>
      <c r="C2" s="3551"/>
      <c r="D2" s="793" t="s">
        <v>1107</v>
      </c>
      <c r="E2" s="1635" t="s">
        <v>1108</v>
      </c>
      <c r="F2" s="2655"/>
      <c r="G2" s="2646"/>
      <c r="H2" s="2647"/>
      <c r="I2" s="2321" t="s">
        <v>1132</v>
      </c>
      <c r="J2" s="2655"/>
      <c r="K2" s="2655"/>
      <c r="L2" s="2655"/>
      <c r="M2" s="2655"/>
      <c r="N2" s="2657"/>
      <c r="O2" s="2655"/>
      <c r="P2" s="2655"/>
    </row>
    <row r="3" spans="1:16" ht="15.75" thickBot="1">
      <c r="A3" s="3552" t="s">
        <v>1105</v>
      </c>
      <c r="B3" s="3552"/>
      <c r="C3" s="3552"/>
      <c r="D3" s="43">
        <f>'数据-基础表'!AY6</f>
        <v>3870</v>
      </c>
      <c r="E3" s="43">
        <f>'数据-基础表'!AZ5</f>
        <v>2625.54</v>
      </c>
      <c r="F3" s="2655"/>
      <c r="G3" s="1142"/>
      <c r="H3" s="1023" t="s">
        <v>1106</v>
      </c>
      <c r="I3" s="852">
        <f>ROUND('数据-基础表'!B3/'数据-基础表'!A3,2)</f>
        <v>0.68</v>
      </c>
      <c r="J3" s="2655"/>
      <c r="K3" s="2655"/>
      <c r="L3" s="2655"/>
      <c r="M3" s="2655"/>
      <c r="N3" s="2657"/>
      <c r="O3" s="2655"/>
      <c r="P3" s="2655"/>
    </row>
    <row r="4" spans="1:16" ht="15">
      <c r="A4" s="3553"/>
      <c r="B4" s="3554"/>
      <c r="C4" s="3555"/>
      <c r="D4" s="1637" t="s">
        <v>1107</v>
      </c>
      <c r="E4" s="1638" t="s">
        <v>1108</v>
      </c>
      <c r="F4" s="2655"/>
      <c r="G4" s="2648" t="s">
        <v>1133</v>
      </c>
      <c r="H4" s="1023" t="s">
        <v>1113</v>
      </c>
      <c r="I4" s="852">
        <f>ROUND(SUMIF('数据-基础表'!I9:AS9,"地上",'数据-基础表'!I5:AS5)/'数据-基础表'!A3,2)</f>
        <v>0.68</v>
      </c>
      <c r="J4" s="2655"/>
      <c r="K4" s="2655"/>
      <c r="L4" s="2655"/>
      <c r="M4" s="2655"/>
      <c r="N4" s="2657"/>
      <c r="O4" s="2655"/>
      <c r="P4" s="2655"/>
    </row>
    <row r="5" spans="1:16">
      <c r="A5" s="44" t="s">
        <v>1109</v>
      </c>
      <c r="B5" s="3556" t="s">
        <v>1110</v>
      </c>
      <c r="C5" s="3556"/>
      <c r="D5" s="45">
        <f>ROUND($D$3*E5/$E$3,2)</f>
        <v>0</v>
      </c>
      <c r="E5" s="46">
        <f>SUMIF('数据-基础表'!$11:$11,"住宅",'数据-基础表'!$5:$5)</f>
        <v>0</v>
      </c>
      <c r="F5" s="2655"/>
      <c r="G5" s="1142"/>
      <c r="H5" s="1023" t="s">
        <v>1106</v>
      </c>
      <c r="I5" s="852">
        <f>ROUND(E31/D31,2)</f>
        <v>0.68</v>
      </c>
      <c r="J5" s="2655"/>
      <c r="K5" s="2655"/>
      <c r="L5" s="2655"/>
      <c r="M5" s="2655"/>
      <c r="N5" s="2655"/>
      <c r="O5" s="2655"/>
      <c r="P5" s="2655"/>
    </row>
    <row r="6" spans="1:16" ht="15" thickBot="1">
      <c r="A6" s="1640"/>
      <c r="B6" s="3556" t="s">
        <v>1111</v>
      </c>
      <c r="C6" s="3556"/>
      <c r="D6" s="45">
        <f>ROUND($D$3*E6/$E$3,2)</f>
        <v>3870</v>
      </c>
      <c r="E6" s="46">
        <f>E3-E5</f>
        <v>2625.54</v>
      </c>
      <c r="F6" s="2655"/>
      <c r="G6" s="2649" t="s">
        <v>1112</v>
      </c>
      <c r="H6" s="1143" t="s">
        <v>1113</v>
      </c>
      <c r="I6" s="2650">
        <f>ROUND(F31/D31,2)</f>
        <v>0.68</v>
      </c>
      <c r="J6" s="2655"/>
      <c r="K6" s="2655"/>
      <c r="L6" s="2655"/>
      <c r="M6" s="2655"/>
      <c r="N6" s="2655"/>
      <c r="O6" s="2655"/>
      <c r="P6" s="2655"/>
    </row>
    <row r="7" spans="1:16" ht="15.75" thickBot="1">
      <c r="A7" s="3548"/>
      <c r="B7" s="3549"/>
      <c r="C7" s="3550"/>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3870</v>
      </c>
      <c r="E8" s="48">
        <f>SUMIF('数据-基础表'!BB10:BK10,"地上",'数据-基础表'!BB5:BK5)</f>
        <v>2625.54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3870</v>
      </c>
      <c r="E16" s="50">
        <f>SUM(E8:E15)</f>
        <v>2625.54</v>
      </c>
      <c r="F16" s="2655"/>
      <c r="G16" s="2656"/>
      <c r="H16" s="1644" t="s">
        <v>1135</v>
      </c>
      <c r="I16" s="1645"/>
      <c r="J16" s="1136"/>
      <c r="K16" s="3545" t="s">
        <v>1135</v>
      </c>
      <c r="L16" s="3546"/>
      <c r="M16" s="3546"/>
      <c r="N16" s="3546"/>
      <c r="O16" s="3546"/>
      <c r="P16" s="3547"/>
    </row>
    <row r="17" spans="1:19" ht="15">
      <c r="A17" s="1646" t="s">
        <v>1136</v>
      </c>
      <c r="B17" s="1647" t="s">
        <v>1137</v>
      </c>
      <c r="C17" s="1648" t="s">
        <v>1138</v>
      </c>
      <c r="D17" s="1649" t="s">
        <v>1126</v>
      </c>
      <c r="E17" s="1650" t="s">
        <v>1127</v>
      </c>
      <c r="F17" s="1651"/>
      <c r="G17" s="1652"/>
      <c r="H17" s="1653" t="s">
        <v>1139</v>
      </c>
      <c r="I17" s="1654" t="s">
        <v>1124</v>
      </c>
      <c r="J17" s="1136"/>
      <c r="K17" s="3542" t="s">
        <v>1140</v>
      </c>
      <c r="L17" s="3543"/>
      <c r="M17" s="3544"/>
      <c r="N17" s="3542" t="s">
        <v>1141</v>
      </c>
      <c r="O17" s="3543"/>
      <c r="P17" s="3544"/>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67" t="s">
        <v>3446</v>
      </c>
      <c r="D19" s="45">
        <f>ROUND($D$3*E19/$E$3,2)</f>
        <v>3870</v>
      </c>
      <c r="E19" s="53">
        <f t="shared" ref="E19:E26" si="1">SUM(F19:G19)</f>
        <v>2625.54</v>
      </c>
      <c r="F19" s="3468">
        <f>'数据-基础表'!I13+'数据-基础表'!I14+'数据-基础表'!I15</f>
        <v>2625.54</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3870</v>
      </c>
      <c r="S19" s="1024">
        <f t="shared" si="5"/>
        <v>2625.54</v>
      </c>
    </row>
    <row r="20" spans="1:19">
      <c r="A20" s="1666"/>
      <c r="B20" s="47" t="s">
        <v>1153</v>
      </c>
      <c r="C20" s="3467"/>
      <c r="D20" s="45">
        <f t="shared" ref="D20:D26" si="6">ROUND($D$3*E20/$E$3,2)</f>
        <v>0</v>
      </c>
      <c r="E20" s="53">
        <f t="shared" si="1"/>
        <v>0</v>
      </c>
      <c r="F20" s="3468"/>
      <c r="G20" s="2792"/>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3870</v>
      </c>
      <c r="E27" s="1138">
        <f>IF(SUM(E19:E26)='数据-基础表'!BA5,SUM(E19:E26),IF(F27="地上面积有误","面积有误","地下面积有误"))</f>
        <v>2625.54</v>
      </c>
      <c r="F27" s="1137">
        <f>IF(SUM(F19:F26)=E8,SUM(F19:F26),"地上面积有误")</f>
        <v>2625.54</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3870</v>
      </c>
      <c r="S27" s="1023">
        <f>IF(SUM(S19:S26)=$E$3,SUM(S19:S26),SUM(S19:S26)&amp;"误差"&amp;ROUND(SUM(S19:S26)-E3,2))</f>
        <v>2625.54</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2" t="s">
        <v>1158</v>
      </c>
      <c r="D31" s="673">
        <f>D27+D30</f>
        <v>3870</v>
      </c>
      <c r="E31" s="673">
        <f>E27+E30</f>
        <v>2625.54</v>
      </c>
      <c r="F31" s="674">
        <f>F27+F30</f>
        <v>2625.54</v>
      </c>
      <c r="G31" s="675">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R6" activePane="bottomRight" state="frozen"/>
      <selection activeCell="C50" sqref="C50"/>
      <selection pane="topRight" activeCell="C50" sqref="C50"/>
      <selection pane="bottomLeft" activeCell="C50" sqref="C50"/>
      <selection pane="bottomRight" activeCell="V12" sqref="V1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6"/>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79" t="s">
        <v>1161</v>
      </c>
      <c r="B2" s="1042">
        <f>项目基本情况!D3</f>
        <v>45483</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3388</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商业</v>
      </c>
      <c r="B6" s="1709" t="str">
        <f>IF(A6=0,"","经营性")</f>
        <v>经营性</v>
      </c>
      <c r="C6" s="1710" t="s">
        <v>673</v>
      </c>
      <c r="D6" s="855">
        <f>SUMIF(项目基本情况!C$12:I$12,C6,项目基本情况!C$14:I$14)</f>
        <v>40</v>
      </c>
      <c r="E6" s="854">
        <f>IF(B6="","",SUMIF(项目基本情况!C$12:I$12,C6,项目基本情况!C$13:I$13))</f>
        <v>52502</v>
      </c>
      <c r="F6" s="64">
        <f>SUMIF(项目基本情况!C$12:I$12,C6,项目基本情况!C$15:I$15)</f>
        <v>19.23</v>
      </c>
      <c r="G6" s="65">
        <f>IF(ISERROR(ROUND(POWER(1+H6,D6-F6)*(POWER(1+H6,F6)-1)/(POWER(1+H6,D6)-1),3)),0,ROUND(POWER(1+H6,D6-F6)*(POWER(1+H6,F6)-1)/(POWER(1+H6,D6)-1),3))</f>
        <v>0.70899999999999996</v>
      </c>
      <c r="H6" s="729">
        <v>0.05</v>
      </c>
      <c r="I6" s="729">
        <v>5.5E-2</v>
      </c>
      <c r="J6" s="66">
        <v>7.0000000000000007E-2</v>
      </c>
      <c r="K6" s="1027">
        <f>SUMIF('数据-汇总表'!C$19:C$33,A6,'数据-汇总表'!E$19:E$33)</f>
        <v>2625.54</v>
      </c>
      <c r="L6" s="730">
        <v>2500</v>
      </c>
      <c r="M6" s="67">
        <f t="shared" ref="M6:M14" si="0">ROUND(K6*L6/10000,0)</f>
        <v>656</v>
      </c>
      <c r="N6" s="728">
        <f>N20</f>
        <v>0.82</v>
      </c>
      <c r="O6" s="67" t="str">
        <f>IF($N$5="成新度","——",ROUND(M6*N6,0))</f>
        <v>——</v>
      </c>
      <c r="P6" s="68" t="str">
        <f>IF($N$5="成新度","——",M6-O6)</f>
        <v>——</v>
      </c>
      <c r="Q6" s="731">
        <v>0.08</v>
      </c>
      <c r="R6" s="69">
        <f ca="1">SUMIF('数据-汇总表'!C$19:C$33,A6,'数据-汇总表'!R$19:R$27)</f>
        <v>3870</v>
      </c>
      <c r="S6" s="51">
        <f>IF('数据-汇总表'!$I$17="按面积比例",SUMIF('数据-汇总表'!C$19:C$33,A6,'数据-汇总表'!K$19:K$33),SUMIF('数据-汇总表'!C$19:C$33,A6,'数据-汇总表'!N$19:N$33))</f>
        <v>0</v>
      </c>
      <c r="T6" s="1169">
        <f>ROUND($L$14*S6/10000,0)</f>
        <v>0</v>
      </c>
      <c r="U6" s="3424">
        <v>1.9</v>
      </c>
      <c r="V6" s="70">
        <v>0.02</v>
      </c>
      <c r="W6" s="70">
        <v>0.1</v>
      </c>
      <c r="X6" s="1037"/>
      <c r="Y6" s="71">
        <f>N6</f>
        <v>0.82</v>
      </c>
      <c r="Z6" s="72"/>
      <c r="AA6" s="66"/>
      <c r="AB6" s="66"/>
      <c r="AC6" s="1037"/>
      <c r="AD6" s="73"/>
      <c r="AE6" s="1038">
        <f ca="1">IF(AN6="",0,SUMIF(INDIRECT("'"&amp;AN6&amp;"'"&amp;"!E:E"),$AE$5,INDIRECT("'"&amp;AN6&amp;"'"&amp;"!F:F")))</f>
        <v>19.23</v>
      </c>
      <c r="AF6" s="1345"/>
      <c r="AG6" s="138">
        <f>IF(AF6="",0,AE6-AF6)</f>
        <v>0</v>
      </c>
      <c r="AH6" s="74"/>
      <c r="AI6" s="76">
        <v>365</v>
      </c>
      <c r="AJ6" s="77"/>
      <c r="AK6" s="78">
        <v>5.0000000000000001E-3</v>
      </c>
      <c r="AL6" s="79">
        <v>1E-3</v>
      </c>
      <c r="AM6" s="80">
        <v>5.0000000000000001E-3</v>
      </c>
      <c r="AN6" s="1711" t="s">
        <v>3434</v>
      </c>
      <c r="AO6" s="52">
        <f ca="1">SUMIF(INDIRECT("'"&amp;AN6&amp;"'"&amp;"!A:A"),"总价",INDIRECT("'"&amp;AN6&amp;"'"&amp;"!B:B"))</f>
        <v>1862</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8"/>
      <c r="C16" s="830"/>
      <c r="D16" s="1716"/>
      <c r="E16" s="88"/>
      <c r="F16" s="88"/>
      <c r="G16" s="89">
        <f>ROUND(SUMPRODUCT(G6:G13,K6:K13)/SUMPRODUCT((G6:G13&gt;0)*(K6:K13)),3)</f>
        <v>0.70899999999999996</v>
      </c>
      <c r="H16" s="90">
        <f>ROUND(SUMPRODUCT(H6:H13,K6:K13)/SUMPRODUCT((H6:H13&gt;0)*(K6:K13)),3)</f>
        <v>0.05</v>
      </c>
      <c r="I16" s="91"/>
      <c r="J16" s="91"/>
      <c r="K16" s="92">
        <f>SUM(K6:K15)</f>
        <v>2625.54</v>
      </c>
      <c r="L16" s="93">
        <f>ROUND(M16*10000/SUM(K6:K14),0)</f>
        <v>2499</v>
      </c>
      <c r="M16" s="93">
        <f>SUM(M6:M14)</f>
        <v>656</v>
      </c>
      <c r="N16" s="94">
        <f>ROUND(SUMPRODUCT(M6:M14,N6:N14)/M16,3)</f>
        <v>0.82</v>
      </c>
      <c r="O16" s="93">
        <f>SUM(O6:O14)</f>
        <v>0</v>
      </c>
      <c r="P16" s="93">
        <f>SUM(P6:P14)</f>
        <v>0</v>
      </c>
      <c r="Q16" s="95">
        <f>ROUND(SUMPRODUCT(Q6:Q13,K6:K13)/SUMPRODUCT((Q6:Q13&gt;0)*(K6:K13)),2)</f>
        <v>0.08</v>
      </c>
      <c r="R16" s="1031">
        <f ca="1">SUM(R6:R13)</f>
        <v>3870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2002</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0.63</v>
      </c>
      <c r="O18" s="2667">
        <v>0.3</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2304</v>
      </c>
      <c r="D19" s="2672"/>
      <c r="E19" s="2669"/>
      <c r="F19" s="2669"/>
      <c r="G19" s="2669"/>
      <c r="H19" s="2669"/>
      <c r="I19" s="2669"/>
      <c r="J19" s="2669"/>
      <c r="K19" s="2668"/>
      <c r="L19" s="2668"/>
      <c r="M19" s="2667"/>
      <c r="N19" s="2667">
        <v>0.9</v>
      </c>
      <c r="O19" s="2667">
        <f>1-O18</f>
        <v>0.7</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2302</v>
      </c>
      <c r="D20" s="2672"/>
      <c r="E20" s="2669"/>
      <c r="F20" s="2669"/>
      <c r="G20" s="2669"/>
      <c r="H20" s="2669"/>
      <c r="I20" s="2669"/>
      <c r="J20" s="2669"/>
      <c r="K20" s="2668"/>
      <c r="L20" s="2668"/>
      <c r="M20" s="2667"/>
      <c r="N20" s="2667">
        <f>ROUND(N18*O18+N19*O19,2)</f>
        <v>0.82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ROUND(B28*K16/10000,0)</f>
        <v>53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0">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0.02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57" t="s">
        <v>2285</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70"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2625.54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45483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2210</v>
      </c>
      <c r="C5" s="2508">
        <f ca="1">IF(B5=D14,结果表!H102,ROUND(B5*10000/$B$1,0))</f>
        <v>8419</v>
      </c>
      <c r="D5" s="2508" t="e">
        <f ca="1">ROUND(B5*10000/$B$2,0)</f>
        <v>#DIV/0!</v>
      </c>
      <c r="E5" s="2682"/>
      <c r="F5" s="2683"/>
      <c r="G5" s="2683"/>
      <c r="H5" s="2684"/>
      <c r="I5" s="2684"/>
      <c r="J5" s="2684"/>
      <c r="K5" s="2684"/>
    </row>
    <row r="6" spans="1:11" ht="16.5">
      <c r="A6" s="2508" t="s">
        <v>656</v>
      </c>
      <c r="B6" s="2508">
        <f ca="1">SUM(G14:G23)</f>
        <v>2210</v>
      </c>
      <c r="C6" s="2508">
        <f ca="1">IF(B6=G14,结果表!H108,ROUND(B6*10000/$B$1,0))</f>
        <v>8419</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3357</v>
      </c>
      <c r="D10" s="2508" t="s">
        <v>3358</v>
      </c>
      <c r="E10" s="3437"/>
      <c r="F10" s="3441" t="s">
        <v>3359</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'比较法-办公'!C34</f>
        <v>2625.54</v>
      </c>
      <c r="C14" s="2514"/>
      <c r="D14" s="2514">
        <f ca="1">结果表!H118</f>
        <v>2210</v>
      </c>
      <c r="E14" s="2514">
        <f ca="1">ROUND(D14*10000/B14,0)</f>
        <v>8417</v>
      </c>
      <c r="F14" s="2514" t="e">
        <f ca="1">ROUND(D14*10000/C14,0)</f>
        <v>#DIV/0!</v>
      </c>
      <c r="G14" s="2514">
        <f ca="1">结果表!H107</f>
        <v>2210</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593" t="str">
        <f>项目基本情况!S2</f>
        <v>北京市房地产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0" t="s">
        <v>1265</v>
      </c>
      <c r="B4" s="1751" t="s">
        <v>1266</v>
      </c>
      <c r="C4" s="1752" t="s">
        <v>3442</v>
      </c>
      <c r="D4" s="1752" t="s">
        <v>3434</v>
      </c>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560">
        <v>25</v>
      </c>
      <c r="C5" s="3576"/>
      <c r="D5" s="3596"/>
      <c r="E5" s="131" t="s">
        <v>1269</v>
      </c>
      <c r="F5" s="1753"/>
      <c r="G5" s="1753"/>
      <c r="H5" s="1753"/>
      <c r="I5" s="1370"/>
    </row>
    <row r="6" spans="1:12" ht="12.75">
      <c r="A6" s="3573"/>
      <c r="B6" s="3560"/>
      <c r="C6" s="3577"/>
      <c r="D6" s="3596"/>
      <c r="E6" s="131" t="s">
        <v>1270</v>
      </c>
      <c r="F6" s="1753"/>
      <c r="G6" s="1753"/>
      <c r="H6" s="1753"/>
      <c r="I6" s="1370"/>
    </row>
    <row r="7" spans="1:12" ht="12.75">
      <c r="A7" s="3573"/>
      <c r="B7" s="3560"/>
      <c r="C7" s="3578"/>
      <c r="D7" s="3596"/>
      <c r="E7" s="131" t="s">
        <v>1271</v>
      </c>
      <c r="F7" s="1753"/>
      <c r="G7" s="1753"/>
      <c r="H7" s="1753"/>
      <c r="I7" s="1370"/>
    </row>
    <row r="8" spans="1:12" ht="12.75">
      <c r="A8" s="3573" t="s">
        <v>1272</v>
      </c>
      <c r="B8" s="3560">
        <v>15</v>
      </c>
      <c r="C8" s="3576"/>
      <c r="D8" s="3596"/>
      <c r="E8" s="131" t="s">
        <v>1273</v>
      </c>
      <c r="F8" s="1753"/>
      <c r="G8" s="1753"/>
      <c r="H8" s="1753"/>
      <c r="I8" s="1370"/>
    </row>
    <row r="9" spans="1:12" ht="12.75">
      <c r="A9" s="3573"/>
      <c r="B9" s="3560"/>
      <c r="C9" s="3578"/>
      <c r="D9" s="3596"/>
      <c r="E9" s="131" t="s">
        <v>1274</v>
      </c>
      <c r="F9" s="1753"/>
      <c r="G9" s="1753"/>
      <c r="H9" s="1753"/>
      <c r="I9" s="1370"/>
    </row>
    <row r="10" spans="1:12" ht="12.75">
      <c r="A10" s="3573" t="s">
        <v>1275</v>
      </c>
      <c r="B10" s="3560">
        <v>15</v>
      </c>
      <c r="C10" s="3576"/>
      <c r="D10" s="3596"/>
      <c r="E10" s="131" t="s">
        <v>1276</v>
      </c>
      <c r="F10" s="1753"/>
      <c r="G10" s="1753"/>
      <c r="H10" s="1753"/>
      <c r="I10" s="1370"/>
    </row>
    <row r="11" spans="1:12" ht="12.75">
      <c r="A11" s="3573"/>
      <c r="B11" s="3560"/>
      <c r="C11" s="3578"/>
      <c r="D11" s="3596"/>
      <c r="E11" s="131" t="s">
        <v>1277</v>
      </c>
      <c r="F11" s="1753"/>
      <c r="G11" s="1753"/>
      <c r="H11" s="1753"/>
      <c r="I11" s="1370"/>
    </row>
    <row r="12" spans="1:12" ht="12.75">
      <c r="A12" s="3573" t="s">
        <v>1278</v>
      </c>
      <c r="B12" s="3560">
        <v>15</v>
      </c>
      <c r="C12" s="3576"/>
      <c r="D12" s="3596"/>
      <c r="E12" s="131" t="s">
        <v>1279</v>
      </c>
      <c r="F12" s="1753"/>
      <c r="G12" s="1753"/>
      <c r="H12" s="1753"/>
      <c r="I12" s="1370"/>
    </row>
    <row r="13" spans="1:12" ht="12.75">
      <c r="A13" s="3573"/>
      <c r="B13" s="3560"/>
      <c r="C13" s="3578"/>
      <c r="D13" s="3596"/>
      <c r="E13" s="131" t="s">
        <v>1280</v>
      </c>
      <c r="F13" s="1753"/>
      <c r="G13" s="1753"/>
      <c r="H13" s="1753"/>
      <c r="I13" s="1370"/>
    </row>
    <row r="14" spans="1:12" ht="12.75">
      <c r="A14" s="3573" t="s">
        <v>1281</v>
      </c>
      <c r="B14" s="3560">
        <v>30</v>
      </c>
      <c r="C14" s="3576">
        <v>4</v>
      </c>
      <c r="D14" s="3596">
        <v>6</v>
      </c>
      <c r="E14" s="131" t="s">
        <v>1282</v>
      </c>
      <c r="F14" s="1753"/>
      <c r="G14" s="1753"/>
      <c r="H14" s="1753"/>
      <c r="I14" s="1370"/>
    </row>
    <row r="15" spans="1:12" ht="12.75">
      <c r="A15" s="3573"/>
      <c r="B15" s="3560"/>
      <c r="C15" s="3577"/>
      <c r="D15" s="3596"/>
      <c r="E15" s="131" t="s">
        <v>1283</v>
      </c>
      <c r="F15" s="1753"/>
      <c r="G15" s="1753"/>
      <c r="H15" s="1753"/>
      <c r="I15" s="1370"/>
    </row>
    <row r="16" spans="1:12" ht="12.75">
      <c r="A16" s="3573"/>
      <c r="B16" s="3560"/>
      <c r="C16" s="3578"/>
      <c r="D16" s="3596"/>
      <c r="E16" s="131" t="s">
        <v>1284</v>
      </c>
      <c r="F16" s="1753"/>
      <c r="G16" s="1753"/>
      <c r="H16" s="1753"/>
      <c r="I16" s="1370"/>
    </row>
    <row r="17" spans="1:36" ht="15">
      <c r="A17" s="1754" t="s">
        <v>1285</v>
      </c>
      <c r="B17" s="56"/>
      <c r="C17" s="132">
        <f>SUM(C5:C16)</f>
        <v>4</v>
      </c>
      <c r="D17" s="132">
        <f>SUM(D5:D16)</f>
        <v>6</v>
      </c>
      <c r="E17" s="129"/>
      <c r="F17" s="129"/>
      <c r="G17" s="129"/>
      <c r="H17" s="129"/>
      <c r="I17" s="129"/>
      <c r="K17" s="302"/>
      <c r="L17" s="302" t="s">
        <v>1286</v>
      </c>
      <c r="M17" s="302" t="s">
        <v>1287</v>
      </c>
    </row>
    <row r="18" spans="1:36" ht="31.9" customHeight="1" thickBot="1">
      <c r="A18" s="1755" t="s">
        <v>1288</v>
      </c>
      <c r="B18" s="1756"/>
      <c r="C18" s="133">
        <f>ROUND(C17/SUM(C17:D17),2)</f>
        <v>0.4</v>
      </c>
      <c r="D18" s="133">
        <f>1-C18</f>
        <v>0.6</v>
      </c>
      <c r="E18" s="3583" t="s">
        <v>2130</v>
      </c>
      <c r="F18" s="3584"/>
      <c r="G18" s="3584"/>
      <c r="H18" s="3584"/>
      <c r="I18" s="3584"/>
      <c r="K18" s="302" t="s">
        <v>1289</v>
      </c>
      <c r="L18" s="302">
        <f>IF(C1="",'数据-汇总表'!E3,SUMIF(项目类型,C1,'数据-汇总表'!E17:E26)+SUMIF(项目类型,C1,'数据-汇总表'!I17:I26))</f>
        <v>2625.54</v>
      </c>
      <c r="M18" s="302">
        <f>IF(C1="",'数据-汇总表'!E3,SUMIF(项目类型,C1,'数据-汇总表'!E17:E26))</f>
        <v>2625.54</v>
      </c>
    </row>
    <row r="19" spans="1:36" ht="15">
      <c r="A19" s="1757" t="s">
        <v>1290</v>
      </c>
      <c r="B19" s="1758" t="s">
        <v>1291</v>
      </c>
      <c r="C19" s="134">
        <f ca="1">SUMIF(INDIRECT("'"&amp;C4&amp;"'"&amp;"!A:A"),结果表!B19,INDIRECT("'"&amp;C4&amp;"'"&amp;"!B:B"))</f>
        <v>2733</v>
      </c>
      <c r="D19" s="135">
        <f ca="1">SUMIF(INDIRECT("'"&amp;D4&amp;"'"&amp;"!A:A"),结果表!B19,INDIRECT("'"&amp;D4&amp;"'"&amp;"!B:B"))</f>
        <v>1862</v>
      </c>
      <c r="E19" s="1757" t="s">
        <v>1292</v>
      </c>
      <c r="F19" s="1758" t="s">
        <v>1291</v>
      </c>
      <c r="G19" s="136">
        <f ca="1">ROUND(C19*$C$18+D19*$D$18,0)</f>
        <v>2210</v>
      </c>
      <c r="H19" s="1759" t="s">
        <v>1293</v>
      </c>
      <c r="I19" s="129"/>
      <c r="K19" s="302" t="s">
        <v>1294</v>
      </c>
      <c r="L19" s="302">
        <f>IF(C1="",'数据-汇总表'!D3,SUMIF(项目类型,C1,'数据-汇总表'!D17:D26)+SUMIF(项目类型,C1,'数据-汇总表'!H17:H27))</f>
        <v>3870</v>
      </c>
      <c r="M19" s="302">
        <f>IF(C1="",'数据-汇总表'!D3,SUMIF(项目类型,C1,'数据-汇总表'!D17:D26))</f>
        <v>3870</v>
      </c>
    </row>
    <row r="20" spans="1:36" ht="15">
      <c r="A20" s="1760"/>
      <c r="B20" s="1023" t="s">
        <v>1295</v>
      </c>
      <c r="C20" s="137">
        <f ca="1">SUMIF(INDIRECT("'"&amp;C4&amp;"'"&amp;"!A:A"),结果表!B20,INDIRECT("'"&amp;C4&amp;"'"&amp;"!B:B"))</f>
        <v>10409</v>
      </c>
      <c r="D20" s="138">
        <f ca="1">SUMIF(INDIRECT("'"&amp;D4&amp;"'"&amp;"!A:A"),结果表!B20,INDIRECT("'"&amp;D4&amp;"'"&amp;"!B:B"))</f>
        <v>7092</v>
      </c>
      <c r="E20" s="1760"/>
      <c r="F20" s="1023" t="s">
        <v>1295</v>
      </c>
      <c r="G20" s="139">
        <f ca="1">ROUND(C20*$C$18+D20*$D$18,0)</f>
        <v>8419</v>
      </c>
      <c r="H20" s="805" t="s">
        <v>1296</v>
      </c>
      <c r="I20" s="129"/>
    </row>
    <row r="21" spans="1:36" ht="15" customHeight="1" thickBot="1">
      <c r="A21" s="825"/>
      <c r="B21" s="1761" t="s">
        <v>1297</v>
      </c>
      <c r="C21" s="716">
        <f ca="1">ROUND(C19*10000/L19,0)</f>
        <v>7062</v>
      </c>
      <c r="D21" s="717">
        <f ca="1">ROUND(D19*10000/L19,0)</f>
        <v>4811</v>
      </c>
      <c r="E21" s="825"/>
      <c r="F21" s="1761" t="s">
        <v>1297</v>
      </c>
      <c r="G21" s="140">
        <f ca="1">ROUND(G19*10000/L19,0)</f>
        <v>5711</v>
      </c>
      <c r="H21" s="1762" t="s">
        <v>1296</v>
      </c>
      <c r="I21" s="129"/>
    </row>
    <row r="22" spans="1:36" ht="15" thickBot="1">
      <c r="A22" s="1684" t="s">
        <v>1298</v>
      </c>
      <c r="B22" s="1763"/>
      <c r="C22" s="1764"/>
      <c r="D22" s="718">
        <f ca="1">IF(C19&lt;D19,D19/C19-1,C19/D19-1)</f>
        <v>0.46777658431793778</v>
      </c>
      <c r="E22" s="129"/>
      <c r="F22" s="129"/>
      <c r="G22" s="129"/>
      <c r="H22" s="129"/>
      <c r="I22" s="129"/>
    </row>
    <row r="23" spans="1:36" ht="13.5" thickBot="1">
      <c r="A23" s="1743"/>
      <c r="B23" s="1743"/>
      <c r="C23" s="1743"/>
      <c r="D23" s="1743"/>
      <c r="E23" s="129"/>
      <c r="F23" s="129"/>
      <c r="G23" s="129"/>
      <c r="H23" s="129"/>
      <c r="I23" s="129"/>
    </row>
    <row r="24" spans="1:36" ht="14.25">
      <c r="A24" s="3567" t="s">
        <v>1299</v>
      </c>
      <c r="B24" s="1758" t="s">
        <v>1291</v>
      </c>
      <c r="C24" s="136">
        <f>IF(B30=0,0,D30)</f>
        <v>0</v>
      </c>
      <c r="D24" s="1765"/>
      <c r="E24" s="129"/>
      <c r="F24" s="129"/>
      <c r="G24" s="129"/>
      <c r="H24" s="129"/>
      <c r="I24" s="129"/>
    </row>
    <row r="25" spans="1:36" ht="14.25">
      <c r="A25" s="3568"/>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8419</v>
      </c>
      <c r="D32" s="1771" t="s">
        <v>3427</v>
      </c>
      <c r="E32" s="129"/>
      <c r="F32" s="129"/>
      <c r="G32" s="129"/>
      <c r="H32" s="129"/>
      <c r="I32" s="129"/>
    </row>
    <row r="33" spans="1:15" ht="15">
      <c r="A33" s="783" t="s">
        <v>1306</v>
      </c>
      <c r="B33" s="1772"/>
      <c r="C33" s="1773" t="s">
        <v>3443</v>
      </c>
      <c r="D33" s="1774" t="s">
        <v>3442</v>
      </c>
      <c r="E33" s="1775" t="s">
        <v>1307</v>
      </c>
      <c r="F33" s="1776" t="str">
        <f>IF(D32="楼面单价","取值（单价）","取值（总价）")</f>
        <v>取值（单价）</v>
      </c>
      <c r="G33" s="129"/>
      <c r="H33" s="129"/>
      <c r="I33" s="129"/>
    </row>
    <row r="34" spans="1:15" ht="15">
      <c r="A34" s="1777"/>
      <c r="B34" s="1778" t="s">
        <v>1308</v>
      </c>
      <c r="C34" s="148">
        <f ca="1">IF(C33="自定义",F34,C32-C35)</f>
        <v>6154</v>
      </c>
      <c r="D34" s="858">
        <f ca="1">IF(C33="自定义",ROUND(C34/C32,3),IF(C33="收益比率",SUMIF(INDIRECT("'"&amp;D33&amp;"'"&amp;"!b:b"),"土地收益比率",INDIRECT("'"&amp;D33&amp;"'"&amp;"!c:c")),SUMIF(INDIRECT("'"&amp;D33&amp;"'"&amp;"!b:b"),"土地成本比率",INDIRECT("'"&amp;D33&amp;"'"&amp;"!c:c"))))</f>
        <v>0.73099999999999998</v>
      </c>
      <c r="E34" s="1779" t="s">
        <v>1309</v>
      </c>
      <c r="F34" s="1327"/>
      <c r="G34" s="129"/>
      <c r="H34" s="129"/>
      <c r="I34" s="129"/>
    </row>
    <row r="35" spans="1:15" ht="15.75" thickBot="1">
      <c r="A35" s="1780"/>
      <c r="B35" s="1781" t="s">
        <v>1310</v>
      </c>
      <c r="C35" s="1167">
        <f ca="1">IF(C33="自定义",F35,ROUND(C32*D35,0))</f>
        <v>2265</v>
      </c>
      <c r="D35" s="1168">
        <f ca="1">IF(C33="自定义",ROUND(C35/C32,3),IF(C33="收益比率",SUMIF(INDIRECT("'"&amp;D33&amp;"'"&amp;"!b:b"),"建筑物收益比率",INDIRECT("'"&amp;D33&amp;"'"&amp;"!c:c")),SUMIF(INDIRECT("'"&amp;D33&amp;"'"&amp;"!b:b"),"建筑物成本比率",INDIRECT("'"&amp;D33&amp;"'"&amp;"!c:c"))))</f>
        <v>0.26900000000000002</v>
      </c>
      <c r="E35" s="1782" t="s">
        <v>1311</v>
      </c>
      <c r="F35" s="154"/>
      <c r="G35" s="129"/>
      <c r="H35" s="129"/>
      <c r="I35" s="129"/>
    </row>
    <row r="36" spans="1:15" ht="15.75" thickBot="1">
      <c r="A36" s="3587" t="s">
        <v>1312</v>
      </c>
      <c r="B36" s="1783" t="s">
        <v>1313</v>
      </c>
      <c r="C36" s="145"/>
      <c r="D36" s="1784"/>
      <c r="E36" s="1785"/>
      <c r="F36" s="1786"/>
      <c r="G36" s="129"/>
      <c r="H36" s="129"/>
      <c r="I36" s="129"/>
    </row>
    <row r="37" spans="1:15" ht="15.75" thickBot="1">
      <c r="A37" s="3588"/>
      <c r="B37" s="1670" t="s">
        <v>1314</v>
      </c>
      <c r="C37" s="147"/>
      <c r="D37" s="1136"/>
      <c r="E37" s="1136"/>
      <c r="F37" s="1786"/>
      <c r="G37" s="129"/>
      <c r="H37" s="129"/>
      <c r="I37" s="129"/>
    </row>
    <row r="38" spans="1:15" ht="15.75" thickBot="1">
      <c r="A38" s="3589"/>
      <c r="B38" s="1787" t="s">
        <v>1315</v>
      </c>
      <c r="C38" s="671"/>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64" t="s">
        <v>1326</v>
      </c>
      <c r="B45" s="3565"/>
      <c r="C45" s="3566"/>
      <c r="D45" s="155">
        <f ca="1">ROUND(H101*F45,0)</f>
        <v>2210</v>
      </c>
      <c r="E45" s="156" t="s">
        <v>1327</v>
      </c>
      <c r="F45" s="157">
        <v>1</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2"/>
      <c r="I46" s="159"/>
      <c r="J46" s="2519">
        <v>1</v>
      </c>
      <c r="K46" s="3623" t="s">
        <v>1331</v>
      </c>
      <c r="L46" s="3623"/>
      <c r="M46" s="3643"/>
      <c r="N46" s="3643"/>
      <c r="O46" s="3643"/>
    </row>
    <row r="47" spans="1:15" ht="12" customHeight="1">
      <c r="A47" s="160" t="s">
        <v>1332</v>
      </c>
      <c r="B47" s="161"/>
      <c r="C47" s="162"/>
      <c r="D47" s="1084" t="s">
        <v>1333</v>
      </c>
      <c r="E47" s="302" t="s">
        <v>1334</v>
      </c>
      <c r="F47" s="163" t="s">
        <v>1335</v>
      </c>
      <c r="G47" s="2542" t="s">
        <v>1336</v>
      </c>
      <c r="H47" s="2543"/>
      <c r="I47" s="159"/>
      <c r="J47" s="2519">
        <v>2</v>
      </c>
      <c r="K47" s="3623" t="s">
        <v>1337</v>
      </c>
      <c r="L47" s="3623"/>
      <c r="M47" s="3644">
        <f>'数据-取费表'!B2</f>
        <v>45483</v>
      </c>
      <c r="N47" s="3644"/>
      <c r="O47" s="3644"/>
    </row>
    <row r="48" spans="1:15" ht="25.5">
      <c r="A48" s="3592" t="s">
        <v>1338</v>
      </c>
      <c r="B48" s="3575"/>
      <c r="C48" s="3575"/>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623" t="s">
        <v>1340</v>
      </c>
      <c r="L48" s="3623"/>
      <c r="M48" s="3645">
        <f ca="1">H101</f>
        <v>2210</v>
      </c>
      <c r="N48" s="3645"/>
      <c r="O48" s="3645"/>
    </row>
    <row r="49" spans="1:35" ht="25.5" customHeight="1">
      <c r="A49" s="2329" t="s">
        <v>1341</v>
      </c>
      <c r="B49" s="3559" t="s">
        <v>1342</v>
      </c>
      <c r="C49" s="3559"/>
      <c r="D49" s="1587">
        <v>0</v>
      </c>
      <c r="E49" s="324" t="s">
        <v>1343</v>
      </c>
      <c r="F49" s="2420" t="s">
        <v>28</v>
      </c>
      <c r="G49" s="3629"/>
      <c r="H49" s="2306" t="s">
        <v>2133</v>
      </c>
      <c r="I49" s="2307"/>
      <c r="J49" s="2519">
        <v>4</v>
      </c>
      <c r="K49" s="3623" t="str">
        <f>IF(项目基本情况!E8="房地产抵押价值","房地产抵押价值","抵押担保权已注销时的房地产抵押价值")</f>
        <v>房地产抵押价值</v>
      </c>
      <c r="L49" s="3623"/>
      <c r="M49" s="3645">
        <f ca="1">IF(项目基本情况!E8="房地产抵押价值",H107,H109)</f>
        <v>2210</v>
      </c>
      <c r="N49" s="3645"/>
      <c r="O49" s="3645"/>
    </row>
    <row r="50" spans="1:35" ht="25.5" customHeight="1">
      <c r="A50" s="2547"/>
      <c r="B50" s="3559" t="s">
        <v>1344</v>
      </c>
      <c r="C50" s="3559"/>
      <c r="D50" s="2548"/>
      <c r="E50" s="332"/>
      <c r="F50" s="2420"/>
      <c r="G50" s="3630"/>
      <c r="H50" s="2308" t="s">
        <v>2134</v>
      </c>
      <c r="I50" s="2307"/>
      <c r="J50" s="3642" t="s">
        <v>1345</v>
      </c>
      <c r="K50" s="3642"/>
      <c r="L50" s="3642"/>
      <c r="M50" s="3642"/>
      <c r="N50" s="3642"/>
      <c r="O50" s="3642"/>
    </row>
    <row r="51" spans="1:35" ht="20.45" customHeight="1">
      <c r="A51" s="2549"/>
      <c r="B51" s="3559" t="s">
        <v>1346</v>
      </c>
      <c r="C51" s="3559"/>
      <c r="D51" s="1084"/>
      <c r="E51" s="327"/>
      <c r="F51" s="2420"/>
      <c r="G51" s="3631"/>
      <c r="H51" s="2308" t="s">
        <v>2135</v>
      </c>
      <c r="I51" s="2307"/>
      <c r="J51" s="2520" t="s">
        <v>1347</v>
      </c>
      <c r="K51" s="3623" t="s">
        <v>1348</v>
      </c>
      <c r="L51" s="3623"/>
      <c r="M51" s="2520" t="s">
        <v>1349</v>
      </c>
      <c r="N51" s="2520" t="s">
        <v>1350</v>
      </c>
      <c r="O51" s="2520" t="s">
        <v>1351</v>
      </c>
    </row>
    <row r="52" spans="1:35" ht="24" customHeight="1">
      <c r="A52" s="2331" t="s">
        <v>1352</v>
      </c>
      <c r="B52" s="3559" t="s">
        <v>1353</v>
      </c>
      <c r="C52" s="3559"/>
      <c r="D52" s="1084">
        <f ca="1">ROUND(D45*'数据-取费表'!B41/(1+'数据-取费表'!C42),0)</f>
        <v>116</v>
      </c>
      <c r="E52" s="2330" t="s">
        <v>1354</v>
      </c>
      <c r="F52" s="2550">
        <f>'数据-取费表'!B41</f>
        <v>5.5000000000000007E-2</v>
      </c>
      <c r="G52" s="2551"/>
      <c r="H52" s="2540"/>
      <c r="I52" s="1803"/>
      <c r="J52" s="2519">
        <v>1</v>
      </c>
      <c r="K52" s="3624" t="s">
        <v>1355</v>
      </c>
      <c r="L52" s="3624"/>
      <c r="M52" s="2521" t="b">
        <f>D48</f>
        <v>0</v>
      </c>
      <c r="N52" s="2519" t="str">
        <f>E48</f>
        <v>销售额×税（费）率</v>
      </c>
      <c r="O52" s="2522">
        <f>F48</f>
        <v>5.5000000000000007E-2</v>
      </c>
    </row>
    <row r="53" spans="1:35" ht="12" customHeight="1">
      <c r="A53" s="2331" t="s">
        <v>1356</v>
      </c>
      <c r="B53" s="3585" t="s">
        <v>2290</v>
      </c>
      <c r="C53" s="3586"/>
      <c r="D53" s="1084">
        <f ca="1">ROUND(D45*'数据-取费表'!B41/(1+'数据-取费表'!C42),0)</f>
        <v>116</v>
      </c>
      <c r="E53" s="2330" t="s">
        <v>1354</v>
      </c>
      <c r="F53" s="2550">
        <f>'数据-取费表'!B41</f>
        <v>5.5000000000000007E-2</v>
      </c>
      <c r="G53" s="2551"/>
      <c r="H53" s="2540"/>
      <c r="I53" s="1803"/>
      <c r="J53" s="2519">
        <v>2</v>
      </c>
      <c r="K53" s="3624" t="s">
        <v>1357</v>
      </c>
      <c r="L53" s="3624"/>
      <c r="M53" s="2521">
        <f t="shared" ref="M53:O54" ca="1" si="0">D55</f>
        <v>1</v>
      </c>
      <c r="N53" s="2519" t="str">
        <f t="shared" si="0"/>
        <v>销售额×税（费）率</v>
      </c>
      <c r="O53" s="2522" t="str">
        <f t="shared" si="0"/>
        <v>免征</v>
      </c>
    </row>
    <row r="54" spans="1:35" ht="12" customHeight="1">
      <c r="A54" s="2331" t="s">
        <v>1358</v>
      </c>
      <c r="B54" s="3585" t="s">
        <v>2291</v>
      </c>
      <c r="C54" s="3586"/>
      <c r="D54" s="1084">
        <f ca="1">C68</f>
        <v>116</v>
      </c>
      <c r="E54" s="327" t="s">
        <v>1359</v>
      </c>
      <c r="F54" s="2550">
        <f>'数据-取费表'!B41</f>
        <v>5.5000000000000007E-2</v>
      </c>
      <c r="G54" s="2551"/>
      <c r="H54" s="2552"/>
      <c r="I54" s="1803"/>
      <c r="J54" s="2519">
        <v>3</v>
      </c>
      <c r="K54" s="3624" t="s">
        <v>1360</v>
      </c>
      <c r="L54" s="3624"/>
      <c r="M54" s="2521">
        <f t="shared" ca="1" si="0"/>
        <v>1253</v>
      </c>
      <c r="N54" s="2519" t="str">
        <f t="shared" si="0"/>
        <v>增值额×税（费）率</v>
      </c>
      <c r="O54" s="2523" t="str">
        <f t="shared" si="0"/>
        <v>免征</v>
      </c>
    </row>
    <row r="55" spans="1:35" ht="24" customHeight="1">
      <c r="A55" s="3574" t="s">
        <v>1361</v>
      </c>
      <c r="B55" s="3575"/>
      <c r="C55" s="3575"/>
      <c r="D55" s="2320">
        <f ca="1">IF(H55="个人住宅",0,ROUND(D45*I55,0))</f>
        <v>1</v>
      </c>
      <c r="E55" s="2330" t="s">
        <v>1362</v>
      </c>
      <c r="F55" s="2550" t="str">
        <f>IF(H55="正常",I55,"免征")</f>
        <v>免征</v>
      </c>
      <c r="G55" s="2551"/>
      <c r="H55" s="2546"/>
      <c r="I55" s="165">
        <f>'数据-取费表'!B49</f>
        <v>5.0000000000000001E-4</v>
      </c>
      <c r="J55" s="2519">
        <f>IF(H59="非个人房产","",4)</f>
        <v>4</v>
      </c>
      <c r="K55" s="3624" t="str">
        <f>IF(H59="非个人房产","——","个人所得税")</f>
        <v>个人所得税</v>
      </c>
      <c r="L55" s="3624"/>
      <c r="M55" s="2524">
        <f ca="1">D59</f>
        <v>21</v>
      </c>
      <c r="N55" s="2036" t="str">
        <f>E59</f>
        <v>差额计税</v>
      </c>
      <c r="O55" s="2525">
        <f>F59</f>
        <v>0.01</v>
      </c>
    </row>
    <row r="56" spans="1:35" ht="24.75">
      <c r="A56" s="3574" t="s">
        <v>1363</v>
      </c>
      <c r="B56" s="3575"/>
      <c r="C56" s="3575"/>
      <c r="D56" s="2320">
        <f ca="1">IF(H56="个人住宅",D57,D58)</f>
        <v>1253</v>
      </c>
      <c r="E56" s="2330" t="s">
        <v>1364</v>
      </c>
      <c r="F56" s="2550" t="str">
        <f>IF(H56="正常",F58,"免征")</f>
        <v>免征</v>
      </c>
      <c r="G56" s="2553" t="s">
        <v>1365</v>
      </c>
      <c r="H56" s="2554"/>
      <c r="I56" s="1804"/>
      <c r="J56" s="2519" t="str">
        <f>IF(项目基本情况!K6="上海银行",IF(J55="",4,J55+1),"")</f>
        <v/>
      </c>
      <c r="K56" s="3647" t="str">
        <f>IF(项目基本情况!K6="上海银行","其他处置费用","")</f>
        <v/>
      </c>
      <c r="L56" s="3648"/>
      <c r="M56" s="2521" t="str">
        <f>IF(项目基本情况!K6="上海银行",M69,"")</f>
        <v/>
      </c>
      <c r="N56" s="3647" t="str">
        <f>IF(项目基本情况!K6="上海银行","包含处置中涉及的律师、诉讼、拍卖、评估等费用","")</f>
        <v/>
      </c>
      <c r="O56" s="3650"/>
    </row>
    <row r="57" spans="1:35" ht="12.75">
      <c r="A57" s="2331" t="s">
        <v>1341</v>
      </c>
      <c r="B57" s="3585" t="s">
        <v>1366</v>
      </c>
      <c r="C57" s="3586"/>
      <c r="D57" s="1587">
        <v>0</v>
      </c>
      <c r="E57" s="324" t="s">
        <v>1343</v>
      </c>
      <c r="F57" s="302"/>
      <c r="G57" s="2551"/>
      <c r="H57" s="2555"/>
      <c r="I57" s="1804"/>
      <c r="J57" s="3624">
        <f>IF(AND(J55="",J56=""),4,IF(项目基本情况!K6="上海银行",结果表!J56+1,结果表!J55+1))</f>
        <v>5</v>
      </c>
      <c r="K57" s="3624" t="s">
        <v>1367</v>
      </c>
      <c r="L57" s="2526" t="s">
        <v>1368</v>
      </c>
      <c r="M57" s="2527"/>
      <c r="N57" s="2528">
        <f ca="1">SUMIF(M52:M56,"&lt;9e307")</f>
        <v>1275</v>
      </c>
      <c r="O57" s="2529"/>
      <c r="P57" s="2686">
        <f ca="1">N57/M49</f>
        <v>0.57692307692307687</v>
      </c>
    </row>
    <row r="58" spans="1:35" ht="24.75">
      <c r="A58" s="2331" t="s">
        <v>1352</v>
      </c>
      <c r="B58" s="3585" t="s">
        <v>1369</v>
      </c>
      <c r="C58" s="3559"/>
      <c r="D58" s="2320">
        <f ca="1">IF(H58="转让取得",C81,C97)</f>
        <v>1253</v>
      </c>
      <c r="E58" s="2330" t="s">
        <v>1364</v>
      </c>
      <c r="F58" s="302" t="s">
        <v>28</v>
      </c>
      <c r="G58" s="2551"/>
      <c r="H58" s="2554"/>
      <c r="I58" s="1804"/>
      <c r="J58" s="3624"/>
      <c r="K58" s="3624"/>
      <c r="L58" s="2526" t="s">
        <v>1370</v>
      </c>
      <c r="M58" s="2530"/>
      <c r="N58" s="2531" t="str">
        <f ca="1">NUMBERSTRING(INT(N57*10000),2)&amp;"元整"</f>
        <v>壹仟贰佰柒拾伍万元整</v>
      </c>
      <c r="O58" s="2532"/>
    </row>
    <row r="59" spans="1:35" ht="24.75" thickBot="1">
      <c r="A59" s="3627" t="s">
        <v>1371</v>
      </c>
      <c r="B59" s="3628"/>
      <c r="C59" s="3628"/>
      <c r="D59" s="2556">
        <f ca="1">IF(H59="非个人房产","——",IF(H59="个人住宅（满五唯一有凭证）",0,IF(H59="个人其他（无凭证）",ROUND(D45*F59,0),ROUND(C67*F59,0))))</f>
        <v>21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25">
        <f>J57+1</f>
        <v>6</v>
      </c>
      <c r="K59" s="3624" t="s">
        <v>1372</v>
      </c>
      <c r="L59" s="2519" t="s">
        <v>1368</v>
      </c>
      <c r="M59" s="2533"/>
      <c r="N59" s="2534">
        <f ca="1">M49-N57</f>
        <v>935</v>
      </c>
      <c r="O59" s="2535"/>
    </row>
    <row r="60" spans="1:35" ht="12" customHeight="1">
      <c r="A60" s="1805"/>
      <c r="B60" s="1743"/>
      <c r="C60" s="1743"/>
      <c r="D60" s="1743"/>
      <c r="E60" s="1575"/>
      <c r="F60" s="1804"/>
      <c r="G60" s="1804"/>
      <c r="H60" s="1806"/>
      <c r="I60" s="129"/>
      <c r="J60" s="3626"/>
      <c r="K60" s="3624"/>
      <c r="L60" s="2526" t="s">
        <v>1370</v>
      </c>
      <c r="M60" s="2530"/>
      <c r="N60" s="2531" t="str">
        <f ca="1">NUMBERSTRING(INT(N59*10000),2)&amp;"元整"</f>
        <v>玖佰叁拾伍万元整</v>
      </c>
      <c r="O60" s="2532"/>
    </row>
    <row r="61" spans="1:35" ht="13.5" thickBot="1">
      <c r="A61" s="3572" t="s">
        <v>1373</v>
      </c>
      <c r="B61" s="3572"/>
      <c r="C61" s="3572"/>
      <c r="D61" s="3572"/>
      <c r="E61" s="3572"/>
      <c r="F61" s="1804"/>
      <c r="G61" s="1804"/>
      <c r="H61" s="1806"/>
      <c r="I61" s="129"/>
      <c r="J61" s="2519">
        <f>J59+1</f>
        <v>7</v>
      </c>
      <c r="K61" s="3624" t="s">
        <v>1374</v>
      </c>
      <c r="L61" s="3624"/>
      <c r="M61" s="2536"/>
      <c r="N61" s="2537">
        <f ca="1">ROUND(N59*10000/'数据-汇总表'!E3,0)</f>
        <v>3561</v>
      </c>
      <c r="O61" s="2538"/>
    </row>
    <row r="62" spans="1:35" ht="12.75">
      <c r="A62" s="3590" t="s">
        <v>1375</v>
      </c>
      <c r="B62" s="3591"/>
      <c r="C62" s="2017"/>
      <c r="D62" s="2017" t="s">
        <v>1376</v>
      </c>
      <c r="E62" s="166" t="s">
        <v>1377</v>
      </c>
      <c r="F62" s="1804"/>
      <c r="G62" s="1804"/>
      <c r="H62" s="1806"/>
      <c r="I62" s="129"/>
    </row>
    <row r="63" spans="1:35" ht="12.75">
      <c r="A63" s="173" t="s">
        <v>330</v>
      </c>
      <c r="B63" s="167" t="s">
        <v>1378</v>
      </c>
      <c r="C63" s="2560">
        <f ca="1">ROUND((C64+C65)/(1+'数据-取费表'!C42),0)</f>
        <v>2105</v>
      </c>
      <c r="D63" s="167"/>
      <c r="E63" s="168"/>
      <c r="F63" s="1804"/>
      <c r="G63" s="1804"/>
      <c r="H63" s="1806"/>
      <c r="I63" s="129"/>
      <c r="J63" s="3649" t="s">
        <v>1379</v>
      </c>
      <c r="K63" s="1329" t="s">
        <v>1380</v>
      </c>
      <c r="L63" s="1329">
        <f ca="1">IF(M49&gt;10000,M49*0.5%,IF(AND(M49&gt;1000,M49&lt;=10000),M49*1%,IF(AND(M49&gt;100,M49&lt;=1000),M49*3%,IF(AND(M49&gt;10,M49&lt;=100),M49*5%,M49*8%))))</f>
        <v>22.1</v>
      </c>
      <c r="M63" s="302">
        <f ca="1">ROUND(L63,1)</f>
        <v>22.1</v>
      </c>
      <c r="N63" s="2539"/>
      <c r="Z63" s="1748"/>
      <c r="AI63" s="1749"/>
    </row>
    <row r="64" spans="1:35" ht="14.25" customHeight="1">
      <c r="A64" s="169" t="s">
        <v>325</v>
      </c>
      <c r="B64" s="170" t="s">
        <v>1381</v>
      </c>
      <c r="C64" s="2561">
        <f ca="1">D45</f>
        <v>2210</v>
      </c>
      <c r="D64" s="170" t="s">
        <v>26</v>
      </c>
      <c r="E64" s="172"/>
      <c r="F64" s="1804"/>
      <c r="G64" s="1804"/>
      <c r="H64" s="1806"/>
      <c r="I64" s="129"/>
      <c r="J64" s="3649"/>
      <c r="K64" s="1329" t="s">
        <v>1382</v>
      </c>
      <c r="L64" s="1329">
        <f ca="1">IF(M49&gt;2000,M49*0.5%,IF(AND(M49&gt;1000,M49&lt;=2000),M49*0.6%,IF(AND(M49&gt;500,M49&lt;=1000),M49*0.7%,IF(AND(M49&gt;200,M49&lt;=500),M49*0.8%,IF(AND(M49&gt;100,M49&lt;=200),M49*0.9%,IF(AND(M49&gt;50,M49&lt;=100),M49*1%,IF(AND(M49&gt;20,M49&lt;=50),M49*1.5%,IF(AND(M49&gt;10,M49&lt;=20),M49*2%,IF(AND(M49&gt;1,M49&lt;=10),M49*2.5%)))))))))</f>
        <v>11.05</v>
      </c>
      <c r="M64" s="302">
        <f t="shared" ref="M64:M65" ca="1" si="1">ROUND(L64,1)</f>
        <v>11.1</v>
      </c>
      <c r="N64" s="2540" t="s">
        <v>1383</v>
      </c>
      <c r="Z64" s="1748"/>
      <c r="AI64" s="1749"/>
    </row>
    <row r="65" spans="1:35" ht="14.25" customHeight="1">
      <c r="A65" s="169" t="s">
        <v>326</v>
      </c>
      <c r="B65" s="170" t="s">
        <v>1384</v>
      </c>
      <c r="C65" s="2562"/>
      <c r="D65" s="170"/>
      <c r="E65" s="172"/>
      <c r="F65" s="1804"/>
      <c r="G65" s="1804"/>
      <c r="H65" s="1806"/>
      <c r="I65" s="129"/>
      <c r="J65" s="3649"/>
      <c r="K65" s="1329" t="s">
        <v>1385</v>
      </c>
      <c r="L65" s="1329">
        <f ca="1">IF(M49&gt;1000,M49*0.1%,IF(AND(M49&gt;500,M49&lt;=1000),M49*0.5%,IF(AND(M49&gt;50,M49&lt;=500),M49*1%,IF(AND(M49&gt;1,M49&lt;=50),M49*1.5%))))</f>
        <v>2.21</v>
      </c>
      <c r="M65" s="302">
        <f t="shared" ca="1" si="1"/>
        <v>2.2000000000000002</v>
      </c>
      <c r="N65" s="2540" t="s">
        <v>1383</v>
      </c>
      <c r="Z65" s="1748"/>
      <c r="AI65" s="1749"/>
    </row>
    <row r="66" spans="1:35" ht="14.25" customHeight="1">
      <c r="A66" s="173" t="s">
        <v>327</v>
      </c>
      <c r="B66" s="174" t="s">
        <v>1386</v>
      </c>
      <c r="C66" s="2563"/>
      <c r="D66" s="174" t="s">
        <v>26</v>
      </c>
      <c r="E66" s="1335" t="s">
        <v>671</v>
      </c>
      <c r="F66" s="1804"/>
      <c r="G66" s="1804"/>
      <c r="H66" s="1806"/>
      <c r="I66" s="129"/>
      <c r="J66" s="3649"/>
      <c r="K66" s="1329" t="s">
        <v>1387</v>
      </c>
      <c r="L66" s="1329">
        <f ca="1">M49*0.5%</f>
        <v>11.05</v>
      </c>
      <c r="M66" s="302">
        <f ca="1">IF(L66&gt;0.5,0.5,ROUND(L66,0))</f>
        <v>0.5</v>
      </c>
      <c r="N66" s="2540" t="s">
        <v>1388</v>
      </c>
      <c r="Z66" s="1748"/>
      <c r="AI66" s="1749"/>
    </row>
    <row r="67" spans="1:35" ht="14.25" customHeight="1">
      <c r="A67" s="173" t="s">
        <v>328</v>
      </c>
      <c r="B67" s="174" t="s">
        <v>1389</v>
      </c>
      <c r="C67" s="2564">
        <f ca="1">C63-C66</f>
        <v>2105</v>
      </c>
      <c r="D67" s="170" t="s">
        <v>26</v>
      </c>
      <c r="E67" s="172"/>
      <c r="F67" s="1804"/>
      <c r="G67" s="1804"/>
      <c r="H67" s="1806"/>
      <c r="I67" s="129"/>
      <c r="J67" s="3649"/>
      <c r="K67" s="1329" t="s">
        <v>1390</v>
      </c>
      <c r="L67" s="1329">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9"/>
      <c r="Z67" s="1748"/>
      <c r="AI67" s="1749"/>
    </row>
    <row r="68" spans="1:35" ht="14.25" customHeight="1" thickBot="1">
      <c r="A68" s="176" t="s">
        <v>329</v>
      </c>
      <c r="B68" s="177" t="s">
        <v>1391</v>
      </c>
      <c r="C68" s="2565">
        <f ca="1">IF(C67&lt;=0,0,ROUND(C67*D68,0))</f>
        <v>116</v>
      </c>
      <c r="D68" s="2566">
        <f>'数据-取费表'!B41</f>
        <v>5.5000000000000007E-2</v>
      </c>
      <c r="E68" s="178"/>
      <c r="F68" s="1804"/>
      <c r="G68" s="1804"/>
      <c r="H68" s="1806"/>
      <c r="I68" s="129"/>
      <c r="J68" s="3649"/>
      <c r="K68" s="1329" t="s">
        <v>1392</v>
      </c>
      <c r="L68" s="1329">
        <f ca="1">IF(M49&gt;10000,M49*0.5%,IF(AND(M49&gt;5000,M49&lt;=10000),M49*1%,IF(AND(M49&gt;1000,M49&lt;=5000),M49*2%,IF(AND(M49&gt;200,M49&lt;=1000),M49*3%,M49*5%))))</f>
        <v>44.2</v>
      </c>
      <c r="M68" s="302">
        <f ca="1">ROUND(L68,1)</f>
        <v>44.2</v>
      </c>
      <c r="N68" s="2539"/>
      <c r="Z68" s="1748"/>
      <c r="AI68" s="1749"/>
    </row>
    <row r="69" spans="1:35" s="1768" customFormat="1" ht="16.5" customHeight="1">
      <c r="A69" s="1807"/>
      <c r="B69" s="1808"/>
      <c r="C69" s="1809"/>
      <c r="D69" s="1810"/>
      <c r="E69" s="1811"/>
      <c r="F69" s="1575"/>
      <c r="G69" s="1575"/>
      <c r="H69" s="1574"/>
      <c r="I69" s="1743"/>
      <c r="J69" s="3649"/>
      <c r="K69" s="1329" t="s">
        <v>1393</v>
      </c>
      <c r="L69" s="1329"/>
      <c r="M69" s="302">
        <f ca="1">ROUND(SUM(M63:M68),0)</f>
        <v>83</v>
      </c>
      <c r="N69" s="2541">
        <f ca="1">M69/M49</f>
        <v>3.7556561085972849E-2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thickBot="1">
      <c r="A70" s="3611" t="s">
        <v>1394</v>
      </c>
      <c r="B70" s="3612"/>
      <c r="C70" s="3612"/>
      <c r="D70" s="3612"/>
      <c r="E70" s="3612"/>
      <c r="F70" s="3612"/>
      <c r="G70" s="3612"/>
      <c r="H70" s="3612"/>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0" t="s">
        <v>1375</v>
      </c>
      <c r="B71" s="3591"/>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2105</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11</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585" t="s">
        <v>1402</v>
      </c>
      <c r="F76" s="3559"/>
      <c r="G76" s="3559"/>
      <c r="H76" s="361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11</v>
      </c>
      <c r="D78" s="2573">
        <f>'数据-取费表'!B43</f>
        <v>5.000000000000001E-3</v>
      </c>
      <c r="E78" s="3569" t="s">
        <v>1406</v>
      </c>
      <c r="F78" s="3570"/>
      <c r="G78" s="3570"/>
      <c r="H78" s="357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2094</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190.36363636363637</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1253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11" t="s">
        <v>1410</v>
      </c>
      <c r="B83" s="3612"/>
      <c r="C83" s="3612"/>
      <c r="D83" s="3612"/>
      <c r="E83" s="3612"/>
      <c r="F83" s="3612"/>
      <c r="G83" s="3612"/>
      <c r="H83" s="361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90" t="s">
        <v>1375</v>
      </c>
      <c r="B84" s="3591"/>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2105</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11</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51" t="s">
        <v>2128</v>
      </c>
      <c r="H90" s="3652"/>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69" t="s">
        <v>1419</v>
      </c>
      <c r="F91" s="3570"/>
      <c r="G91" s="357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69" t="s">
        <v>1422</v>
      </c>
      <c r="F92" s="3570"/>
      <c r="G92" s="3570"/>
      <c r="H92" s="3579"/>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11</v>
      </c>
      <c r="D93" s="2573">
        <f>'数据-取费表'!B43</f>
        <v>5.000000000000001E-3</v>
      </c>
      <c r="E93" s="3569" t="s">
        <v>1406</v>
      </c>
      <c r="F93" s="3570"/>
      <c r="G93" s="3570"/>
      <c r="H93" s="357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580" t="s">
        <v>1426</v>
      </c>
      <c r="F94" s="3581"/>
      <c r="G94" s="3581"/>
      <c r="H94" s="358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2094</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190.36363636363637</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1253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9"/>
    </row>
    <row r="99" spans="1:35" ht="21.75" customHeight="1" thickBot="1">
      <c r="A99" s="1796" t="s">
        <v>1427</v>
      </c>
      <c r="B99" s="1743"/>
      <c r="C99" s="1743"/>
      <c r="D99" s="1743"/>
      <c r="E99" s="1575"/>
      <c r="F99" s="1575"/>
      <c r="G99" s="1575"/>
      <c r="H99" s="1574"/>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1" t="str">
        <f>C4</f>
        <v>成本法</v>
      </c>
      <c r="D101" s="2582" t="str">
        <f>D4</f>
        <v>收益法</v>
      </c>
      <c r="E101" s="3646" t="s">
        <v>1431</v>
      </c>
      <c r="F101" s="3603"/>
      <c r="G101" s="1823" t="s">
        <v>1432</v>
      </c>
      <c r="H101" s="2591">
        <f ca="1">H118</f>
        <v>2210</v>
      </c>
      <c r="I101" s="129"/>
    </row>
    <row r="102" spans="1:35" ht="18.75" customHeight="1">
      <c r="A102" s="3605" t="s">
        <v>1433</v>
      </c>
      <c r="B102" s="2580" t="s">
        <v>1432</v>
      </c>
      <c r="C102" s="2581">
        <f ca="1">IF(D32="楼面单价",ROUND(C19,0),C19)</f>
        <v>2733</v>
      </c>
      <c r="D102" s="2582">
        <f ca="1">IF(D32="楼面单价",ROUND(D19,0),D19)</f>
        <v>1862</v>
      </c>
      <c r="E102" s="3646"/>
      <c r="F102" s="3603"/>
      <c r="G102" s="1823" t="s">
        <v>1434</v>
      </c>
      <c r="H102" s="2551">
        <f ca="1">I118</f>
        <v>8419</v>
      </c>
      <c r="I102" s="129"/>
    </row>
    <row r="103" spans="1:35" ht="42.75" customHeight="1">
      <c r="A103" s="3605"/>
      <c r="B103" s="2580" t="s">
        <v>1434</v>
      </c>
      <c r="C103" s="2583">
        <f ca="1">C20</f>
        <v>10409</v>
      </c>
      <c r="D103" s="2584">
        <f ca="1">D20</f>
        <v>7092</v>
      </c>
      <c r="E103" s="3640" t="s">
        <v>1435</v>
      </c>
      <c r="F103" s="3641"/>
      <c r="G103" s="1824" t="s">
        <v>1436</v>
      </c>
      <c r="H103" s="2591">
        <f>IF(D36="正常操作",H104+H105+H106,H105+H106)</f>
        <v>0</v>
      </c>
      <c r="I103" s="129"/>
    </row>
    <row r="104" spans="1:35" ht="18.75" customHeight="1">
      <c r="A104" s="3605" t="s">
        <v>1437</v>
      </c>
      <c r="B104" s="2585" t="s">
        <v>1432</v>
      </c>
      <c r="C104" s="2586">
        <f ca="1">H118</f>
        <v>2210</v>
      </c>
      <c r="D104" s="2587"/>
      <c r="E104" s="1670" t="s">
        <v>1438</v>
      </c>
      <c r="F104" s="1662"/>
      <c r="G104" s="1824" t="s">
        <v>1436</v>
      </c>
      <c r="H104" s="2592">
        <f>IF(D36="同一抵押权人同一抵押物续贷",C36&amp;"（续贷，未扣减，详见特别提示）",C36)</f>
        <v>0</v>
      </c>
      <c r="I104" s="129"/>
    </row>
    <row r="105" spans="1:35" ht="18.75" customHeight="1" thickBot="1">
      <c r="A105" s="3606"/>
      <c r="B105" s="2588" t="s">
        <v>1434</v>
      </c>
      <c r="C105" s="2589">
        <f ca="1">I118</f>
        <v>8419</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02" t="str">
        <f>IF(项目基本情况!E8="已注销","——","3.房地产抵押价值")</f>
        <v>3.房地产抵押价值</v>
      </c>
      <c r="F107" s="3603"/>
      <c r="G107" s="1823" t="s">
        <v>1432</v>
      </c>
      <c r="H107" s="2591">
        <f ca="1">IF(E107="——","——",H101-H103)</f>
        <v>2210</v>
      </c>
      <c r="I107" s="129"/>
    </row>
    <row r="108" spans="1:35" ht="18.75" customHeight="1">
      <c r="A108" s="129"/>
      <c r="B108" s="129"/>
      <c r="C108" s="129"/>
      <c r="D108" s="129"/>
      <c r="E108" s="3602"/>
      <c r="F108" s="3603"/>
      <c r="G108" s="1823" t="s">
        <v>1434</v>
      </c>
      <c r="H108" s="2551">
        <f ca="1">IF(H107=H101,H102,ROUND(H107*10000/'数据-汇总表'!E3,0))</f>
        <v>8419</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3" t="s">
        <v>1432</v>
      </c>
      <c r="H109" s="2594" t="str">
        <f>IF(E109="——","——",H101-H105-H106)</f>
        <v>——</v>
      </c>
      <c r="I109" s="129"/>
    </row>
    <row r="110" spans="1:35" ht="18.75" customHeight="1">
      <c r="A110" s="129"/>
      <c r="B110" s="129"/>
      <c r="C110" s="129"/>
      <c r="D110" s="129"/>
      <c r="E110" s="3602"/>
      <c r="F110" s="3603"/>
      <c r="G110" s="1823" t="s">
        <v>1434</v>
      </c>
      <c r="H110" s="2551"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3" t="s">
        <v>1432</v>
      </c>
      <c r="H111" s="2591" t="str">
        <f>IF(E111="——","——",N59)</f>
        <v>——</v>
      </c>
      <c r="I111" s="129"/>
    </row>
    <row r="112" spans="1:35" ht="18.75" customHeight="1" thickBot="1">
      <c r="A112" s="129"/>
      <c r="B112" s="129"/>
      <c r="C112" s="129"/>
      <c r="D112" s="129"/>
      <c r="E112" s="3635"/>
      <c r="F112" s="3636"/>
      <c r="G112" s="1826" t="s">
        <v>1434</v>
      </c>
      <c r="H112" s="2595" t="str">
        <f>IF(E111="——","——",N61)</f>
        <v>——</v>
      </c>
      <c r="I112" s="129"/>
    </row>
    <row r="113" spans="1:27" ht="18.75" customHeight="1">
      <c r="A113" s="129"/>
      <c r="B113" s="129"/>
      <c r="C113" s="129"/>
      <c r="D113" s="129"/>
      <c r="E113" s="3607" t="s">
        <v>1440</v>
      </c>
      <c r="F113" s="3607"/>
      <c r="G113" s="3607"/>
      <c r="H113" s="3607"/>
      <c r="I113" s="129"/>
    </row>
    <row r="114" spans="1:27" ht="3.75" customHeight="1">
      <c r="A114" s="1743"/>
      <c r="B114" s="1743"/>
      <c r="C114" s="1743"/>
      <c r="D114" s="1743"/>
      <c r="E114" s="1805"/>
      <c r="F114" s="1805"/>
      <c r="G114" s="1805"/>
      <c r="H114" s="1805"/>
      <c r="I114" s="1743"/>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2625.54</v>
      </c>
      <c r="C118" s="2325">
        <f>M19</f>
        <v>3870</v>
      </c>
      <c r="D118" s="2325">
        <f ca="1">ROUND(IF(D32="总价",C34,E118*B118/10000),0)</f>
        <v>1616</v>
      </c>
      <c r="E118" s="2325">
        <f ca="1">ROUND(IF(C33="自定义",IF(D32="楼面单价",C34,D118*10000/B118),I118-G118),0)</f>
        <v>6154</v>
      </c>
      <c r="F118" s="2325">
        <f ca="1">ROUND(IF(D32="总价",C35,G118*B118/10000),0)</f>
        <v>595</v>
      </c>
      <c r="G118" s="2325">
        <f ca="1">ROUND(IF(D32="楼面单价",C35,F118*10000/B118),0)</f>
        <v>2265</v>
      </c>
      <c r="H118" s="2325">
        <f ca="1">ROUND(IF(D32="总价",C32,I118*B118/10000),0)</f>
        <v>2210</v>
      </c>
      <c r="I118" s="2325">
        <f ca="1">ROUND(IF(D32="楼面单价",C32,H118*10000/B118),0)</f>
        <v>8419</v>
      </c>
    </row>
    <row r="119" spans="1:27" ht="18.75" customHeight="1">
      <c r="A119" s="3573" t="s">
        <v>1452</v>
      </c>
      <c r="B119" s="3573"/>
      <c r="C119" s="3573"/>
      <c r="D119" s="3613" t="str">
        <f ca="1">NUMBERSTRING(INT(D118*10000),2)&amp;"元整"</f>
        <v>壹仟陆佰壹拾陆万元整</v>
      </c>
      <c r="E119" s="3615"/>
      <c r="F119" s="3613" t="str">
        <f ca="1">NUMBERSTRING(INT(F118*10000),2)&amp;"元整"</f>
        <v>伍佰玖拾伍万元整</v>
      </c>
      <c r="G119" s="3615"/>
      <c r="H119" s="3613" t="str">
        <f ca="1">NUMBERSTRING(INT(H118*10000),2)&amp;"元整"</f>
        <v>贰仟贰佰壹拾万元整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3" t="s">
        <v>1452</v>
      </c>
      <c r="B121" s="3614"/>
      <c r="C121" s="3615"/>
      <c r="D121" s="3613" t="str">
        <f>IF(D120=0,"零元整",NUMBERSTRING(INT(D120*10000),2)&amp;"元整")</f>
        <v>零元整</v>
      </c>
      <c r="E121" s="3614"/>
      <c r="F121" s="3614"/>
      <c r="G121" s="3614"/>
      <c r="H121" s="3614"/>
      <c r="I121" s="3615"/>
      <c r="AA121" s="722"/>
    </row>
    <row r="122" spans="1:27" ht="18.75" customHeight="1">
      <c r="A122" s="3604" t="str">
        <f>IF(项目基本情况!B9="房地产市场价值","",MID(E107,3,LEN(E107)-2))</f>
        <v>房地产抵押价值</v>
      </c>
      <c r="B122" s="3604"/>
      <c r="C122" s="3604"/>
      <c r="D122" s="3637">
        <f ca="1">H107</f>
        <v>2210</v>
      </c>
      <c r="E122" s="3638"/>
      <c r="F122" s="3638"/>
      <c r="G122" s="3638"/>
      <c r="H122" s="3638"/>
      <c r="I122" s="3639"/>
      <c r="AA122" s="722"/>
    </row>
    <row r="123" spans="1:27" ht="18.75" customHeight="1">
      <c r="A123" s="3573" t="s">
        <v>1452</v>
      </c>
      <c r="B123" s="3573"/>
      <c r="C123" s="3573"/>
      <c r="D123" s="3613" t="str">
        <f ca="1">NUMBERSTRING(INT(D122*10000),2)&amp;"元整"</f>
        <v>贰仟贰佰壹拾万元整</v>
      </c>
      <c r="E123" s="3614"/>
      <c r="F123" s="3614"/>
      <c r="G123" s="3614"/>
      <c r="H123" s="3614"/>
      <c r="I123" s="3615"/>
      <c r="AA123" s="722"/>
    </row>
    <row r="124" spans="1:27" ht="18.75" customHeight="1">
      <c r="A124" s="3604" t="str">
        <f>IF(项目基本情况!B9="房地产市场价值","",MID(E109,3,LEN(E109)-2))</f>
        <v/>
      </c>
      <c r="B124" s="3604"/>
      <c r="C124" s="3604"/>
      <c r="D124" s="3637" t="str">
        <f>H109</f>
        <v>——</v>
      </c>
      <c r="E124" s="3638"/>
      <c r="F124" s="3638"/>
      <c r="G124" s="3638"/>
      <c r="H124" s="3638"/>
      <c r="I124" s="3639"/>
      <c r="AA124" s="722"/>
    </row>
    <row r="125" spans="1:27" ht="18.75" customHeight="1">
      <c r="A125" s="3573" t="s">
        <v>1452</v>
      </c>
      <c r="B125" s="3573"/>
      <c r="C125" s="3573"/>
      <c r="D125" s="3613" t="e">
        <f>NUMBERSTRING(INT(D124*10000),2)&amp;"元整"</f>
        <v>#VALUE!</v>
      </c>
      <c r="E125" s="3614"/>
      <c r="F125" s="3614"/>
      <c r="G125" s="3614"/>
      <c r="H125" s="3614"/>
      <c r="I125" s="3615"/>
      <c r="AA125" s="722"/>
    </row>
    <row r="126" spans="1:27" ht="18.75" customHeight="1">
      <c r="A126" s="3604" t="str">
        <f>IF(项目基本情况!B9="房地产市场价值","",MID(E111,3,LEN(E111)-2))</f>
        <v/>
      </c>
      <c r="B126" s="3604"/>
      <c r="C126" s="3604"/>
      <c r="D126" s="3637" t="str">
        <f>H111</f>
        <v>——</v>
      </c>
      <c r="E126" s="3638"/>
      <c r="F126" s="3638"/>
      <c r="G126" s="3638"/>
      <c r="H126" s="3638"/>
      <c r="I126" s="3639"/>
      <c r="AA126" s="722"/>
    </row>
    <row r="127" spans="1:27" ht="18.75" customHeight="1">
      <c r="A127" s="3573" t="s">
        <v>1452</v>
      </c>
      <c r="B127" s="3573"/>
      <c r="C127" s="3573"/>
      <c r="D127" s="3613" t="e">
        <f>NUMBERSTRING(INT(D126*10000),2)&amp;"元整"</f>
        <v>#VALUE!</v>
      </c>
      <c r="E127" s="3614"/>
      <c r="F127" s="3614"/>
      <c r="G127" s="3614"/>
      <c r="H127" s="3614"/>
      <c r="I127" s="3615"/>
      <c r="AA127" s="722"/>
    </row>
    <row r="128" spans="1:27" ht="21.75" customHeight="1">
      <c r="A128" s="3620" t="s">
        <v>1453</v>
      </c>
      <c r="B128" s="3620"/>
      <c r="C128" s="3620"/>
      <c r="D128" s="3620"/>
      <c r="E128" s="3620"/>
      <c r="F128" s="3620"/>
      <c r="G128" s="3620"/>
      <c r="H128" s="3620"/>
      <c r="I128" s="3620"/>
      <c r="AA128" s="722"/>
    </row>
    <row r="129" spans="1:35" ht="21.75" customHeight="1">
      <c r="A129" s="1827" t="s">
        <v>1454</v>
      </c>
      <c r="B129" s="1828"/>
      <c r="C129" s="1829" t="s">
        <v>1455</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1456</v>
      </c>
      <c r="G135" s="1844"/>
      <c r="H135" s="1844"/>
      <c r="I135" s="1845" t="s">
        <v>1457</v>
      </c>
    </row>
    <row r="136" spans="1:35" ht="21.75" customHeight="1">
      <c r="A136" s="722"/>
      <c r="B136" s="1846"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1459</v>
      </c>
    </row>
    <row r="139" spans="1:35" ht="21.75" customHeight="1">
      <c r="A139" s="722"/>
      <c r="B139" s="1846" t="s">
        <v>1460</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1459</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7</v>
      </c>
    </row>
    <row r="2" spans="1:9" s="200" customFormat="1" ht="18" customHeight="1">
      <c r="A2" s="201" t="s">
        <v>1462</v>
      </c>
      <c r="B2" s="202">
        <f ca="1">IF(D2="——",C52,C52-E2)</f>
        <v>2733</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10409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1626</v>
      </c>
      <c r="D5" s="211" t="s">
        <v>1469</v>
      </c>
      <c r="E5" s="212" t="s">
        <v>1470</v>
      </c>
      <c r="F5" s="212" t="s">
        <v>1471</v>
      </c>
      <c r="G5" s="213"/>
    </row>
    <row r="6" spans="1:9" s="214" customFormat="1" ht="13.5" customHeight="1">
      <c r="A6" s="775" t="s">
        <v>1472</v>
      </c>
      <c r="B6" s="215" t="s">
        <v>1473</v>
      </c>
      <c r="C6" s="216">
        <f>基准地价修正!V2+基准地价修正!V3</f>
        <v>1526</v>
      </c>
      <c r="D6" s="217"/>
      <c r="E6" s="218"/>
      <c r="F6" s="218"/>
      <c r="G6" s="219"/>
    </row>
    <row r="7" spans="1:9" s="214" customFormat="1" ht="13.5" customHeight="1">
      <c r="A7" s="775" t="s">
        <v>1474</v>
      </c>
      <c r="B7" s="215" t="s">
        <v>1475</v>
      </c>
      <c r="C7" s="220">
        <f>ROUND(C6*F7,0)</f>
        <v>47</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53</v>
      </c>
      <c r="D8" s="222"/>
      <c r="E8" s="220"/>
      <c r="F8" s="221"/>
      <c r="G8" s="1852" t="s">
        <v>3439</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3" t="s">
        <v>3440</v>
      </c>
      <c r="H9" s="1134"/>
      <c r="I9" s="1854" t="s">
        <v>1479</v>
      </c>
    </row>
    <row r="10" spans="1:9" s="214" customFormat="1" ht="13.5" customHeight="1">
      <c r="A10" s="776" t="s">
        <v>356</v>
      </c>
      <c r="B10" s="224" t="s">
        <v>1480</v>
      </c>
      <c r="C10" s="225">
        <f ca="1">ROUND(D10*E10/10000,0)</f>
        <v>53</v>
      </c>
      <c r="D10" s="842">
        <f ca="1">IF(B1="",'数据-汇总表'!E6,IF(INDIRECT("'数据-取费表'!c"&amp;$G$1)="住宅",INDIRECT("'数据-取费表'!s"&amp;$G$1),INDIRECT("'数据-取费表'!k"&amp;$G$1)+INDIRECT("'数据-取费表'!s"&amp;$G$1)))</f>
        <v>2625.54</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2625.54</v>
      </c>
      <c r="E19" s="211">
        <f>'数据-取费表'!B31</f>
        <v>200</v>
      </c>
      <c r="F19" s="231"/>
      <c r="G19" s="1852" t="s">
        <v>3441</v>
      </c>
    </row>
    <row r="20" spans="1:7" s="214" customFormat="1" ht="13.5" customHeight="1">
      <c r="A20" s="255" t="s">
        <v>1493</v>
      </c>
      <c r="B20" s="210" t="s">
        <v>1494</v>
      </c>
      <c r="C20" s="232">
        <f>ROUND((C5+C19)*F20,0)</f>
        <v>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57</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7" t="s">
        <v>1502</v>
      </c>
      <c r="B23" s="215" t="s">
        <v>1503</v>
      </c>
      <c r="C23" s="1102">
        <f ca="1">ROUND(IF('数据-取费表'!B22&lt;=1,C5*F22*'数据-取费表'!B23,C5*(POWER((1+F22),'数据-取费表'!B23)-1)),0)</f>
        <v>56</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1</v>
      </c>
      <c r="D25" s="238"/>
      <c r="E25" s="241"/>
      <c r="F25" s="239"/>
      <c r="G25" s="242" t="s">
        <v>1510</v>
      </c>
    </row>
    <row r="26" spans="1:7" s="214" customFormat="1">
      <c r="A26" s="777"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133</v>
      </c>
      <c r="D27" s="235">
        <f ca="1">C29</f>
        <v>1.6000000000000001E-3</v>
      </c>
      <c r="E27" s="236" t="s">
        <v>1514</v>
      </c>
      <c r="F27" s="246">
        <f ca="1">IF(B1="",'数据-取费表'!Q16,INDIRECT("'数据-取费表'!q"&amp;$G$1))</f>
        <v>0.08</v>
      </c>
      <c r="G27" s="247" t="s">
        <v>1515</v>
      </c>
    </row>
    <row r="28" spans="1:7" s="214" customFormat="1" ht="13.5" customHeight="1">
      <c r="A28" s="777" t="s">
        <v>346</v>
      </c>
      <c r="B28" s="248" t="s">
        <v>1516</v>
      </c>
      <c r="C28" s="249">
        <f ca="1">ROUND((C5+C19+C20)*F27*'数据-取费表'!B21/'数据-取费表'!B20,0)</f>
        <v>133</v>
      </c>
      <c r="D28" s="235"/>
      <c r="E28" s="236"/>
      <c r="F28" s="246"/>
      <c r="G28" s="247"/>
    </row>
    <row r="29" spans="1:7" s="214" customFormat="1" ht="13.5" customHeight="1">
      <c r="A29" s="777"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742</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656</v>
      </c>
      <c r="D34" s="217"/>
      <c r="E34" s="220"/>
      <c r="F34" s="257">
        <f ca="1">IF('数据-取费表'!B24=0,1,IF(B1="",'数据-取费表'!N16,INDIRECT("'数据-取费表'!n"&amp;$G$1)))</f>
        <v>1</v>
      </c>
      <c r="G34" s="219" t="s">
        <v>1526</v>
      </c>
    </row>
    <row r="35" spans="1:7" ht="13.5" customHeight="1">
      <c r="A35" s="777" t="s">
        <v>351</v>
      </c>
      <c r="B35" s="215" t="s">
        <v>1527</v>
      </c>
      <c r="C35" s="220">
        <f ca="1">ROUND(C34*F35,0)</f>
        <v>20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53</v>
      </c>
      <c r="D37" s="217">
        <f ca="1">D19</f>
        <v>2625.54</v>
      </c>
      <c r="E37" s="249">
        <f>'数据-取费表'!B35</f>
        <v>200</v>
      </c>
      <c r="F37" s="259"/>
      <c r="G37" s="261" t="s">
        <v>1532</v>
      </c>
    </row>
    <row r="38" spans="1:7" ht="13.5" customHeight="1">
      <c r="A38" s="777"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13</v>
      </c>
      <c r="D41" s="235">
        <f ca="1">C44</f>
        <v>2.9999999999999997E-4</v>
      </c>
      <c r="E41" s="236" t="s">
        <v>1539</v>
      </c>
      <c r="F41" s="237">
        <f ca="1">F22</f>
        <v>3.4500000000000003E-2</v>
      </c>
      <c r="G41" s="234" t="str">
        <f>IF('数据-取费表'!B22&lt;=1,"单利计息","复利计息")</f>
        <v>单利计息</v>
      </c>
    </row>
    <row r="42" spans="1:7" ht="13.5" customHeight="1">
      <c r="A42" s="777" t="s">
        <v>346</v>
      </c>
      <c r="B42" s="215" t="s">
        <v>1543</v>
      </c>
      <c r="C42" s="238">
        <f ca="1">ROUND(IF('数据-取费表'!B22&lt;=1,C33*F22*'数据-取费表'!B21/2,C33*(POWER((1+F22),'数据-取费表'!B21/2)-1)),0)</f>
        <v>13</v>
      </c>
      <c r="D42" s="238"/>
      <c r="E42" s="238"/>
      <c r="F42" s="239"/>
      <c r="G42" s="3653" t="s">
        <v>1544</v>
      </c>
    </row>
    <row r="43" spans="1:7" ht="13.5" customHeight="1">
      <c r="A43" s="777" t="s">
        <v>347</v>
      </c>
      <c r="B43" s="215" t="s">
        <v>1545</v>
      </c>
      <c r="C43" s="238">
        <f ca="1">ROUND(IF('数据-取费表'!B22&lt;=1,C39*F22*'数据-取费表'!B21/2,C39*(POWER((1+F22),'数据-取费表'!B21/2)-1)),0)</f>
        <v>0</v>
      </c>
      <c r="D43" s="238"/>
      <c r="E43" s="238"/>
      <c r="F43" s="239"/>
      <c r="G43" s="3654"/>
    </row>
    <row r="44" spans="1:7" ht="13.5" customHeight="1">
      <c r="A44" s="777" t="s">
        <v>348</v>
      </c>
      <c r="B44" s="215" t="s">
        <v>1546</v>
      </c>
      <c r="C44" s="238">
        <f ca="1">ROUND(IF('数据-取费表'!B22&lt;=1,C40*F22*'数据-取费表'!B21/2,C40*(POWER((1+F22),'数据-取费表'!B21/2)-1)),4)</f>
        <v>2.9999999999999997E-4</v>
      </c>
      <c r="D44" s="238"/>
      <c r="E44" s="238"/>
      <c r="F44" s="239"/>
      <c r="G44" s="3655"/>
    </row>
    <row r="45" spans="1:7" s="214" customFormat="1" ht="13.5" customHeight="1">
      <c r="A45" s="255" t="s">
        <v>1547</v>
      </c>
      <c r="B45" s="244" t="s">
        <v>1513</v>
      </c>
      <c r="C45" s="245">
        <f ca="1">C46</f>
        <v>61</v>
      </c>
      <c r="D45" s="235">
        <f ca="1">C47</f>
        <v>1.6000000000000001E-3</v>
      </c>
      <c r="E45" s="236" t="s">
        <v>1539</v>
      </c>
      <c r="F45" s="246">
        <f ca="1">F27</f>
        <v>0.08</v>
      </c>
      <c r="G45" s="247" t="s">
        <v>1548</v>
      </c>
    </row>
    <row r="46" spans="1:7" s="214" customFormat="1" ht="13.5" customHeight="1">
      <c r="A46" s="777" t="s">
        <v>346</v>
      </c>
      <c r="B46" s="248" t="s">
        <v>1549</v>
      </c>
      <c r="C46" s="249">
        <f ca="1">ROUND((C33+C39)*F27,0)</f>
        <v>61</v>
      </c>
      <c r="D46" s="263"/>
      <c r="E46" s="236"/>
      <c r="F46" s="246"/>
      <c r="G46" s="247"/>
    </row>
    <row r="47" spans="1:7" s="214" customFormat="1" ht="13.5" customHeight="1">
      <c r="A47" s="777" t="s">
        <v>347</v>
      </c>
      <c r="B47" s="248" t="s">
        <v>1550</v>
      </c>
      <c r="C47" s="238">
        <f ca="1">ROUND(C40*F27,4)</f>
        <v>1.6000000000000001E-3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898</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736</v>
      </c>
      <c r="D51" s="232"/>
      <c r="E51" s="232"/>
      <c r="F51" s="264"/>
      <c r="G51" s="234" t="s">
        <v>1560</v>
      </c>
    </row>
    <row r="52" spans="1:7" s="208" customFormat="1" ht="16.5" thickBot="1">
      <c r="A52" s="265" t="s">
        <v>1561</v>
      </c>
      <c r="B52" s="266"/>
      <c r="C52" s="267">
        <f ca="1">C31+C51</f>
        <v>2733</v>
      </c>
      <c r="D52" s="266"/>
      <c r="E52" s="266"/>
      <c r="F52" s="266"/>
      <c r="G52" s="268"/>
    </row>
    <row r="55" spans="1:7" ht="15">
      <c r="B55" s="270" t="s">
        <v>1562</v>
      </c>
      <c r="C55" s="271"/>
    </row>
    <row r="56" spans="1:7">
      <c r="B56" s="273" t="s">
        <v>802</v>
      </c>
      <c r="C56" s="275">
        <f ca="1">1-C57</f>
        <v>0.73099999999999998</v>
      </c>
    </row>
    <row r="57" spans="1:7">
      <c r="B57" s="273" t="s">
        <v>803</v>
      </c>
      <c r="C57" s="274">
        <f ca="1">ROUND(C51/C52,3)</f>
        <v>0.26900000000000002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0" t="str">
        <f>项目基本情况!B1</f>
        <v>北京市房地产抵押价值预评估</v>
      </c>
      <c r="C37" s="3470"/>
      <c r="D37" s="3470"/>
      <c r="E37" s="3470"/>
      <c r="F37" s="3470"/>
      <c r="G37" s="3470"/>
      <c r="H37" s="3470"/>
      <c r="I37" s="3470"/>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5"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864.26790000000005</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3292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525108</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525108</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525108</v>
      </c>
      <c r="D10" s="842">
        <f ca="1">IF(B1="",'数据-汇总表'!E6,IF(INDIRECT("'数据-取费表'!c"&amp;$G$1)="住宅",INDIRECT("'数据-取费表'!s"&amp;$G$1),INDIRECT("'数据-取费表'!k"&amp;$G$1)+INDIRECT("'数据-取费表'!s"&amp;$G$1)))</f>
        <v>2625.54</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525108</v>
      </c>
      <c r="D19" s="846">
        <f ca="1">D9+D10</f>
        <v>2625.54</v>
      </c>
      <c r="E19" s="211">
        <f>'数据-取费表'!B31</f>
        <v>200</v>
      </c>
      <c r="F19" s="231"/>
      <c r="G19" s="1852"/>
    </row>
    <row r="20" spans="1:7" s="214" customFormat="1" ht="13.5" customHeight="1">
      <c r="A20" s="255" t="s">
        <v>1574</v>
      </c>
      <c r="B20" s="210" t="s">
        <v>1575</v>
      </c>
      <c r="C20" s="232">
        <f ca="1">ROUND((C5+C19)*F20,0)</f>
        <v>21004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36594</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7" t="s">
        <v>1472</v>
      </c>
      <c r="B23" s="215" t="s">
        <v>1583</v>
      </c>
      <c r="C23" s="1125">
        <f ca="1">ROUND(IF('数据-取费表'!B22&lt;=1,C5*F22*'数据-取费表'!B22,C5*(POWER((1+F22),'数据-取费表'!B22)-1)),0)</f>
        <v>18116</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18116</v>
      </c>
      <c r="D24" s="238"/>
      <c r="E24" s="238"/>
      <c r="F24" s="239"/>
      <c r="G24" s="240" t="s">
        <v>1586</v>
      </c>
    </row>
    <row r="25" spans="1:7" s="214" customFormat="1" ht="24">
      <c r="A25" s="777" t="s">
        <v>1476</v>
      </c>
      <c r="B25" s="215" t="s">
        <v>1587</v>
      </c>
      <c r="C25" s="1125">
        <f ca="1">ROUND(IF('数据-取费表'!B22&lt;=1,C20*F22*'数据-取费表'!B22/2,C20*(POWER((1+F22),'数据-取费表'!B22/2)-1)),0)</f>
        <v>362</v>
      </c>
      <c r="D25" s="238"/>
      <c r="E25" s="241"/>
      <c r="F25" s="239"/>
      <c r="G25" s="242" t="s">
        <v>1588</v>
      </c>
    </row>
    <row r="26" spans="1:7" s="214" customFormat="1">
      <c r="A26" s="777"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85698</v>
      </c>
      <c r="D27" s="235">
        <f ca="1">C29</f>
        <v>1.6000000000000001E-3</v>
      </c>
      <c r="E27" s="236" t="s">
        <v>1514</v>
      </c>
      <c r="F27" s="246">
        <f ca="1">IF(B1="",'数据-取费表'!Q16,INDIRECT("'数据-取费表'!q"&amp;$G$1))</f>
        <v>0.08</v>
      </c>
      <c r="G27" s="247" t="s">
        <v>1515</v>
      </c>
    </row>
    <row r="28" spans="1:7" s="214" customFormat="1" ht="13.5" customHeight="1">
      <c r="A28" s="777" t="s">
        <v>346</v>
      </c>
      <c r="B28" s="248" t="s">
        <v>1516</v>
      </c>
      <c r="C28" s="249">
        <f ca="1">ROUND((C5+C19+C20)*F27,0)</f>
        <v>85698</v>
      </c>
      <c r="D28" s="235"/>
      <c r="E28" s="236"/>
      <c r="F28" s="246"/>
      <c r="G28" s="247"/>
    </row>
    <row r="29" spans="1:7" s="214" customFormat="1" ht="13.5" customHeight="1">
      <c r="A29" s="777"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1289308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7417151</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6563850</v>
      </c>
      <c r="D34" s="217"/>
      <c r="E34" s="220"/>
      <c r="F34" s="257"/>
      <c r="G34" s="219"/>
    </row>
    <row r="35" spans="1:7" ht="13.5" customHeight="1">
      <c r="A35" s="777" t="s">
        <v>351</v>
      </c>
      <c r="B35" s="215" t="s">
        <v>1527</v>
      </c>
      <c r="C35" s="220">
        <f ca="1">ROUND(C34*F35,0)</f>
        <v>196916</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525108</v>
      </c>
      <c r="D37" s="217">
        <f ca="1">D19</f>
        <v>2625.54</v>
      </c>
      <c r="E37" s="249">
        <f>'数据-取费表'!B35</f>
        <v>200</v>
      </c>
      <c r="F37" s="259"/>
      <c r="G37" s="261"/>
    </row>
    <row r="38" spans="1:7" ht="13.5" customHeight="1">
      <c r="A38" s="777" t="s">
        <v>354</v>
      </c>
      <c r="B38" s="215" t="s">
        <v>1533</v>
      </c>
      <c r="C38" s="220">
        <f ca="1">ROUND(C34*F38,0)</f>
        <v>131277</v>
      </c>
      <c r="D38" s="220"/>
      <c r="E38" s="220"/>
      <c r="F38" s="259">
        <f>'数据-取费表'!B36</f>
        <v>0.02</v>
      </c>
      <c r="G38" s="219" t="s">
        <v>1528</v>
      </c>
    </row>
    <row r="39" spans="1:7" s="214" customFormat="1" ht="13.5" customHeight="1">
      <c r="A39" s="255" t="s">
        <v>1534</v>
      </c>
      <c r="B39" s="210" t="s">
        <v>1535</v>
      </c>
      <c r="C39" s="232">
        <f ca="1">ROUND(C33*F20,0)</f>
        <v>148343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130505</v>
      </c>
      <c r="D41" s="235">
        <f ca="1">C44</f>
        <v>2.9999999999999997E-4</v>
      </c>
      <c r="E41" s="236" t="s">
        <v>1539</v>
      </c>
      <c r="F41" s="237">
        <f ca="1">F22</f>
        <v>3.4500000000000003E-2</v>
      </c>
      <c r="G41" s="234" t="str">
        <f>IF('数据-取费表'!B22&lt;=1,"单利计息","复利计息")</f>
        <v>单利计息</v>
      </c>
    </row>
    <row r="42" spans="1:7" ht="13.5" customHeight="1">
      <c r="A42" s="777" t="s">
        <v>346</v>
      </c>
      <c r="B42" s="215" t="s">
        <v>1543</v>
      </c>
      <c r="C42" s="238">
        <f ca="1">ROUND(IF('数据-取费表'!B22&lt;=1,C33*F22*'数据-取费表'!B20/2,C33*(POWER((1+F22),'数据-取费表'!B20/2)-1)),0)</f>
        <v>127946</v>
      </c>
      <c r="D42" s="238"/>
      <c r="E42" s="238"/>
      <c r="F42" s="239"/>
      <c r="G42" s="3653" t="s">
        <v>1591</v>
      </c>
    </row>
    <row r="43" spans="1:7" ht="13.5" customHeight="1">
      <c r="A43" s="777" t="s">
        <v>347</v>
      </c>
      <c r="B43" s="215" t="s">
        <v>1545</v>
      </c>
      <c r="C43" s="238">
        <f ca="1">ROUND(IF('数据-取费表'!B22&lt;=1,C39*F22*'数据-取费表'!B20/2,C39*(POWER((1+F22),'数据-取费表'!B20/2)-1)),0)</f>
        <v>2559</v>
      </c>
      <c r="D43" s="238"/>
      <c r="E43" s="238"/>
      <c r="F43" s="239"/>
      <c r="G43" s="3654"/>
    </row>
    <row r="44" spans="1:7" ht="13.5" customHeight="1">
      <c r="A44" s="777" t="s">
        <v>348</v>
      </c>
      <c r="B44" s="215" t="s">
        <v>1546</v>
      </c>
      <c r="C44" s="238">
        <f ca="1">ROUND(IF('数据-取费表'!B22&lt;=1,C40*F22*'数据-取费表'!B20/2,C40*(POWER((1+F22),'数据-取费表'!B20/2)-1)),4)</f>
        <v>2.9999999999999997E-4</v>
      </c>
      <c r="D44" s="238"/>
      <c r="E44" s="238"/>
      <c r="F44" s="239"/>
      <c r="G44" s="3655"/>
    </row>
    <row r="45" spans="1:7" s="214" customFormat="1" ht="13.5" customHeight="1">
      <c r="A45" s="255" t="s">
        <v>1547</v>
      </c>
      <c r="B45" s="244" t="s">
        <v>1513</v>
      </c>
      <c r="C45" s="245">
        <f ca="1">C46</f>
        <v>605240</v>
      </c>
      <c r="D45" s="235">
        <f ca="1">C47</f>
        <v>1.6000000000000001E-3</v>
      </c>
      <c r="E45" s="236" t="s">
        <v>1539</v>
      </c>
      <c r="F45" s="246">
        <f ca="1">F27</f>
        <v>0.08</v>
      </c>
      <c r="G45" s="247" t="s">
        <v>1548</v>
      </c>
    </row>
    <row r="46" spans="1:7" s="214" customFormat="1" ht="13.5" customHeight="1">
      <c r="A46" s="777" t="s">
        <v>346</v>
      </c>
      <c r="B46" s="248" t="s">
        <v>1549</v>
      </c>
      <c r="C46" s="249">
        <f ca="1">ROUND((C33+C39)*F27,0)</f>
        <v>605240</v>
      </c>
      <c r="D46" s="263"/>
      <c r="E46" s="236"/>
      <c r="F46" s="246"/>
      <c r="G46" s="247"/>
    </row>
    <row r="47" spans="1:7" s="214" customFormat="1" ht="13.5" customHeight="1">
      <c r="A47" s="777"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8967526</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7353371</v>
      </c>
      <c r="D51" s="232"/>
      <c r="E51" s="232"/>
      <c r="F51" s="264"/>
      <c r="G51" s="234" t="s">
        <v>1560</v>
      </c>
    </row>
    <row r="52" spans="1:7" s="208" customFormat="1" ht="16.5" thickBot="1">
      <c r="A52" s="265" t="s">
        <v>1561</v>
      </c>
      <c r="B52" s="266"/>
      <c r="C52" s="267">
        <f ca="1">C31+C51</f>
        <v>8642679</v>
      </c>
      <c r="D52" s="266"/>
      <c r="E52" s="266"/>
      <c r="F52" s="266"/>
      <c r="G52" s="268"/>
    </row>
    <row r="55" spans="1:7" ht="15">
      <c r="B55" s="270" t="s">
        <v>1562</v>
      </c>
      <c r="C55" s="271"/>
    </row>
    <row r="56" spans="1:7">
      <c r="B56" s="273" t="s">
        <v>802</v>
      </c>
      <c r="C56" s="275">
        <f ca="1">1-C57</f>
        <v>0.14900000000000002</v>
      </c>
    </row>
    <row r="57" spans="1:7">
      <c r="B57" s="273" t="s">
        <v>803</v>
      </c>
      <c r="C57" s="274">
        <f ca="1">ROUND(C51/C52,3)</f>
        <v>0.85099999999999998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2625.54</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2625.54</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4"/>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53</v>
      </c>
      <c r="D20" s="843">
        <f ca="1">IF(C1="",'数据-汇总表'!E6,IF(INDIRECT("'数据-取费表'!c"&amp;$K$1)="住宅",INDIRECT("'数据-取费表'!s"&amp;$K$1),INDIRECT("'数据-取费表'!k"&amp;$K$1)+INDIRECT("'数据-取费表'!s"&amp;$K$1)))</f>
        <v>2625.54</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0.08</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J23" sqref="J2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1526</v>
      </c>
      <c r="C2" s="1995" t="s">
        <v>1935</v>
      </c>
      <c r="D2" s="1996" t="s">
        <v>1936</v>
      </c>
      <c r="E2" s="3418" t="s">
        <v>673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Ⅷ-密1</v>
      </c>
      <c r="J2" s="1998"/>
      <c r="K2" s="1116"/>
      <c r="L2" s="1999"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1.5418000000000001</v>
      </c>
      <c r="T2" s="3357">
        <f t="shared" ref="T2:T16" si="0">ROUND($C$5*$C$22*$C$23*$C$24*S2*$C$28,0)</f>
        <v>6588</v>
      </c>
      <c r="U2" s="1210">
        <f>Sheet1!N8+Sheet1!N9</f>
        <v>1274.9499999999998</v>
      </c>
      <c r="V2" s="3357">
        <f>ROUND(T2*U2/10000,0)</f>
        <v>840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5" t="s">
        <v>1941</v>
      </c>
      <c r="D3" s="1996" t="s">
        <v>1942</v>
      </c>
      <c r="E3" s="3416" t="s">
        <v>2452</v>
      </c>
      <c r="F3" s="2000" t="s">
        <v>3435</v>
      </c>
      <c r="G3" s="749">
        <f>IF(F3="宗地容积率",'数据-汇总表'!I4,IF(F3="估价对象容积率",'数据-汇总表'!I6,'数据-汇总表'!I7))</f>
        <v>2.5</v>
      </c>
      <c r="H3" s="170" t="s">
        <v>1943</v>
      </c>
      <c r="I3" s="772">
        <v>1</v>
      </c>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1.1883999999999999</v>
      </c>
      <c r="T3" s="3357">
        <f t="shared" si="0"/>
        <v>5078</v>
      </c>
      <c r="U3" s="1210">
        <f>Sheet1!N8+Sheet1!N9+Sheet1!M7</f>
        <v>1350.59</v>
      </c>
      <c r="V3" s="3357">
        <f t="shared" ref="V3:V16" si="1">ROUND(T3*U3/10000,0)</f>
        <v>686</v>
      </c>
      <c r="W3" s="1213"/>
      <c r="X3" s="1213"/>
      <c r="Y3" s="1213"/>
      <c r="Z3" s="1213"/>
      <c r="AA3" s="1213"/>
      <c r="AB3" s="1213"/>
      <c r="AC3" s="1214"/>
      <c r="AD3" s="1215"/>
      <c r="AE3" s="1215"/>
      <c r="AF3" s="1215"/>
      <c r="AG3" s="1215"/>
      <c r="AH3" s="1215"/>
      <c r="AI3" s="1215"/>
      <c r="AJ3" s="1216"/>
    </row>
    <row r="4" spans="1:36" ht="15.75">
      <c r="A4" s="3663"/>
      <c r="B4" s="3664"/>
      <c r="C4" s="3664"/>
      <c r="D4" s="3665"/>
      <c r="E4" s="3665"/>
      <c r="F4" s="3665"/>
      <c r="G4" s="3665"/>
      <c r="H4" s="3665"/>
      <c r="I4" s="3665"/>
      <c r="J4" s="3666"/>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0.96940000000000004</v>
      </c>
      <c r="T4" s="3357">
        <f t="shared" si="0"/>
        <v>4142</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f>ROUND(IF(E2="商业",C6*C7*C17+C20,(IF(E2="住宅",C6*C13*C17+C20,IF(E2="办公",C6*C12*C17+C20,C6+C20)))),0)</f>
        <v>6870</v>
      </c>
      <c r="D5" s="1336">
        <f>ROUND(C6*C17+C20,0)</f>
        <v>6870</v>
      </c>
      <c r="E5" s="1336"/>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0.82299999999999995</v>
      </c>
      <c r="T5" s="3357">
        <f t="shared" si="0"/>
        <v>3517</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6850</v>
      </c>
      <c r="D6" s="2013"/>
      <c r="E6" s="2014"/>
      <c r="F6" s="2014"/>
      <c r="G6" s="2015"/>
      <c r="H6" s="2015"/>
      <c r="I6" s="2015"/>
      <c r="J6" s="2016"/>
      <c r="K6" s="1381"/>
      <c r="L6" s="1999"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0.74980000000000002</v>
      </c>
      <c r="T6" s="3357">
        <f t="shared" si="0"/>
        <v>3204</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3240</v>
      </c>
      <c r="B7" s="2017" t="s">
        <v>1952</v>
      </c>
      <c r="C7" s="752">
        <f>IF(C8="不临65条商业街",1,ROUND(1+(1.6*E8+1.2*E9+0.8*E10+0.4*E11)*C9,4))</f>
        <v>1</v>
      </c>
      <c r="D7" s="2018" t="s">
        <v>1953</v>
      </c>
      <c r="E7" s="773"/>
      <c r="F7" s="2019"/>
      <c r="G7" s="2020"/>
      <c r="H7" s="2020"/>
      <c r="I7" s="2020"/>
      <c r="J7" s="2021"/>
      <c r="K7" s="1381"/>
      <c r="L7" s="1999"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f t="shared" si="0"/>
        <v>0</v>
      </c>
      <c r="U7" s="1210"/>
      <c r="V7" s="3357">
        <f t="shared" si="1"/>
        <v>0</v>
      </c>
      <c r="W7" s="1355" t="s">
        <v>1955</v>
      </c>
      <c r="X7" s="1211" t="str">
        <f>G2</f>
        <v>八级</v>
      </c>
      <c r="Y7" s="1211" t="s">
        <v>1956</v>
      </c>
      <c r="Z7" s="1212">
        <f>G3</f>
        <v>2.5</v>
      </c>
      <c r="AA7" s="1213"/>
      <c r="AB7" s="1213"/>
      <c r="AC7" s="1214"/>
      <c r="AD7" s="1215"/>
      <c r="AE7" s="1215"/>
      <c r="AF7" s="1215"/>
      <c r="AG7" s="1215"/>
      <c r="AH7" s="1215"/>
      <c r="AI7" s="1215"/>
      <c r="AJ7" s="1216"/>
    </row>
    <row r="8" spans="1:36" ht="25.5">
      <c r="A8" s="3295"/>
      <c r="B8" s="170" t="s">
        <v>1957</v>
      </c>
      <c r="C8" s="2022" t="s">
        <v>3456</v>
      </c>
      <c r="D8" s="753" t="s">
        <v>112</v>
      </c>
      <c r="E8" s="754" t="e">
        <f>ROUND(C11/E7,4)</f>
        <v>#DIV/0!</v>
      </c>
      <c r="F8" s="2023" t="s">
        <v>1958</v>
      </c>
      <c r="G8" s="2024"/>
      <c r="H8" s="2024"/>
      <c r="I8" s="2024"/>
      <c r="J8" s="2025"/>
      <c r="K8" s="1116"/>
      <c r="L8" s="1999" t="s">
        <v>1959</v>
      </c>
      <c r="M8" s="861">
        <f>SUMPRODUCT((区片价!B234:B276=I2)*(区片价!C3:G3=E2)*(区片价!C234:G276))</f>
        <v>6850</v>
      </c>
      <c r="N8" s="863">
        <f>SUMPRODUCT((因素修正幅度!B234:B276=I2)*(因素修正幅度!C3:G3=E2)*(因素修正幅度!C234:G276))</f>
        <v>0.1</v>
      </c>
      <c r="O8" s="1116"/>
      <c r="P8" s="1116"/>
      <c r="Q8" s="1116"/>
      <c r="R8" s="1209">
        <v>7</v>
      </c>
      <c r="S8" s="1210"/>
      <c r="T8" s="3357">
        <f t="shared" si="0"/>
        <v>0</v>
      </c>
      <c r="U8" s="1210"/>
      <c r="V8" s="3357">
        <f t="shared" si="1"/>
        <v>0</v>
      </c>
      <c r="W8" s="3660" t="s">
        <v>1960</v>
      </c>
      <c r="X8" s="3661"/>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f t="shared" si="0"/>
        <v>0</v>
      </c>
      <c r="U9" s="1210"/>
      <c r="V9" s="3357">
        <f t="shared" si="1"/>
        <v>0</v>
      </c>
      <c r="W9" s="3662"/>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66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3245</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7" t="s">
        <v>1987</v>
      </c>
      <c r="E14" s="27" t="s">
        <v>1988</v>
      </c>
      <c r="F14" s="3308" t="s">
        <v>3246</v>
      </c>
      <c r="G14" s="3308" t="s">
        <v>3246</v>
      </c>
      <c r="H14" s="3308" t="s">
        <v>3246</v>
      </c>
      <c r="I14" s="3308" t="s">
        <v>3246</v>
      </c>
      <c r="J14" s="3308" t="s">
        <v>3246</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3247</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3251</v>
      </c>
      <c r="E18" s="3325"/>
      <c r="F18" s="3320" t="s">
        <v>3254</v>
      </c>
      <c r="G18" s="3324">
        <f>ROUND(1-(1/(POWER(1+G24,E18))),4)</f>
        <v>0</v>
      </c>
      <c r="H18" s="3320" t="s">
        <v>3256</v>
      </c>
      <c r="I18" s="3324">
        <f>ROUND(1-(1/(POWER(1+G24,J24))),4)</f>
        <v>0.88249999999999995</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3252</v>
      </c>
      <c r="E19" s="3334"/>
      <c r="F19" s="3335" t="s">
        <v>3255</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667" t="s">
        <v>3257</v>
      </c>
      <c r="B20" s="167" t="s">
        <v>1994</v>
      </c>
      <c r="C20" s="3321">
        <f>ROUND(IF(F21="与级别开发程度一致",0,(G21-E21)/C21),0)</f>
        <v>20</v>
      </c>
      <c r="D20" s="3337" t="s">
        <v>1998</v>
      </c>
      <c r="E20" s="3338"/>
      <c r="F20" s="3673" t="s">
        <v>1995</v>
      </c>
      <c r="G20" s="3674"/>
      <c r="H20" s="3322" t="s">
        <v>3448</v>
      </c>
      <c r="I20" s="3322" t="s">
        <v>3449</v>
      </c>
      <c r="J20" s="3323" t="s">
        <v>3450</v>
      </c>
      <c r="K20" s="2043" t="s">
        <v>3451</v>
      </c>
      <c r="L20" s="2043" t="s">
        <v>3452</v>
      </c>
      <c r="M20" s="2043" t="s">
        <v>3453</v>
      </c>
      <c r="N20" s="2043" t="s">
        <v>3454</v>
      </c>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668"/>
      <c r="B21" s="2160" t="s">
        <v>1997</v>
      </c>
      <c r="C21" s="2161">
        <f>IF(E3="M4科研用地",SUMPRODUCT((修正!A2:A7=E3)*(修正!B1:M1=G2)*(修正!B2:M7)),SUMPRODUCT((修正!A2:A7=E2)*(修正!B1:M1=G2)*(修正!B2:M7)))</f>
        <v>2</v>
      </c>
      <c r="D21" s="187" t="str">
        <f>IF(OR(G2="八级",G2="九级",G2="十级",G2="十一级",G2="十二级"),"五通一平","七通一平")</f>
        <v>五通一平</v>
      </c>
      <c r="E21" s="2151">
        <f>SUMPRODUCT((修正!B1:M1=G2)*(修正!B17:M17))</f>
        <v>185</v>
      </c>
      <c r="F21" s="2152" t="s">
        <v>3455</v>
      </c>
      <c r="G21" s="2153">
        <f>SUM(H21:O21)</f>
        <v>225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40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0.8</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50" t="s">
        <v>2002</v>
      </c>
      <c r="E23" s="758">
        <v>44197</v>
      </c>
      <c r="F23" s="2050" t="s">
        <v>2003</v>
      </c>
      <c r="G23" s="759">
        <f>'数据-取费表'!B2</f>
        <v>45483</v>
      </c>
      <c r="H23" s="3339" t="s">
        <v>3258</v>
      </c>
      <c r="I23" s="3340" t="str">
        <f>IF(H23="季度增幅（自定义）",SUMIF(N25:N28,E2,O25:O28),"")</f>
        <v/>
      </c>
      <c r="J23" s="3442" t="s">
        <v>3457</v>
      </c>
      <c r="K23" s="1122"/>
      <c r="L23" s="2051" t="s">
        <v>2004</v>
      </c>
      <c r="M23" s="1325">
        <f>ROUND(SUMIF(地价!B2:G2,E2,地价!B16:G16),0)</f>
        <v>350</v>
      </c>
      <c r="N23" s="2052" t="s">
        <v>2005</v>
      </c>
      <c r="O23" s="760">
        <f>ROUNDDOWN(DATEDIF(E23,G23,"M")/3,0)</f>
        <v>14</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0.72840000000000005</v>
      </c>
      <c r="D24" s="2056" t="s">
        <v>2007</v>
      </c>
      <c r="E24" s="1332">
        <f>存贷款利率!E24/100</f>
        <v>4.3499999999999997E-2</v>
      </c>
      <c r="F24" s="2056" t="s">
        <v>1999</v>
      </c>
      <c r="G24" s="765">
        <f>SUMIF(M30:Q30,E2,M33:Q33)</f>
        <v>5.5E-2</v>
      </c>
      <c r="H24" s="2056" t="s">
        <v>2008</v>
      </c>
      <c r="I24" s="766">
        <f>SUMIF('数据-取费表'!C6:C15,E2,'数据-取费表'!F6:F15)/COUNTIF('数据-取费表'!C6:C15,E2)</f>
        <v>19.23</v>
      </c>
      <c r="J24" s="767">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3447</v>
      </c>
      <c r="C25" s="768">
        <f>IF(B25="容积率修正",IF(G3&lt;10,D26,J26),C27)</f>
        <v>1.5418000000000001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3259</v>
      </c>
      <c r="D26" s="1349">
        <f>IF(E26=G26,F26,IF(G3&lt;10,ROUND(F26+(H26-F26)*(G3-E26)/(G26-E26),4),"——"))</f>
        <v>0.94620000000000004</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1" t="s">
        <v>3260</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1.5418000000000001</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1.02</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1526</v>
      </c>
      <c r="D30" s="2079"/>
      <c r="E30" s="2042"/>
      <c r="F30" s="2080"/>
      <c r="G30" s="2042"/>
      <c r="H30" s="2042"/>
      <c r="I30" s="2042"/>
      <c r="J30" s="2081"/>
      <c r="K30" s="1116"/>
      <c r="L30" s="3347" t="s">
        <v>1936</v>
      </c>
      <c r="M30" s="3348" t="s">
        <v>1990</v>
      </c>
      <c r="N30" s="3348" t="s">
        <v>1991</v>
      </c>
      <c r="O30" s="3348" t="s">
        <v>1992</v>
      </c>
      <c r="P30" s="3348" t="s">
        <v>1993</v>
      </c>
      <c r="Q30" s="3351" t="s">
        <v>3264</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6588</v>
      </c>
      <c r="D33" s="2094"/>
      <c r="E33" s="770">
        <f>ROUND(C33*D33/10000,0)</f>
        <v>0</v>
      </c>
      <c r="F33" s="3342" t="s">
        <v>3262</v>
      </c>
      <c r="G33" s="2095"/>
      <c r="H33" s="2095"/>
      <c r="I33" s="2095"/>
      <c r="J33" s="2096"/>
      <c r="K33" s="1116"/>
      <c r="L33" s="3345" t="s">
        <v>3265</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f>ROUND(IF(B25="楼层修正",SUM(V2:V16)*M40,C34*D34/10000),0)</f>
        <v>0</v>
      </c>
      <c r="F34" s="2100" t="s">
        <v>2032</v>
      </c>
      <c r="G34" s="2101"/>
      <c r="H34" s="2101"/>
      <c r="I34" s="2101"/>
      <c r="J34" s="2102"/>
      <c r="K34" s="1116"/>
      <c r="L34" s="3345" t="s">
        <v>3266</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3263</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3267</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671"/>
      <c r="B37" s="2109" t="s">
        <v>2036</v>
      </c>
      <c r="C37" s="175">
        <f>ROUND(D5*C22*C23*C24*C28*F37,0)</f>
        <v>2137</v>
      </c>
      <c r="D37" s="2094"/>
      <c r="E37" s="171">
        <f>ROUND(C37*D37/10000,0)</f>
        <v>0</v>
      </c>
      <c r="F37" s="171">
        <f>SUMIF(修正!A57:A68,G2,修正!B57:B68)</f>
        <v>0.5</v>
      </c>
      <c r="G37" s="171">
        <f>ROUND(IF(E2="工业",C37*$M$42,C37*$M$41),0)</f>
        <v>534</v>
      </c>
      <c r="H37" s="171">
        <f>D37</f>
        <v>0</v>
      </c>
      <c r="I37" s="171">
        <f>ROUND(G37*H37/10000,0)</f>
        <v>0</v>
      </c>
      <c r="J37" s="3008"/>
      <c r="K37" s="3355" t="s">
        <v>3268</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672"/>
      <c r="B38" s="2037" t="s">
        <v>2037</v>
      </c>
      <c r="C38" s="175">
        <f>ROUND(D5*C22*C23*C24*C28*F38,0)</f>
        <v>855</v>
      </c>
      <c r="D38" s="2094"/>
      <c r="E38" s="171">
        <f t="shared" ref="E38:E42" si="4">ROUND(C38*D38/10000,0)</f>
        <v>0</v>
      </c>
      <c r="F38" s="171">
        <f>SUMIF(修正!A57:A68,G2,修正!C57:C68)</f>
        <v>0.2</v>
      </c>
      <c r="G38" s="171">
        <f>ROUND(IF(E2="工业",C38*$M$42,C38*$M$41),0)</f>
        <v>214</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672"/>
      <c r="B39" s="2037" t="s">
        <v>3261</v>
      </c>
      <c r="C39" s="175">
        <f>ROUND(D5*C22*C23*C24*C28*F39,0)</f>
        <v>855</v>
      </c>
      <c r="D39" s="2094"/>
      <c r="E39" s="171">
        <f t="shared" si="4"/>
        <v>0</v>
      </c>
      <c r="F39" s="171">
        <f>SUMIF(修正!A57:A68,G2,修正!D57:D68)</f>
        <v>0.2</v>
      </c>
      <c r="G39" s="171">
        <f>ROUND(IF(E2="工业",C39*$M$42,C39*$M$41),0)</f>
        <v>214</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855</v>
      </c>
      <c r="D40" s="2094"/>
      <c r="E40" s="171">
        <f t="shared" si="4"/>
        <v>0</v>
      </c>
      <c r="F40" s="175">
        <f>SUMIF(修正!A57:A68,G2,修正!E57:E68)</f>
        <v>0.2</v>
      </c>
      <c r="G40" s="171">
        <f>ROUND(IF(E2="工业",C40*$M$42,C40*$M$41),0)</f>
        <v>214</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3269</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4">
        <f>SUMIF(修正!A57:A68,G2,修正!G57:G68)</f>
        <v>0.1</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1.02</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8" t="s">
        <v>2045</v>
      </c>
      <c r="C49" s="1348" t="s">
        <v>2046</v>
      </c>
      <c r="D49" s="1348" t="s">
        <v>2047</v>
      </c>
      <c r="E49" s="740" t="s">
        <v>2048</v>
      </c>
      <c r="F49" s="2127" t="s">
        <v>2049</v>
      </c>
      <c r="G49" s="1348" t="s">
        <v>310</v>
      </c>
      <c r="H49" s="2128"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3436</v>
      </c>
      <c r="D50" s="1062">
        <f t="shared" ref="D50:D58" si="7">SUMIF($J$49:$N$49,C50,J50:N50)</f>
        <v>0</v>
      </c>
      <c r="E50" s="741">
        <f>ROUND(SUM(D50:D58),4)</f>
        <v>0.02</v>
      </c>
      <c r="F50" s="1810">
        <f>IF(E2="商业",SUMIF(L1:L12,G2,N1:N12),"——")</f>
        <v>0.1</v>
      </c>
      <c r="G50" s="1060">
        <f>H50</f>
        <v>1.4999999999999999E-2</v>
      </c>
      <c r="H50" s="1063">
        <f t="shared" ref="H50:H58" si="8">IFERROR(ROUNDDOWN($F$50*I50/2,4),"——")</f>
        <v>1.4999999999999999E-2</v>
      </c>
      <c r="I50" s="3363">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3436</v>
      </c>
      <c r="D51" s="1062">
        <f t="shared" si="7"/>
        <v>0</v>
      </c>
      <c r="E51" s="742"/>
      <c r="F51" s="1810"/>
      <c r="G51" s="1060">
        <f t="shared" ref="G51:G58" si="12">H51</f>
        <v>1.0999999999999999E-2</v>
      </c>
      <c r="H51" s="1063">
        <f t="shared" si="8"/>
        <v>1.0999999999999999E-2</v>
      </c>
      <c r="I51" s="3363">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5" t="s">
        <v>3271</v>
      </c>
      <c r="B52" s="2130">
        <f>估价对象房地状况!C19</f>
        <v>0</v>
      </c>
      <c r="C52" s="2040" t="s">
        <v>3424</v>
      </c>
      <c r="D52" s="1062">
        <f t="shared" si="7"/>
        <v>6.0000000000000001E-3</v>
      </c>
      <c r="E52" s="742"/>
      <c r="F52" s="1810"/>
      <c r="G52" s="1060">
        <f t="shared" si="12"/>
        <v>6.0000000000000001E-3</v>
      </c>
      <c r="H52" s="1063">
        <f t="shared" si="8"/>
        <v>6.0000000000000001E-3</v>
      </c>
      <c r="I52" s="3363">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6" t="s">
        <v>2054</v>
      </c>
      <c r="B53" s="2131" t="s">
        <v>2055</v>
      </c>
      <c r="C53" s="2040" t="s">
        <v>3424</v>
      </c>
      <c r="D53" s="1062">
        <f t="shared" si="7"/>
        <v>2.5000000000000001E-3</v>
      </c>
      <c r="E53" s="742"/>
      <c r="F53" s="1810"/>
      <c r="G53" s="1060">
        <f t="shared" si="12"/>
        <v>2.5000000000000001E-3</v>
      </c>
      <c r="H53" s="1063">
        <f t="shared" si="8"/>
        <v>2.5000000000000001E-3</v>
      </c>
      <c r="I53" s="3363">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3437</v>
      </c>
      <c r="D54" s="1062">
        <f t="shared" si="7"/>
        <v>-4.0000000000000001E-3</v>
      </c>
      <c r="E54" s="742"/>
      <c r="F54" s="1810"/>
      <c r="G54" s="1060">
        <f t="shared" si="12"/>
        <v>4.0000000000000001E-3</v>
      </c>
      <c r="H54" s="1063">
        <f t="shared" si="8"/>
        <v>4.0000000000000001E-3</v>
      </c>
      <c r="I54" s="3363">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6" t="s">
        <v>2057</v>
      </c>
      <c r="B55" s="2132" t="s">
        <v>2058</v>
      </c>
      <c r="C55" s="2040" t="s">
        <v>3424</v>
      </c>
      <c r="D55" s="1062">
        <f t="shared" si="7"/>
        <v>2.5000000000000001E-3</v>
      </c>
      <c r="E55" s="742"/>
      <c r="F55" s="1810"/>
      <c r="G55" s="1060">
        <f t="shared" si="12"/>
        <v>2.5000000000000001E-3</v>
      </c>
      <c r="H55" s="1063">
        <f t="shared" si="8"/>
        <v>2.5000000000000001E-3</v>
      </c>
      <c r="I55" s="3363">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3424</v>
      </c>
      <c r="D56" s="1062">
        <f t="shared" si="7"/>
        <v>2.5000000000000001E-3</v>
      </c>
      <c r="E56" s="742"/>
      <c r="F56" s="1810"/>
      <c r="G56" s="1060">
        <f t="shared" si="12"/>
        <v>2.5000000000000001E-3</v>
      </c>
      <c r="H56" s="1063">
        <f t="shared" si="8"/>
        <v>2.5000000000000001E-3</v>
      </c>
      <c r="I56" s="3363">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3438</v>
      </c>
      <c r="D57" s="1062">
        <f t="shared" si="7"/>
        <v>8.0000000000000002E-3</v>
      </c>
      <c r="E57" s="742"/>
      <c r="F57" s="1810"/>
      <c r="G57" s="1060">
        <f t="shared" si="12"/>
        <v>4.0000000000000001E-3</v>
      </c>
      <c r="H57" s="1063">
        <f t="shared" si="8"/>
        <v>4.0000000000000001E-3</v>
      </c>
      <c r="I57" s="3363">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3424</v>
      </c>
      <c r="D58" s="1062">
        <f t="shared" si="7"/>
        <v>2.5000000000000001E-3</v>
      </c>
      <c r="E58" s="743"/>
      <c r="F58" s="1810"/>
      <c r="G58" s="1060">
        <f t="shared" si="12"/>
        <v>2.5000000000000001E-3</v>
      </c>
      <c r="H58" s="1063">
        <f t="shared" si="8"/>
        <v>2.5000000000000001E-3</v>
      </c>
      <c r="I58" s="3364">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0" t="s">
        <v>2048</v>
      </c>
      <c r="F60" s="2127" t="s">
        <v>2063</v>
      </c>
      <c r="G60" s="1348" t="s">
        <v>310</v>
      </c>
      <c r="H60" s="2128"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3">SUMIF($J$60:$N$60,C61,J61:N61)</f>
        <v>0</v>
      </c>
      <c r="E61" s="741">
        <f>ROUND(SUM(D61:D69),4)</f>
        <v>0</v>
      </c>
      <c r="F61" s="1810" t="str">
        <f>IF(E2="办公",SUMIF(L1:L12,G2,N1:N12),"——")</f>
        <v>——</v>
      </c>
      <c r="G61" s="1060"/>
      <c r="H61" s="1063" t="str">
        <f t="shared" ref="H61:H69" si="14">IFERROR(ROUNDDOWN($F$61*I61/2,4),"——")</f>
        <v>——</v>
      </c>
      <c r="I61" s="3363">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3"/>
        <v>0</v>
      </c>
      <c r="E62" s="742"/>
      <c r="F62" s="1810"/>
      <c r="G62" s="1060"/>
      <c r="H62" s="1063" t="str">
        <f t="shared" si="14"/>
        <v>——</v>
      </c>
      <c r="I62" s="3363">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5" t="s">
        <v>3271</v>
      </c>
      <c r="B63" s="2130">
        <f>估价对象房地状况!C19</f>
        <v>0</v>
      </c>
      <c r="C63" s="2040"/>
      <c r="D63" s="1062">
        <f t="shared" si="13"/>
        <v>0</v>
      </c>
      <c r="E63" s="742"/>
      <c r="F63" s="1810"/>
      <c r="G63" s="1060"/>
      <c r="H63" s="1063" t="str">
        <f t="shared" si="14"/>
        <v>——</v>
      </c>
      <c r="I63" s="3363">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3"/>
        <v>0</v>
      </c>
      <c r="E64" s="742"/>
      <c r="F64" s="1810"/>
      <c r="G64" s="1060"/>
      <c r="H64" s="1063" t="str">
        <f t="shared" si="14"/>
        <v>——</v>
      </c>
      <c r="I64" s="3363">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3"/>
        <v>0</v>
      </c>
      <c r="E65" s="742"/>
      <c r="F65" s="1810"/>
      <c r="G65" s="1060"/>
      <c r="H65" s="1063" t="str">
        <f t="shared" si="14"/>
        <v>——</v>
      </c>
      <c r="I65" s="3363">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3"/>
        <v>0</v>
      </c>
      <c r="E66" s="742"/>
      <c r="F66" s="1810"/>
      <c r="G66" s="1060"/>
      <c r="H66" s="1063" t="str">
        <f t="shared" si="14"/>
        <v>——</v>
      </c>
      <c r="I66" s="3363">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3"/>
        <v>0</v>
      </c>
      <c r="E67" s="742"/>
      <c r="F67" s="1810"/>
      <c r="G67" s="1060"/>
      <c r="H67" s="1063" t="str">
        <f t="shared" si="14"/>
        <v>——</v>
      </c>
      <c r="I67" s="3363">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3"/>
        <v>0</v>
      </c>
      <c r="E68" s="742"/>
      <c r="F68" s="1810"/>
      <c r="G68" s="1060"/>
      <c r="H68" s="1063" t="str">
        <f t="shared" si="14"/>
        <v>——</v>
      </c>
      <c r="I68" s="3363">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3"/>
        <v>0</v>
      </c>
      <c r="E69" s="743"/>
      <c r="F69" s="1810"/>
      <c r="G69" s="1060"/>
      <c r="H69" s="1063" t="str">
        <f t="shared" si="14"/>
        <v>——</v>
      </c>
      <c r="I69" s="3364">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0" t="s">
        <v>2048</v>
      </c>
      <c r="F71" s="2127" t="s">
        <v>2063</v>
      </c>
      <c r="G71" s="1348" t="s">
        <v>310</v>
      </c>
      <c r="H71" s="2128"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8">SUMIF($J$71:$N$71,C72,J72:N72)</f>
        <v>0</v>
      </c>
      <c r="E72" s="741">
        <f>ROUND(SUM(D72:D80),4)</f>
        <v>0</v>
      </c>
      <c r="F72" s="1810" t="str">
        <f>IF(E2="住宅",SUMIF(L1:L12,G2,N1:N12),"——")</f>
        <v>——</v>
      </c>
      <c r="G72" s="1060"/>
      <c r="H72" s="1063" t="str">
        <f t="shared" ref="H72:H80" si="19">IFERROR(ROUNDDOWN($F$72*I72/2,4),"——")</f>
        <v>——</v>
      </c>
      <c r="I72" s="3363">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8"/>
        <v>0</v>
      </c>
      <c r="E73" s="744"/>
      <c r="F73" s="1810"/>
      <c r="G73" s="1060"/>
      <c r="H73" s="1063" t="str">
        <f t="shared" si="19"/>
        <v>——</v>
      </c>
      <c r="I73" s="3363">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3" customFormat="1" ht="36">
      <c r="A74" s="3365" t="s">
        <v>3271</v>
      </c>
      <c r="B74" s="2130">
        <f>估价对象房地状况!C19</f>
        <v>0</v>
      </c>
      <c r="C74" s="2040"/>
      <c r="D74" s="1062">
        <f t="shared" si="18"/>
        <v>0</v>
      </c>
      <c r="E74" s="744"/>
      <c r="F74" s="1810"/>
      <c r="G74" s="1060"/>
      <c r="H74" s="1063" t="str">
        <f t="shared" si="19"/>
        <v>——</v>
      </c>
      <c r="I74" s="3363">
        <v>0.1</v>
      </c>
      <c r="J74" s="1061">
        <f t="shared" si="20"/>
        <v>0</v>
      </c>
      <c r="K74" s="1061">
        <f t="shared" si="21"/>
        <v>0</v>
      </c>
      <c r="L74" s="1061">
        <v>0</v>
      </c>
      <c r="M74" s="1061">
        <f t="shared" si="22"/>
        <v>0</v>
      </c>
      <c r="N74" s="1061">
        <f t="shared" si="22"/>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8"/>
        <v>0</v>
      </c>
      <c r="E75" s="744"/>
      <c r="F75" s="1810"/>
      <c r="G75" s="1060"/>
      <c r="H75" s="1063" t="str">
        <f t="shared" si="19"/>
        <v>——</v>
      </c>
      <c r="I75" s="3363">
        <v>0.05</v>
      </c>
      <c r="J75" s="1061">
        <f t="shared" si="20"/>
        <v>0</v>
      </c>
      <c r="K75" s="1061">
        <f t="shared" si="21"/>
        <v>0</v>
      </c>
      <c r="L75" s="1061">
        <v>0</v>
      </c>
      <c r="M75" s="1061">
        <f t="shared" si="22"/>
        <v>0</v>
      </c>
      <c r="N75" s="1061">
        <f t="shared" si="22"/>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8"/>
        <v>0</v>
      </c>
      <c r="E76" s="744"/>
      <c r="F76" s="1810"/>
      <c r="G76" s="1060"/>
      <c r="H76" s="1063" t="str">
        <f t="shared" si="19"/>
        <v>——</v>
      </c>
      <c r="I76" s="3363">
        <v>0.08</v>
      </c>
      <c r="J76" s="1061">
        <f t="shared" si="20"/>
        <v>0</v>
      </c>
      <c r="K76" s="1061">
        <f t="shared" si="21"/>
        <v>0</v>
      </c>
      <c r="L76" s="1061">
        <v>0</v>
      </c>
      <c r="M76" s="1061">
        <f t="shared" si="22"/>
        <v>0</v>
      </c>
      <c r="N76" s="1061">
        <f t="shared" si="22"/>
        <v>0</v>
      </c>
      <c r="O76" s="1116"/>
      <c r="P76" s="1116"/>
      <c r="Z76" s="1994"/>
      <c r="AA76" s="2049"/>
      <c r="AG76" s="1118"/>
      <c r="AK76" s="2049"/>
    </row>
    <row r="77" spans="1:37" ht="25.5">
      <c r="A77" s="2126" t="s">
        <v>2060</v>
      </c>
      <c r="B77" s="1323" t="str">
        <f>估价对象房地状况!C22</f>
        <v>估价对象所在区域基础设施水平</v>
      </c>
      <c r="C77" s="2040"/>
      <c r="D77" s="1062">
        <f t="shared" si="18"/>
        <v>0</v>
      </c>
      <c r="E77" s="744"/>
      <c r="F77" s="1810"/>
      <c r="G77" s="1060"/>
      <c r="H77" s="1063" t="str">
        <f t="shared" si="19"/>
        <v>——</v>
      </c>
      <c r="I77" s="3363">
        <v>0.09</v>
      </c>
      <c r="J77" s="1061">
        <f t="shared" si="20"/>
        <v>0</v>
      </c>
      <c r="K77" s="1061">
        <f t="shared" si="21"/>
        <v>0</v>
      </c>
      <c r="L77" s="1061">
        <v>0</v>
      </c>
      <c r="M77" s="1061">
        <f t="shared" si="22"/>
        <v>0</v>
      </c>
      <c r="N77" s="1061">
        <f t="shared" si="22"/>
        <v>0</v>
      </c>
      <c r="O77" s="1116"/>
      <c r="P77" s="1116"/>
      <c r="Z77" s="1994"/>
      <c r="AA77" s="2049"/>
      <c r="AG77" s="1118"/>
      <c r="AK77" s="2049"/>
    </row>
    <row r="78" spans="1:37" ht="24">
      <c r="A78" s="2126" t="s">
        <v>2057</v>
      </c>
      <c r="B78" s="2132" t="s">
        <v>2058</v>
      </c>
      <c r="C78" s="2040"/>
      <c r="D78" s="1062">
        <f t="shared" si="18"/>
        <v>0</v>
      </c>
      <c r="E78" s="744"/>
      <c r="F78" s="1810"/>
      <c r="G78" s="1060"/>
      <c r="H78" s="1063" t="str">
        <f t="shared" si="19"/>
        <v>——</v>
      </c>
      <c r="I78" s="3363">
        <v>0.05</v>
      </c>
      <c r="J78" s="1061">
        <f t="shared" si="20"/>
        <v>0</v>
      </c>
      <c r="K78" s="1061">
        <f t="shared" si="21"/>
        <v>0</v>
      </c>
      <c r="L78" s="1061">
        <v>0</v>
      </c>
      <c r="M78" s="1061">
        <f t="shared" si="22"/>
        <v>0</v>
      </c>
      <c r="N78" s="1061">
        <f t="shared" si="22"/>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8"/>
        <v>0</v>
      </c>
      <c r="E79" s="744"/>
      <c r="F79" s="1810"/>
      <c r="G79" s="1060"/>
      <c r="H79" s="1063" t="str">
        <f t="shared" si="19"/>
        <v>——</v>
      </c>
      <c r="I79" s="3363">
        <v>0.12</v>
      </c>
      <c r="J79" s="1061">
        <f t="shared" si="20"/>
        <v>0</v>
      </c>
      <c r="K79" s="1061">
        <f t="shared" si="21"/>
        <v>0</v>
      </c>
      <c r="L79" s="1061">
        <v>0</v>
      </c>
      <c r="M79" s="1061">
        <f t="shared" si="22"/>
        <v>0</v>
      </c>
      <c r="N79" s="1061">
        <f t="shared" si="22"/>
        <v>0</v>
      </c>
      <c r="Z79" s="1994"/>
      <c r="AA79" s="2049"/>
      <c r="AG79" s="1118"/>
      <c r="AK79" s="2049"/>
    </row>
    <row r="80" spans="1:37" ht="24.75" thickBot="1">
      <c r="A80" s="2134" t="s">
        <v>2068</v>
      </c>
      <c r="B80" s="2138"/>
      <c r="C80" s="2040"/>
      <c r="D80" s="1062">
        <f t="shared" si="18"/>
        <v>0</v>
      </c>
      <c r="E80" s="745"/>
      <c r="F80" s="1810"/>
      <c r="G80" s="1060"/>
      <c r="H80" s="1063" t="str">
        <f t="shared" si="19"/>
        <v>——</v>
      </c>
      <c r="I80" s="3364">
        <v>0.05</v>
      </c>
      <c r="J80" s="1061">
        <f t="shared" si="20"/>
        <v>0</v>
      </c>
      <c r="K80" s="1061">
        <f t="shared" si="21"/>
        <v>0</v>
      </c>
      <c r="L80" s="1061">
        <v>0</v>
      </c>
      <c r="M80" s="1061">
        <f t="shared" si="22"/>
        <v>0</v>
      </c>
      <c r="N80" s="1061">
        <f t="shared" si="22"/>
        <v>0</v>
      </c>
      <c r="Z80" s="1994"/>
      <c r="AA80" s="2049"/>
      <c r="AG80" s="1118"/>
      <c r="AK80" s="2049"/>
    </row>
    <row r="81" spans="1:37" ht="15">
      <c r="A81" s="2122" t="s">
        <v>2069</v>
      </c>
      <c r="B81" s="2123" t="e">
        <f>1+E83</f>
        <v>#VALUE!</v>
      </c>
      <c r="C81" s="738"/>
      <c r="D81" s="738"/>
      <c r="E81" s="739"/>
      <c r="F81" s="2125"/>
      <c r="G81" s="3"/>
      <c r="H81" s="3"/>
      <c r="I81" s="3"/>
      <c r="J81" s="4"/>
      <c r="K81" s="4"/>
      <c r="L81" s="4"/>
      <c r="M81" s="4"/>
      <c r="N81" s="4"/>
      <c r="Z81" s="1994"/>
      <c r="AA81" s="2049"/>
      <c r="AG81" s="1118"/>
      <c r="AK81" s="2049"/>
    </row>
    <row r="82" spans="1:37" ht="24.75">
      <c r="A82" s="2126" t="s">
        <v>2044</v>
      </c>
      <c r="B82" s="1348"/>
      <c r="C82" s="1348" t="s">
        <v>2046</v>
      </c>
      <c r="D82" s="1348" t="s">
        <v>2047</v>
      </c>
      <c r="E82" s="740" t="s">
        <v>2048</v>
      </c>
      <c r="F82" s="2127" t="s">
        <v>2063</v>
      </c>
      <c r="G82" s="1348" t="s">
        <v>310</v>
      </c>
      <c r="H82" s="2128" t="s">
        <v>2050</v>
      </c>
      <c r="I82" s="1348"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t="s">
        <v>3436</v>
      </c>
      <c r="D83" s="1062">
        <f t="shared" ref="D83:D90" si="23">SUMIF($J$82:$N$82,C83,J83:N83)</f>
        <v>0</v>
      </c>
      <c r="E83" s="741" t="e">
        <f>ROUND(SUM(D83:D90),4)</f>
        <v>#VALUE!</v>
      </c>
      <c r="F83" s="1810" t="str">
        <f>IF(E2="工业",SUMIF(L1:L12,G2,N1:N12),"——")</f>
        <v>——</v>
      </c>
      <c r="G83" s="1060" t="str">
        <f>H83</f>
        <v>——</v>
      </c>
      <c r="H83" s="1063" t="str">
        <f t="shared" ref="H83:H90" si="24">IFERROR(ROUNDDOWN($F$83*I83/2,4),"——")</f>
        <v>——</v>
      </c>
      <c r="I83" s="3363">
        <v>0.26</v>
      </c>
      <c r="J83" s="1061" t="e">
        <f t="shared" ref="J83:J90" si="25">K83+$G83</f>
        <v>#VALUE!</v>
      </c>
      <c r="K83" s="1061" t="e">
        <f t="shared" ref="K83:K90" si="26">$L83+$G83</f>
        <v>#VALUE!</v>
      </c>
      <c r="L83" s="1061">
        <v>0</v>
      </c>
      <c r="M83" s="1061" t="e">
        <f t="shared" ref="M83:N90" si="27">L83-$G83</f>
        <v>#VALUE!</v>
      </c>
      <c r="N83" s="1061" t="e">
        <f t="shared" si="27"/>
        <v>#VALUE!</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t="s">
        <v>3436</v>
      </c>
      <c r="D84" s="1062">
        <f t="shared" si="23"/>
        <v>0</v>
      </c>
      <c r="E84" s="744"/>
      <c r="F84" s="1810"/>
      <c r="G84" s="1060" t="str">
        <f t="shared" ref="G84:G90" si="28">H84</f>
        <v>——</v>
      </c>
      <c r="H84" s="1063" t="str">
        <f t="shared" si="24"/>
        <v>——</v>
      </c>
      <c r="I84" s="3363">
        <v>0.3</v>
      </c>
      <c r="J84" s="1061" t="e">
        <f t="shared" si="25"/>
        <v>#VALUE!</v>
      </c>
      <c r="K84" s="1061" t="e">
        <f t="shared" si="26"/>
        <v>#VALUE!</v>
      </c>
      <c r="L84" s="1061">
        <v>0</v>
      </c>
      <c r="M84" s="1061" t="e">
        <f t="shared" si="27"/>
        <v>#VALUE!</v>
      </c>
      <c r="N84" s="1061" t="e">
        <f t="shared" si="27"/>
        <v>#VALUE!</v>
      </c>
      <c r="Z84" s="1994"/>
      <c r="AA84" s="2049"/>
      <c r="AG84" s="1118"/>
      <c r="AK84" s="2049"/>
    </row>
    <row r="85" spans="1:37" ht="36">
      <c r="A85" s="3365" t="s">
        <v>3272</v>
      </c>
      <c r="B85" s="2130">
        <f>估价对象房地状况!G17</f>
        <v>0</v>
      </c>
      <c r="C85" s="2040" t="s">
        <v>3424</v>
      </c>
      <c r="D85" s="1062" t="e">
        <f t="shared" si="23"/>
        <v>#VALUE!</v>
      </c>
      <c r="E85" s="744"/>
      <c r="F85" s="1810"/>
      <c r="G85" s="1060" t="str">
        <f t="shared" si="28"/>
        <v>——</v>
      </c>
      <c r="H85" s="1063" t="str">
        <f t="shared" si="24"/>
        <v>——</v>
      </c>
      <c r="I85" s="3363">
        <v>0.1</v>
      </c>
      <c r="J85" s="1061" t="e">
        <f t="shared" si="25"/>
        <v>#VALUE!</v>
      </c>
      <c r="K85" s="1061" t="e">
        <f t="shared" si="26"/>
        <v>#VALUE!</v>
      </c>
      <c r="L85" s="1061">
        <v>0</v>
      </c>
      <c r="M85" s="1061" t="e">
        <f t="shared" si="27"/>
        <v>#VALUE!</v>
      </c>
      <c r="N85" s="1061" t="e">
        <f t="shared" si="27"/>
        <v>#VALUE!</v>
      </c>
      <c r="Z85" s="1994"/>
      <c r="AA85" s="2049"/>
      <c r="AG85" s="1118"/>
      <c r="AK85" s="2049"/>
    </row>
    <row r="86" spans="1:37" ht="14.25">
      <c r="A86" s="2126" t="s">
        <v>2067</v>
      </c>
      <c r="B86" s="2130">
        <f>估价对象房地状况!G22</f>
        <v>0</v>
      </c>
      <c r="C86" s="2040" t="s">
        <v>3437</v>
      </c>
      <c r="D86" s="1062" t="e">
        <f t="shared" si="23"/>
        <v>#VALUE!</v>
      </c>
      <c r="E86" s="744"/>
      <c r="F86" s="1810"/>
      <c r="G86" s="1060" t="str">
        <f t="shared" si="28"/>
        <v>——</v>
      </c>
      <c r="H86" s="1063" t="str">
        <f t="shared" si="24"/>
        <v>——</v>
      </c>
      <c r="I86" s="3363">
        <v>0.05</v>
      </c>
      <c r="J86" s="1061" t="e">
        <f t="shared" si="25"/>
        <v>#VALUE!</v>
      </c>
      <c r="K86" s="1061" t="e">
        <f t="shared" si="26"/>
        <v>#VALUE!</v>
      </c>
      <c r="L86" s="1061">
        <v>0</v>
      </c>
      <c r="M86" s="1061" t="e">
        <f t="shared" si="27"/>
        <v>#VALUE!</v>
      </c>
      <c r="N86" s="1061" t="e">
        <f t="shared" si="27"/>
        <v>#VALUE!</v>
      </c>
      <c r="Z86" s="1994"/>
      <c r="AA86" s="2049"/>
      <c r="AG86" s="1118"/>
      <c r="AK86" s="2049"/>
    </row>
    <row r="87" spans="1:37" ht="25.5">
      <c r="A87" s="2126" t="s">
        <v>2059</v>
      </c>
      <c r="B87" s="1323" t="str">
        <f>估价对象房地状况!G19</f>
        <v>估价对象所在区域公共配套设施齐备情况</v>
      </c>
      <c r="C87" s="2040" t="s">
        <v>3436</v>
      </c>
      <c r="D87" s="1062">
        <f t="shared" si="23"/>
        <v>0</v>
      </c>
      <c r="E87" s="744"/>
      <c r="F87" s="1810"/>
      <c r="G87" s="1060" t="str">
        <f t="shared" si="28"/>
        <v>——</v>
      </c>
      <c r="H87" s="1063" t="str">
        <f t="shared" si="24"/>
        <v>——</v>
      </c>
      <c r="I87" s="3363">
        <v>0.06</v>
      </c>
      <c r="J87" s="1061" t="e">
        <f t="shared" si="25"/>
        <v>#VALUE!</v>
      </c>
      <c r="K87" s="1061" t="e">
        <f t="shared" si="26"/>
        <v>#VALUE!</v>
      </c>
      <c r="L87" s="1061">
        <v>0</v>
      </c>
      <c r="M87" s="1061" t="e">
        <f t="shared" si="27"/>
        <v>#VALUE!</v>
      </c>
      <c r="N87" s="1061" t="e">
        <f t="shared" si="27"/>
        <v>#VALUE!</v>
      </c>
    </row>
    <row r="88" spans="1:37" ht="25.5">
      <c r="A88" s="2126" t="s">
        <v>2060</v>
      </c>
      <c r="B88" s="1323" t="str">
        <f>估价对象房地状况!G20</f>
        <v>估价对象所在区域基础设施水平</v>
      </c>
      <c r="C88" s="2040" t="s">
        <v>3438</v>
      </c>
      <c r="D88" s="1062" t="e">
        <f t="shared" si="23"/>
        <v>#VALUE!</v>
      </c>
      <c r="E88" s="744"/>
      <c r="F88" s="1810"/>
      <c r="G88" s="1060" t="str">
        <f t="shared" si="28"/>
        <v>——</v>
      </c>
      <c r="H88" s="1063" t="str">
        <f t="shared" si="24"/>
        <v>——</v>
      </c>
      <c r="I88" s="3363">
        <v>0.12</v>
      </c>
      <c r="J88" s="1061" t="e">
        <f t="shared" si="25"/>
        <v>#VALUE!</v>
      </c>
      <c r="K88" s="1061" t="e">
        <f t="shared" si="26"/>
        <v>#VALUE!</v>
      </c>
      <c r="L88" s="1061">
        <v>0</v>
      </c>
      <c r="M88" s="1061" t="e">
        <f t="shared" si="27"/>
        <v>#VALUE!</v>
      </c>
      <c r="N88" s="1061" t="e">
        <f t="shared" si="27"/>
        <v>#VALUE!</v>
      </c>
    </row>
    <row r="89" spans="1:37" ht="24">
      <c r="A89" s="2126" t="s">
        <v>2057</v>
      </c>
      <c r="B89" s="2132" t="s">
        <v>2071</v>
      </c>
      <c r="C89" s="2040" t="s">
        <v>3424</v>
      </c>
      <c r="D89" s="1062" t="e">
        <f t="shared" si="23"/>
        <v>#VALUE!</v>
      </c>
      <c r="E89" s="744"/>
      <c r="F89" s="1810"/>
      <c r="G89" s="1060" t="str">
        <f t="shared" si="28"/>
        <v>——</v>
      </c>
      <c r="H89" s="1063" t="str">
        <f t="shared" si="24"/>
        <v>——</v>
      </c>
      <c r="I89" s="3363">
        <v>0.06</v>
      </c>
      <c r="J89" s="1061" t="e">
        <f t="shared" si="25"/>
        <v>#VALUE!</v>
      </c>
      <c r="K89" s="1061" t="e">
        <f t="shared" si="26"/>
        <v>#VALUE!</v>
      </c>
      <c r="L89" s="1061">
        <v>0</v>
      </c>
      <c r="M89" s="1061" t="e">
        <f t="shared" si="27"/>
        <v>#VALUE!</v>
      </c>
      <c r="N89" s="1061" t="e">
        <f t="shared" si="27"/>
        <v>#VALUE!</v>
      </c>
    </row>
    <row r="90" spans="1:37" ht="39" thickBot="1">
      <c r="A90" s="2134" t="s">
        <v>2072</v>
      </c>
      <c r="B90" s="2139" t="str">
        <f>估价对象房地状况!G18</f>
        <v>该园区内是否有污染型企业，绿化情况，卫生条件，整体环境状况判断</v>
      </c>
      <c r="C90" s="2040" t="s">
        <v>3424</v>
      </c>
      <c r="D90" s="1062" t="e">
        <f t="shared" si="23"/>
        <v>#VALUE!</v>
      </c>
      <c r="E90" s="745"/>
      <c r="F90" s="1810"/>
      <c r="G90" s="1060" t="str">
        <f t="shared" si="28"/>
        <v>——</v>
      </c>
      <c r="H90" s="1063" t="str">
        <f t="shared" si="24"/>
        <v>——</v>
      </c>
      <c r="I90" s="3364">
        <v>0.05</v>
      </c>
      <c r="J90" s="1061" t="e">
        <f t="shared" si="25"/>
        <v>#VALUE!</v>
      </c>
      <c r="K90" s="1061" t="e">
        <f t="shared" si="26"/>
        <v>#VALUE!</v>
      </c>
      <c r="L90" s="1061">
        <v>0</v>
      </c>
      <c r="M90" s="1061" t="e">
        <f t="shared" si="27"/>
        <v>#VALUE!</v>
      </c>
      <c r="N90" s="1061" t="e">
        <f t="shared" si="27"/>
        <v>#VALUE!</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3275</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3271</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3276</v>
      </c>
      <c r="B96" s="3381" t="s">
        <v>3287</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3277</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3278</v>
      </c>
      <c r="B98" s="3382" t="s">
        <v>3288</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3279</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3280</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3281</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669" t="s">
        <v>3296</v>
      </c>
      <c r="B103" s="3669"/>
      <c r="C103" s="3669"/>
      <c r="D103" s="3669"/>
      <c r="E103" s="3669"/>
      <c r="F103" s="3669"/>
      <c r="G103" s="3669"/>
      <c r="H103" s="3669"/>
      <c r="I103" s="3669"/>
      <c r="J103" s="3669"/>
      <c r="K103" s="3386"/>
      <c r="L103" s="3386"/>
      <c r="M103" s="3386"/>
      <c r="N103" s="3386"/>
    </row>
    <row r="104" spans="1:14">
      <c r="A104" s="3670" t="s">
        <v>3297</v>
      </c>
      <c r="B104" s="3670" t="s">
        <v>3298</v>
      </c>
      <c r="C104" s="3387" t="s">
        <v>3299</v>
      </c>
      <c r="D104" s="3388"/>
      <c r="E104" s="3388"/>
      <c r="F104" s="3388"/>
      <c r="G104" s="3388"/>
      <c r="H104" s="3388"/>
      <c r="I104" s="3388"/>
      <c r="J104" s="3389"/>
      <c r="K104" s="3390"/>
      <c r="L104" s="3390"/>
      <c r="M104" s="3390"/>
      <c r="N104" s="3390"/>
    </row>
    <row r="105" spans="1:14">
      <c r="A105" s="3670"/>
      <c r="B105" s="3670"/>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656"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5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5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5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5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57"/>
      <c r="B111" s="3391" t="s">
        <v>3270</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658"/>
      <c r="B112" s="339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659" t="s">
        <v>3313</v>
      </c>
      <c r="B113" s="3659"/>
      <c r="C113" s="3659"/>
      <c r="D113" s="3659"/>
      <c r="E113" s="3659"/>
      <c r="F113" s="3659"/>
      <c r="G113" s="3659"/>
      <c r="H113" s="3659"/>
      <c r="I113" s="3659"/>
      <c r="J113" s="365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2.5</v>
      </c>
      <c r="C116" s="3396" t="s">
        <v>3315</v>
      </c>
      <c r="D116" s="3397">
        <f>SUMPRODUCT((A118:A122=F116)*(B117:M117=H116)*B118:M122)</f>
        <v>0.80359999999999998</v>
      </c>
      <c r="E116" s="1996" t="s">
        <v>3316</v>
      </c>
      <c r="F116" s="3398" t="str">
        <f>E2</f>
        <v>商业</v>
      </c>
      <c r="G116" s="1996" t="s">
        <v>3317</v>
      </c>
      <c r="H116" s="3398" t="str">
        <f>G2</f>
        <v>八级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3331</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3332</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3333</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2615</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19.23</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1862</v>
      </c>
      <c r="C2" s="1384" t="s">
        <v>805</v>
      </c>
      <c r="D2" s="1384"/>
      <c r="E2" s="1385"/>
      <c r="F2" s="1386"/>
      <c r="G2" s="2702"/>
      <c r="H2" s="2691"/>
      <c r="I2" s="2691"/>
      <c r="J2" s="2691"/>
      <c r="K2" s="2692"/>
      <c r="L2" s="2691"/>
      <c r="M2" s="2691"/>
    </row>
    <row r="3" spans="1:37" ht="18" customHeight="1" thickBot="1">
      <c r="A3" s="1387" t="s">
        <v>806</v>
      </c>
      <c r="B3" s="1388">
        <f ca="1">IF(ISERROR(B2*10000/F43),0,ROUND(B2*10000/F43,0))</f>
        <v>7092</v>
      </c>
      <c r="C3" s="1384" t="s">
        <v>807</v>
      </c>
      <c r="D3" s="1384"/>
      <c r="E3" s="1385"/>
      <c r="F3" s="1386"/>
      <c r="G3" s="2702"/>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164</v>
      </c>
      <c r="D5" s="1361" t="s">
        <v>693</v>
      </c>
      <c r="E5" s="1068"/>
      <c r="F5" s="1069"/>
      <c r="G5" s="1381"/>
      <c r="H5" s="299">
        <v>1</v>
      </c>
      <c r="I5" s="300" t="s">
        <v>692</v>
      </c>
      <c r="J5" s="1067">
        <f ca="1">J6+J10+J12</f>
        <v>0</v>
      </c>
      <c r="K5" s="1361" t="s">
        <v>693</v>
      </c>
      <c r="L5" s="1068"/>
      <c r="M5" s="1069"/>
    </row>
    <row r="6" spans="1:37" ht="18" customHeight="1">
      <c r="A6" s="1066" t="s">
        <v>398</v>
      </c>
      <c r="B6" s="3677" t="s">
        <v>694</v>
      </c>
      <c r="C6" s="1071">
        <f ca="1">ROUND(F6*F8*F7*(1-F9)/10000,0)</f>
        <v>164</v>
      </c>
      <c r="D6" s="155" t="s">
        <v>2108</v>
      </c>
      <c r="E6" s="302" t="s">
        <v>696</v>
      </c>
      <c r="F6" s="303">
        <f ca="1">INDIRECT("'数据-取费表'!u"&amp;$G$1)</f>
        <v>1.9</v>
      </c>
      <c r="G6" s="1381"/>
      <c r="H6" s="1066" t="s">
        <v>398</v>
      </c>
      <c r="I6" s="3677" t="s">
        <v>694</v>
      </c>
      <c r="J6" s="301">
        <f ca="1">ROUND(M6*M8*M7*(1-M9)/10000,0)</f>
        <v>0</v>
      </c>
      <c r="K6" s="155" t="s">
        <v>2107</v>
      </c>
      <c r="L6" s="302" t="s">
        <v>696</v>
      </c>
      <c r="M6" s="303">
        <f ca="1">INDIRECT("'数据-取费表'!z"&amp;$G$1)</f>
        <v>0</v>
      </c>
    </row>
    <row r="7" spans="1:37" ht="18" customHeight="1">
      <c r="A7" s="1070"/>
      <c r="B7" s="3678"/>
      <c r="C7" s="1072"/>
      <c r="D7" s="307"/>
      <c r="E7" s="1073" t="s">
        <v>697</v>
      </c>
      <c r="F7" s="303">
        <f ca="1">IF(INDIRECT("'数据-取费表'!ah"&amp;$G$1)="",INDIRECT("'数据-取费表'!k"&amp;$G$1),INDIRECT("'数据-取费表'!ah"&amp;$G$1))</f>
        <v>2625.54</v>
      </c>
      <c r="G7" s="1381"/>
      <c r="H7" s="304"/>
      <c r="I7" s="3678"/>
      <c r="J7" s="306"/>
      <c r="K7" s="307"/>
      <c r="L7" s="302" t="s">
        <v>697</v>
      </c>
      <c r="M7" s="303">
        <f ca="1">F7</f>
        <v>2625.54</v>
      </c>
    </row>
    <row r="8" spans="1:37" ht="18" customHeight="1">
      <c r="A8" s="304"/>
      <c r="B8" s="3678"/>
      <c r="C8" s="306"/>
      <c r="D8" s="307"/>
      <c r="E8" s="302" t="s">
        <v>698</v>
      </c>
      <c r="F8" s="303">
        <f ca="1">INDIRECT("'数据-取费表'!ai"&amp;$G$1)</f>
        <v>365</v>
      </c>
      <c r="G8" s="1381"/>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1"/>
      <c r="H9" s="304"/>
      <c r="I9" s="3679"/>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3425</v>
      </c>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736</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656</v>
      </c>
      <c r="D14" s="1342" t="s">
        <v>708</v>
      </c>
      <c r="E14" s="1339"/>
      <c r="F14" s="319"/>
      <c r="G14" s="1381"/>
      <c r="H14" s="979" t="s">
        <v>398</v>
      </c>
      <c r="I14" s="302" t="s">
        <v>709</v>
      </c>
      <c r="J14" s="21">
        <f ca="1">C29</f>
        <v>898</v>
      </c>
      <c r="K14" s="12"/>
      <c r="L14" s="804"/>
      <c r="M14" s="805"/>
    </row>
    <row r="15" spans="1:37" s="1394" customFormat="1" ht="18" customHeight="1" thickBot="1">
      <c r="A15" s="979" t="s">
        <v>399</v>
      </c>
      <c r="B15" s="302" t="s">
        <v>710</v>
      </c>
      <c r="C15" s="21">
        <f ca="1">ROUND(C14*F15,0)</f>
        <v>20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5</v>
      </c>
      <c r="K16" s="1084" t="s">
        <v>715</v>
      </c>
      <c r="L16" s="1085"/>
      <c r="M16" s="1069"/>
    </row>
    <row r="17" spans="1:37" s="1394" customFormat="1" ht="18" customHeight="1">
      <c r="A17" s="979" t="s">
        <v>681</v>
      </c>
      <c r="B17" s="302" t="s">
        <v>716</v>
      </c>
      <c r="C17" s="21">
        <f ca="1">ROUND(F17*(F43+INDIRECT("'数据-取费表'!S"&amp;$G$1))/10000,0)</f>
        <v>53</v>
      </c>
      <c r="D17" s="302" t="s">
        <v>717</v>
      </c>
      <c r="E17" s="302" t="s">
        <v>718</v>
      </c>
      <c r="F17" s="23">
        <f>'数据-取费表'!B35</f>
        <v>200</v>
      </c>
      <c r="G17" s="1393"/>
      <c r="H17" s="979" t="s">
        <v>398</v>
      </c>
      <c r="I17" s="302" t="s">
        <v>719</v>
      </c>
      <c r="J17" s="2312">
        <f ca="1">ROUND(IF(AND(项目基本情况!B11="自然人",项目基本情况!B10="北京市"),J6*M17/(1+'数据-取费表'!C42),J18+J19+J20),2)</f>
        <v>0.57999999999999996</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v>
      </c>
      <c r="D18" s="302" t="s">
        <v>711</v>
      </c>
      <c r="E18" s="302" t="s">
        <v>712</v>
      </c>
      <c r="F18" s="322">
        <f>'数据-取费表'!B36</f>
        <v>0.02</v>
      </c>
      <c r="G18" s="1393"/>
      <c r="H18" s="979"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742</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15</v>
      </c>
      <c r="D20" s="323" t="s">
        <v>729</v>
      </c>
      <c r="E20" s="302" t="s">
        <v>712</v>
      </c>
      <c r="F20" s="322">
        <f>'数据-取费表'!B37</f>
        <v>0.02</v>
      </c>
      <c r="G20" s="1393"/>
      <c r="H20" s="979" t="s">
        <v>680</v>
      </c>
      <c r="I20" s="155" t="s">
        <v>730</v>
      </c>
      <c r="J20" s="22">
        <f ca="1">ROUND(M20*M21/10000,2)</f>
        <v>0.57999999999999996</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3870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单利计息。建造成本、管理费用、销售费用产生的利息。</v>
      </c>
      <c r="E22" s="1357"/>
      <c r="F22" s="23"/>
      <c r="G22" s="1381"/>
      <c r="H22" s="979" t="s">
        <v>402</v>
      </c>
      <c r="I22" s="302" t="s">
        <v>738</v>
      </c>
      <c r="J22" s="21">
        <f ca="1">ROUND(J14*M22,2)</f>
        <v>4.49</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(建造成本+管理费用)×利率×(建设周期÷2)</v>
      </c>
      <c r="E23" s="302" t="s">
        <v>741</v>
      </c>
      <c r="F23" s="325">
        <f>'数据-取费表'!B20</f>
        <v>1</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-5</v>
      </c>
      <c r="K25" s="1092" t="s">
        <v>753</v>
      </c>
      <c r="L25" s="1093"/>
      <c r="M25" s="1094"/>
    </row>
    <row r="26" spans="1:37">
      <c r="A26" s="979" t="s">
        <v>397</v>
      </c>
      <c r="B26" s="302" t="s">
        <v>754</v>
      </c>
      <c r="C26" s="21">
        <f ca="1">ROUND((C19+C20)*F26,0)</f>
        <v>61</v>
      </c>
      <c r="D26" s="323" t="s">
        <v>755</v>
      </c>
      <c r="E26" s="313" t="s">
        <v>756</v>
      </c>
      <c r="F26" s="312">
        <f ca="1">INDIRECT("'数据-取费表'!q"&amp;$G$1)</f>
        <v>0.08</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1.6000000000000001E-3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898</v>
      </c>
      <c r="D29" s="1089"/>
      <c r="E29" s="1087"/>
      <c r="F29" s="1090"/>
      <c r="G29" s="1393"/>
      <c r="H29" s="334" t="s">
        <v>396</v>
      </c>
      <c r="I29" s="335" t="s">
        <v>768</v>
      </c>
      <c r="J29" s="336">
        <f ca="1">ROUND(J26/(1+F40)^F41,0)</f>
        <v>0</v>
      </c>
      <c r="K29" s="337" t="s">
        <v>769</v>
      </c>
      <c r="L29" s="338"/>
      <c r="M29" s="339">
        <f ca="1">INDIRECT("'数据-取费表'!k"&amp;$G$1)</f>
        <v>2625.54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v>
      </c>
      <c r="D30" s="1084" t="s">
        <v>715</v>
      </c>
      <c r="E30" s="1085"/>
      <c r="F30" s="1069"/>
      <c r="G30" s="1381"/>
      <c r="H30" s="2693"/>
      <c r="I30" s="1395"/>
      <c r="J30" s="1396"/>
      <c r="K30" s="2471"/>
      <c r="L30" s="2694"/>
      <c r="M30" s="2695"/>
    </row>
    <row r="31" spans="1:37" ht="18" customHeight="1">
      <c r="A31" s="979" t="s">
        <v>398</v>
      </c>
      <c r="B31" s="302" t="s">
        <v>719</v>
      </c>
      <c r="C31" s="2312">
        <f ca="1">ROUND(IF(AND(项目基本情况!B11="自然人",项目基本情况!B10="北京市"),C6*F31/(1+'数据-取费表'!C42),C32+C33+C34),2)</f>
        <v>27.91</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f ca="1">IF(项目基本情况!B11="自然人","——",ROUND(C6*F32/(1+'数据-取费表'!C42),2))</f>
        <v>8.59</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18.739999999999998</v>
      </c>
      <c r="D33" s="1367" t="s">
        <v>3337</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f ca="1">IF(项目基本情况!B11="自然人","——",ROUND(F34*F35/10000,2))</f>
        <v>0.57999999999999996</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f ca="1">INDIRECT("'数据-取费表'!r"&amp;$G$1)</f>
        <v>3870</v>
      </c>
      <c r="G35" s="1381"/>
      <c r="H35" s="2693"/>
      <c r="I35" s="1395"/>
      <c r="J35" s="1396"/>
      <c r="K35" s="2697"/>
      <c r="L35" s="2696"/>
      <c r="M35" s="2696"/>
    </row>
    <row r="36" spans="1:18" ht="18" customHeight="1">
      <c r="A36" s="1099" t="s">
        <v>402</v>
      </c>
      <c r="B36" s="302" t="s">
        <v>738</v>
      </c>
      <c r="C36" s="21">
        <f ca="1">ROUND(C29*F36,2)</f>
        <v>4.49</v>
      </c>
      <c r="D36" s="1341" t="s">
        <v>771</v>
      </c>
      <c r="E36" s="302" t="s">
        <v>712</v>
      </c>
      <c r="F36" s="328">
        <f ca="1">INDIRECT("'数据-取费表'!Ak"&amp;$G$1)</f>
        <v>5.0000000000000001E-3</v>
      </c>
      <c r="G36" s="1381"/>
      <c r="H36" s="2696"/>
      <c r="I36" s="1395"/>
      <c r="J36" s="1396"/>
      <c r="K36" s="2540"/>
      <c r="L36" s="2696"/>
      <c r="M36" s="2696"/>
    </row>
    <row r="37" spans="1:18" ht="18" customHeight="1">
      <c r="A37" s="979" t="s">
        <v>437</v>
      </c>
      <c r="B37" s="302" t="s">
        <v>742</v>
      </c>
      <c r="C37" s="21">
        <f ca="1">ROUND(C13*F37,2)</f>
        <v>0.74</v>
      </c>
      <c r="D37" s="1341" t="s">
        <v>743</v>
      </c>
      <c r="E37" s="302" t="s">
        <v>744</v>
      </c>
      <c r="F37" s="330">
        <f ca="1">INDIRECT("'数据-取费表'!Al"&amp;$G$1)</f>
        <v>1E-3</v>
      </c>
      <c r="G37" s="1381"/>
      <c r="H37" s="2696"/>
      <c r="I37" s="1395"/>
      <c r="J37" s="1396"/>
      <c r="K37" s="2540"/>
      <c r="L37" s="2696"/>
      <c r="M37" s="2696"/>
    </row>
    <row r="38" spans="1:18" ht="18" customHeight="1" thickBot="1">
      <c r="A38" s="1086" t="s">
        <v>684</v>
      </c>
      <c r="B38" s="1087" t="s">
        <v>728</v>
      </c>
      <c r="C38" s="1088">
        <f ca="1">ROUND(C5*F38,2)</f>
        <v>0.82</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10">
        <f ca="1">C5-C30</f>
        <v>130</v>
      </c>
      <c r="D39" s="1092" t="s">
        <v>773</v>
      </c>
      <c r="E39" s="1093"/>
      <c r="F39" s="1094"/>
      <c r="G39" s="1381"/>
      <c r="H39" s="2696"/>
      <c r="I39" s="1395"/>
      <c r="J39" s="1396"/>
      <c r="K39" s="2700"/>
      <c r="L39" s="2696"/>
      <c r="M39" s="2696"/>
    </row>
    <row r="40" spans="1:18" ht="18" customHeight="1">
      <c r="A40" s="299" t="s">
        <v>395</v>
      </c>
      <c r="B40" s="300" t="s">
        <v>774</v>
      </c>
      <c r="C40" s="301">
        <f ca="1">ROUND(C39*(1-((1+F42)/(1+F40))^F41)/(F40-F42),0)</f>
        <v>1773</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19.23</v>
      </c>
      <c r="G41" s="1381"/>
      <c r="H41" s="1188"/>
      <c r="I41" s="1395"/>
      <c r="J41" s="1396"/>
      <c r="K41" s="2540"/>
      <c r="L41" s="1188"/>
      <c r="M41" s="1188"/>
    </row>
    <row r="42" spans="1:18" ht="18" customHeight="1">
      <c r="A42" s="308"/>
      <c r="B42" s="309"/>
      <c r="C42" s="310"/>
      <c r="D42" s="327"/>
      <c r="E42" s="302" t="s">
        <v>766</v>
      </c>
      <c r="F42" s="312">
        <f ca="1">INDIRECT("'数据-取费表'!v"&amp;$G$1)</f>
        <v>0.02</v>
      </c>
      <c r="G42" s="1381"/>
      <c r="H42" s="1188"/>
      <c r="I42" s="1395"/>
      <c r="J42" s="1396"/>
      <c r="K42" s="2540"/>
      <c r="L42" s="1188"/>
      <c r="M42" s="1188"/>
    </row>
    <row r="43" spans="1:18" ht="18" customHeight="1" thickBot="1">
      <c r="A43" s="334" t="s">
        <v>396</v>
      </c>
      <c r="B43" s="335" t="s">
        <v>776</v>
      </c>
      <c r="C43" s="336">
        <f ca="1">ROUND(C40*10000/F43,0)</f>
        <v>6753</v>
      </c>
      <c r="D43" s="337" t="s">
        <v>777</v>
      </c>
      <c r="E43" s="338" t="s">
        <v>778</v>
      </c>
      <c r="F43" s="339">
        <f ca="1">INDIRECT("'数据-取费表'!k"&amp;$G$1)</f>
        <v>2625.54</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f ca="1">C68-C40</f>
        <v>-1843</v>
      </c>
      <c r="D46" s="1403" t="str">
        <f>C2</f>
        <v>万元</v>
      </c>
      <c r="E46" s="1397"/>
      <c r="F46" s="1397"/>
      <c r="I46" s="1404" t="s">
        <v>810</v>
      </c>
      <c r="J46" s="1405"/>
      <c r="K46" s="1406"/>
      <c r="L46" s="1407">
        <f ca="1">IF(M47="住宅",0,IF(L48&gt;J51,L60,J60))</f>
        <v>89</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3408</v>
      </c>
      <c r="K47" s="1413" t="s">
        <v>816</v>
      </c>
      <c r="L47" s="1414">
        <f ca="1">INDIRECT("'数据-取费表'!d"&amp;$G$1)</f>
        <v>40</v>
      </c>
      <c r="M47" s="1377" t="str">
        <f>IF(ISNUMBER(FIND("住宅",C1)),"住宅","非住宅")</f>
        <v>非住宅</v>
      </c>
      <c r="O47" s="1415" t="s">
        <v>403</v>
      </c>
      <c r="P47" s="1416" t="s">
        <v>817</v>
      </c>
      <c r="Q47" s="1417">
        <f ca="1">C40+J29</f>
        <v>1773</v>
      </c>
      <c r="R47" s="1417" t="s">
        <v>818</v>
      </c>
    </row>
    <row r="48" spans="1:18" s="1381" customFormat="1" ht="28.5" thickBot="1">
      <c r="A48" s="1107" t="s">
        <v>438</v>
      </c>
      <c r="B48" s="300" t="s">
        <v>692</v>
      </c>
      <c r="C48" s="1356">
        <f ca="1">C49+C53+C55</f>
        <v>0</v>
      </c>
      <c r="D48" s="1109"/>
      <c r="E48" s="1110"/>
      <c r="F48" s="959"/>
      <c r="G48" s="719"/>
      <c r="H48" s="720"/>
      <c r="I48" s="1418" t="s">
        <v>819</v>
      </c>
      <c r="J48" s="1419" t="s">
        <v>3426</v>
      </c>
      <c r="K48" s="1420" t="s">
        <v>820</v>
      </c>
      <c r="L48" s="1421">
        <f ca="1">INDIRECT("'数据-取费表'!f"&amp;$G$1)</f>
        <v>19.23</v>
      </c>
      <c r="O48" s="1415" t="s">
        <v>404</v>
      </c>
      <c r="P48" s="1416" t="s">
        <v>821</v>
      </c>
      <c r="Q48" s="1417">
        <f ca="1">J60</f>
        <v>89</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2002</v>
      </c>
      <c r="K49" s="1420" t="s">
        <v>824</v>
      </c>
      <c r="L49" s="1424"/>
      <c r="O49" s="1425" t="s">
        <v>405</v>
      </c>
      <c r="P49" s="1416" t="s">
        <v>825</v>
      </c>
      <c r="Q49" s="1417">
        <f ca="1">C29</f>
        <v>898</v>
      </c>
      <c r="R49" s="1417" t="s">
        <v>818</v>
      </c>
    </row>
    <row r="50" spans="1:18" s="1381" customFormat="1" ht="13.5" thickBot="1">
      <c r="A50" s="973"/>
      <c r="B50" s="976"/>
      <c r="C50" s="1115"/>
      <c r="D50" s="950"/>
      <c r="E50" s="1053" t="s">
        <v>697</v>
      </c>
      <c r="F50" s="1054">
        <f ca="1">F7</f>
        <v>2625.54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38</v>
      </c>
      <c r="K51" s="1431" t="s">
        <v>830</v>
      </c>
      <c r="L51" s="1432">
        <f ca="1">ROUND(-PV(INDIRECT("'数据-取费表'!h"&amp;$G$1),J51,(C39-C13*C76),0),0)</f>
        <v>1324</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19.23</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19.23</v>
      </c>
      <c r="K53" s="3675" t="s">
        <v>837</v>
      </c>
      <c r="L53" s="3676"/>
      <c r="O53" s="1415" t="s">
        <v>409</v>
      </c>
      <c r="P53" s="1416" t="s">
        <v>838</v>
      </c>
      <c r="Q53" s="1417">
        <f ca="1">Q47+Q48</f>
        <v>1862</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0.313</v>
      </c>
      <c r="K55" s="1442" t="s">
        <v>841</v>
      </c>
      <c r="L55" s="1443"/>
      <c r="O55" s="1408" t="s">
        <v>811</v>
      </c>
      <c r="P55" s="1409" t="s">
        <v>812</v>
      </c>
      <c r="Q55" s="1410" t="s">
        <v>813</v>
      </c>
      <c r="R55" s="1410" t="s">
        <v>814</v>
      </c>
    </row>
    <row r="56" spans="1:18" s="1381" customFormat="1" ht="25.5" thickTop="1" thickBot="1">
      <c r="A56" s="954">
        <v>2</v>
      </c>
      <c r="B56" s="955" t="s">
        <v>704</v>
      </c>
      <c r="C56" s="232">
        <f ca="1">C13</f>
        <v>736</v>
      </c>
      <c r="D56" s="1444"/>
      <c r="E56" s="1445"/>
      <c r="F56" s="1437"/>
      <c r="I56" s="1446" t="s">
        <v>842</v>
      </c>
      <c r="J56" s="1447" t="s">
        <v>3384</v>
      </c>
      <c r="K56" s="1418" t="s">
        <v>843</v>
      </c>
      <c r="L56" s="1421" t="str">
        <f ca="1">IF(L48&lt;J51,"——",L48-J53)</f>
        <v>——</v>
      </c>
      <c r="O56" s="1415" t="s">
        <v>403</v>
      </c>
      <c r="P56" s="1416" t="s">
        <v>817</v>
      </c>
      <c r="Q56" s="1417">
        <f ca="1">C40+J29</f>
        <v>1773</v>
      </c>
      <c r="R56" s="1417" t="s">
        <v>818</v>
      </c>
    </row>
    <row r="57" spans="1:18" s="1381" customFormat="1" ht="24.75" thickBot="1">
      <c r="A57" s="1448"/>
      <c r="B57" s="947" t="s">
        <v>767</v>
      </c>
      <c r="C57" s="238">
        <f ca="1">C29</f>
        <v>898</v>
      </c>
      <c r="D57" s="1449"/>
      <c r="E57" s="1450"/>
      <c r="F57" s="1451"/>
      <c r="I57" s="1452" t="s">
        <v>844</v>
      </c>
      <c r="J57" s="1453">
        <f ca="1">IF(OR(M47="住宅",J51&lt;L48,J56="是"),"——",J51-L48)</f>
        <v>18.77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6</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1</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359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5" t="s">
        <v>853</v>
      </c>
      <c r="J60" s="1456">
        <f ca="1">IF(OR(M47="住宅",J51&lt;L48,J56="是"),"0",ROUND(J59/(1+J52)^J53,0))</f>
        <v>89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0.57999999999999996</v>
      </c>
      <c r="D62" s="962" t="s">
        <v>786</v>
      </c>
      <c r="E62" s="947" t="s">
        <v>787</v>
      </c>
      <c r="F62" s="325">
        <f t="shared" si="0"/>
        <v>1.5</v>
      </c>
      <c r="I62" s="1459" t="s">
        <v>858</v>
      </c>
      <c r="J62" s="1460" t="s">
        <v>859</v>
      </c>
      <c r="K62" s="1460" t="s">
        <v>860</v>
      </c>
      <c r="L62" s="1460" t="s">
        <v>861</v>
      </c>
      <c r="M62" s="1461" t="s">
        <v>862</v>
      </c>
      <c r="O62" s="1415" t="s">
        <v>409</v>
      </c>
      <c r="P62" s="1416" t="s">
        <v>863</v>
      </c>
      <c r="Q62" s="1417">
        <f ca="1">Q56+Q57</f>
        <v>1773</v>
      </c>
      <c r="R62" s="1417" t="s">
        <v>410</v>
      </c>
    </row>
    <row r="63" spans="1:18" s="1381" customFormat="1" ht="13.5" thickBot="1">
      <c r="A63" s="326"/>
      <c r="B63" s="953"/>
      <c r="C63" s="26"/>
      <c r="D63" s="963"/>
      <c r="E63" s="947" t="s">
        <v>788</v>
      </c>
      <c r="F63" s="303">
        <f t="shared" ca="1" si="0"/>
        <v>3870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4.49</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0.74</v>
      </c>
      <c r="D65" s="961" t="s">
        <v>743</v>
      </c>
      <c r="E65" s="947" t="s">
        <v>744</v>
      </c>
      <c r="F65" s="330">
        <f t="shared" ca="1" si="0"/>
        <v>1E-3</v>
      </c>
      <c r="I65" s="1459" t="s">
        <v>867</v>
      </c>
      <c r="J65" s="1460">
        <v>40</v>
      </c>
      <c r="K65" s="1460">
        <v>30</v>
      </c>
      <c r="L65" s="1460">
        <v>50</v>
      </c>
      <c r="M65" s="1462">
        <v>0.02</v>
      </c>
      <c r="O65" s="1415" t="s">
        <v>403</v>
      </c>
      <c r="P65" s="1416" t="s">
        <v>868</v>
      </c>
      <c r="Q65" s="1417">
        <f ca="1">C40+J29</f>
        <v>1773</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-6</v>
      </c>
      <c r="D67" s="960" t="s">
        <v>753</v>
      </c>
      <c r="E67" s="965"/>
      <c r="F67" s="966"/>
      <c r="O67" s="1425" t="s">
        <v>405</v>
      </c>
      <c r="P67" s="1416" t="s">
        <v>850</v>
      </c>
      <c r="Q67" s="1463">
        <f ca="1">L51</f>
        <v>1324</v>
      </c>
      <c r="R67" s="1417" t="s">
        <v>870</v>
      </c>
    </row>
    <row r="68" spans="1:18" s="1381" customFormat="1" ht="16.5" thickBot="1">
      <c r="A68" s="944" t="s">
        <v>395</v>
      </c>
      <c r="B68" s="945" t="s">
        <v>774</v>
      </c>
      <c r="C68" s="301">
        <f ca="1">ROUND(C67*(1-((1+F70)/(1+F68))^F69)/(F68-F70),0)</f>
        <v>-70</v>
      </c>
      <c r="D68" s="962" t="s">
        <v>758</v>
      </c>
      <c r="E68" s="947" t="s">
        <v>759</v>
      </c>
      <c r="F68" s="312">
        <f ca="1">F40</f>
        <v>5.5E-2</v>
      </c>
      <c r="O68" s="1425" t="s">
        <v>406</v>
      </c>
      <c r="P68" s="1464" t="s">
        <v>871</v>
      </c>
      <c r="Q68" s="1417">
        <f ca="1">ROUND(Q69-Q70*Q71,0)</f>
        <v>78</v>
      </c>
      <c r="R68" s="1417" t="s">
        <v>414</v>
      </c>
    </row>
    <row r="69" spans="1:18" s="1381" customFormat="1" ht="13.5" thickBot="1">
      <c r="A69" s="948"/>
      <c r="B69" s="949"/>
      <c r="C69" s="306"/>
      <c r="D69" s="967" t="s">
        <v>762</v>
      </c>
      <c r="E69" s="947" t="s">
        <v>763</v>
      </c>
      <c r="F69" s="333">
        <f ca="1">F41</f>
        <v>19.23</v>
      </c>
      <c r="O69" s="1425" t="s">
        <v>411</v>
      </c>
      <c r="P69" s="1464" t="s">
        <v>872</v>
      </c>
      <c r="Q69" s="1417">
        <f ca="1">C39</f>
        <v>130</v>
      </c>
      <c r="R69" s="1417" t="s">
        <v>818</v>
      </c>
    </row>
    <row r="70" spans="1:18" s="1381" customFormat="1" ht="13.5" thickBot="1">
      <c r="A70" s="951"/>
      <c r="B70" s="952"/>
      <c r="C70" s="310"/>
      <c r="D70" s="963"/>
      <c r="E70" s="947" t="s">
        <v>766</v>
      </c>
      <c r="F70" s="1051"/>
      <c r="O70" s="1425" t="s">
        <v>412</v>
      </c>
      <c r="P70" s="1464" t="s">
        <v>873</v>
      </c>
      <c r="Q70" s="1417">
        <f ca="1">C13</f>
        <v>736</v>
      </c>
      <c r="R70" s="1417" t="s">
        <v>818</v>
      </c>
    </row>
    <row r="71" spans="1:18" s="1381" customFormat="1" ht="13.5" thickBot="1">
      <c r="A71" s="968" t="s">
        <v>396</v>
      </c>
      <c r="B71" s="969" t="s">
        <v>776</v>
      </c>
      <c r="C71" s="336">
        <f ca="1">ROUND(C68*10000/F71,0)</f>
        <v>-267</v>
      </c>
      <c r="D71" s="970" t="s">
        <v>777</v>
      </c>
      <c r="E71" s="971" t="s">
        <v>778</v>
      </c>
      <c r="F71" s="339">
        <f ca="1">F43</f>
        <v>2625.54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52</v>
      </c>
      <c r="D75" s="1381"/>
      <c r="E75" s="1381"/>
      <c r="F75" s="1381"/>
      <c r="K75" s="1399"/>
      <c r="L75" s="1381"/>
      <c r="O75" s="1415" t="s">
        <v>409</v>
      </c>
      <c r="P75" s="1416" t="s">
        <v>838</v>
      </c>
      <c r="Q75" s="1417">
        <f ca="1">Q65+Q66</f>
        <v>1773</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v>
      </c>
    </row>
    <row r="80" spans="1:18">
      <c r="B80" s="340" t="s">
        <v>800</v>
      </c>
      <c r="C80" s="274">
        <f ca="1">ROUND(C75/C39,3)</f>
        <v>0.4</v>
      </c>
    </row>
    <row r="81" spans="2:3">
      <c r="B81" s="270" t="s">
        <v>801</v>
      </c>
      <c r="C81" s="238"/>
    </row>
    <row r="82" spans="2:3">
      <c r="B82" s="273" t="s">
        <v>802</v>
      </c>
      <c r="C82" s="275">
        <f ca="1">1-C83</f>
        <v>0.58499999999999996</v>
      </c>
    </row>
    <row r="83" spans="2:3">
      <c r="B83" s="273" t="s">
        <v>803</v>
      </c>
      <c r="C83" s="274">
        <f ca="1">ROUND(C13/C40,3)</f>
        <v>0.41499999999999998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35"/>
  <sheetViews>
    <sheetView topLeftCell="A4" workbookViewId="0">
      <selection activeCell="L23" sqref="L23"/>
    </sheetView>
  </sheetViews>
  <sheetFormatPr defaultRowHeight="13.5"/>
  <sheetData>
    <row r="1" spans="1:14">
      <c r="A1">
        <v>1</v>
      </c>
      <c r="B1">
        <v>533.755</v>
      </c>
    </row>
    <row r="2" spans="1:14">
      <c r="A2">
        <v>2</v>
      </c>
      <c r="B2">
        <v>533.755</v>
      </c>
    </row>
    <row r="3" spans="1:14">
      <c r="B3">
        <v>1067.51</v>
      </c>
      <c r="H3">
        <v>13600.36</v>
      </c>
    </row>
    <row r="4" spans="1:14">
      <c r="B4">
        <v>1229.0999999999999</v>
      </c>
    </row>
    <row r="5" spans="1:14">
      <c r="B5">
        <v>1320.8</v>
      </c>
    </row>
    <row r="6" spans="1:14">
      <c r="B6">
        <v>75.64</v>
      </c>
    </row>
    <row r="7" spans="1:14">
      <c r="B7">
        <v>838.16</v>
      </c>
      <c r="M7">
        <f>'数据-基础表'!I13</f>
        <v>75.64</v>
      </c>
    </row>
    <row r="8" spans="1:14">
      <c r="B8">
        <v>829.88</v>
      </c>
      <c r="G8">
        <v>1</v>
      </c>
      <c r="M8">
        <f>'数据-基础表'!I14</f>
        <v>1320.8</v>
      </c>
      <c r="N8">
        <f>M8/2</f>
        <v>660.4</v>
      </c>
    </row>
    <row r="9" spans="1:14">
      <c r="B9">
        <f>SUM(B3:B8)</f>
        <v>5361.09</v>
      </c>
      <c r="G9">
        <v>2</v>
      </c>
      <c r="H9">
        <v>2625.54</v>
      </c>
      <c r="M9">
        <f>'数据-基础表'!I15</f>
        <v>1229.0999999999999</v>
      </c>
      <c r="N9">
        <f>M9/2</f>
        <v>614.54999999999995</v>
      </c>
    </row>
    <row r="10" spans="1:14">
      <c r="G10">
        <v>3</v>
      </c>
    </row>
    <row r="11" spans="1:14">
      <c r="G11">
        <v>4</v>
      </c>
      <c r="H11">
        <v>1067.51</v>
      </c>
    </row>
    <row r="12" spans="1:14">
      <c r="G12">
        <v>5</v>
      </c>
      <c r="H12">
        <v>838.16</v>
      </c>
    </row>
    <row r="13" spans="1:14">
      <c r="G13">
        <v>6</v>
      </c>
      <c r="H13">
        <v>829.88</v>
      </c>
    </row>
    <row r="14" spans="1:14">
      <c r="G14">
        <v>7</v>
      </c>
      <c r="H14">
        <v>675.24</v>
      </c>
    </row>
    <row r="15" spans="1:14">
      <c r="H15">
        <v>3190.63</v>
      </c>
    </row>
    <row r="22" spans="12:12">
      <c r="L22">
        <f>30/787.5/365*10000</f>
        <v>1.0437051532941943</v>
      </c>
    </row>
    <row r="32" spans="12:12">
      <c r="L32">
        <v>1.2</v>
      </c>
    </row>
    <row r="33" spans="12:12">
      <c r="L33">
        <v>1.3</v>
      </c>
    </row>
    <row r="34" spans="12:12">
      <c r="L34">
        <v>1.5</v>
      </c>
    </row>
    <row r="35" spans="12:12">
      <c r="L35">
        <f>AVERAGE(L32:L34)</f>
        <v>1.3333333333333333</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2"/>
    <col min="46" max="16384" width="9" style="130"/>
  </cols>
  <sheetData>
    <row r="1" spans="1:45" ht="14.25" customHeight="1" thickBot="1">
      <c r="A1" s="146"/>
      <c r="B1" s="980" t="s">
        <v>2083</v>
      </c>
      <c r="C1" s="3683" t="s">
        <v>2084</v>
      </c>
      <c r="D1" s="3684"/>
      <c r="E1" s="3684"/>
      <c r="F1" s="3684"/>
      <c r="G1" s="3684"/>
      <c r="H1" s="3684"/>
      <c r="I1" s="3684"/>
      <c r="J1" s="3684"/>
      <c r="K1" s="3684"/>
      <c r="L1" s="3684"/>
      <c r="M1" s="3684"/>
      <c r="N1" s="3684"/>
      <c r="O1" s="3684"/>
      <c r="P1" s="3684"/>
      <c r="Q1" s="3684"/>
      <c r="R1" s="3684"/>
      <c r="S1" s="3685"/>
      <c r="T1" s="980" t="s">
        <v>2085</v>
      </c>
    </row>
    <row r="2" spans="1:45" s="655" customFormat="1" ht="39" thickBot="1">
      <c r="A2" s="981"/>
      <c r="B2" s="651" t="s">
        <v>2086</v>
      </c>
      <c r="C2" s="652" t="str">
        <f t="shared" ref="C2:L2" si="0">C3&amp;"(含)"&amp;"-"&amp;D3</f>
        <v>0(含)-300</v>
      </c>
      <c r="D2" s="653" t="str">
        <f t="shared" si="0"/>
        <v>300(含)-500</v>
      </c>
      <c r="E2" s="653" t="str">
        <f t="shared" si="0"/>
        <v>500(含)-1000</v>
      </c>
      <c r="F2" s="653" t="str">
        <f t="shared" si="0"/>
        <v>1000(含)-1500</v>
      </c>
      <c r="G2" s="653" t="str">
        <f t="shared" si="0"/>
        <v>1500(含)-2000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5" thickTop="1">
      <c r="A3" s="983"/>
      <c r="B3" s="656"/>
      <c r="C3" s="544">
        <v>0</v>
      </c>
      <c r="D3" s="544">
        <v>300</v>
      </c>
      <c r="E3" s="544">
        <v>500</v>
      </c>
      <c r="F3" s="532">
        <v>1000</v>
      </c>
      <c r="G3" s="504">
        <v>1500</v>
      </c>
      <c r="H3" s="504">
        <v>2000</v>
      </c>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4"/>
      <c r="B4" s="985"/>
      <c r="C4" s="509">
        <v>98</v>
      </c>
      <c r="D4" s="485">
        <v>100</v>
      </c>
      <c r="E4" s="485">
        <v>98</v>
      </c>
      <c r="F4" s="509">
        <v>96</v>
      </c>
      <c r="G4" s="509">
        <v>94</v>
      </c>
      <c r="H4" s="509">
        <v>92</v>
      </c>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5" customFormat="1">
      <c r="A17" s="2144" t="s">
        <v>2093</v>
      </c>
      <c r="B17" s="2145" t="s">
        <v>2094</v>
      </c>
      <c r="C17" s="1007" t="s">
        <v>3400</v>
      </c>
      <c r="D17" s="1008" t="s">
        <v>3402</v>
      </c>
      <c r="E17" s="1008" t="s">
        <v>3404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5" customFormat="1" ht="13.5" thickBot="1">
      <c r="A18" s="1017"/>
      <c r="B18" s="1018"/>
      <c r="C18" s="1019">
        <v>100</v>
      </c>
      <c r="D18" s="1020">
        <v>98</v>
      </c>
      <c r="E18" s="1020">
        <v>96</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2095</v>
      </c>
      <c r="E19" s="1337"/>
      <c r="F19" s="1337"/>
      <c r="G19" s="1337"/>
      <c r="H19" s="1056"/>
      <c r="I19" s="159"/>
      <c r="J19" s="159"/>
      <c r="K19" s="159"/>
      <c r="L19" s="159"/>
      <c r="M19" s="159"/>
      <c r="N19" s="159"/>
      <c r="O19" s="159"/>
      <c r="P19" s="159"/>
      <c r="Q19" s="159"/>
      <c r="R19" s="715"/>
      <c r="S19" s="129"/>
    </row>
    <row r="20" spans="1:45" ht="16.5" thickBot="1">
      <c r="A20" s="660" t="s">
        <v>2096</v>
      </c>
      <c r="B20" s="294">
        <f ca="1">IF(D20="——",S22,S22-F20)</f>
        <v>21061</v>
      </c>
      <c r="C20" s="159"/>
      <c r="D20" s="2147" t="s">
        <v>43</v>
      </c>
      <c r="E20" s="1338"/>
      <c r="F20" s="980" t="e">
        <f ca="1">SUMIF(INDIRECT("'"&amp;H20&amp;"'"&amp;"!A:A"),"承租人权益价值",INDIRECT("'"&amp;H20&amp;"'"&amp;"!c:c"))</f>
        <v>#REF!</v>
      </c>
      <c r="G20" s="980" t="s">
        <v>2097</v>
      </c>
      <c r="H20" s="2148"/>
      <c r="I20" s="159"/>
      <c r="J20" s="159"/>
      <c r="K20" s="159"/>
      <c r="L20" s="159"/>
      <c r="M20" s="159"/>
      <c r="N20" s="159"/>
      <c r="O20" s="159"/>
      <c r="P20" s="159"/>
      <c r="Q20" s="159"/>
      <c r="R20" s="715"/>
      <c r="S20" s="129"/>
    </row>
    <row r="21" spans="1:45" ht="15.75">
      <c r="A21" s="660" t="s">
        <v>2098</v>
      </c>
      <c r="B21" s="294">
        <f ca="1">ROUND(B20*10000/B22,0)</f>
        <v>8470</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24865.040000000005</v>
      </c>
      <c r="C22" s="3680" t="s">
        <v>27</v>
      </c>
      <c r="D22" s="3681"/>
      <c r="E22" s="3681"/>
      <c r="F22" s="3681"/>
      <c r="G22" s="3681"/>
      <c r="H22" s="3681"/>
      <c r="I22" s="3681"/>
      <c r="J22" s="3681"/>
      <c r="K22" s="3681"/>
      <c r="L22" s="3681"/>
      <c r="M22" s="3681"/>
      <c r="N22" s="3681"/>
      <c r="O22" s="3681"/>
      <c r="P22" s="3681"/>
      <c r="Q22" s="3682"/>
      <c r="R22" s="661">
        <f ca="1">ROUND(S22*10000/B22,0)</f>
        <v>8470</v>
      </c>
      <c r="S22" s="21">
        <f ca="1">SUM(S24:S10000)</f>
        <v>21061</v>
      </c>
      <c r="T22" s="722">
        <v>122397</v>
      </c>
      <c r="U22" s="3469">
        <f ca="1">(T22-S22)/T22</f>
        <v>0.82792878910430812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57">
        <v>5</v>
      </c>
      <c r="B24" s="3457">
        <v>1506.52</v>
      </c>
      <c r="C24" s="2806">
        <v>1</v>
      </c>
      <c r="D24" s="2807"/>
      <c r="E24" s="2806">
        <v>1</v>
      </c>
      <c r="F24" s="2807"/>
      <c r="G24" s="2806">
        <v>1</v>
      </c>
      <c r="H24" s="2807"/>
      <c r="I24" s="2806">
        <v>1</v>
      </c>
      <c r="J24" s="2807"/>
      <c r="K24" s="2806">
        <v>1</v>
      </c>
      <c r="L24" s="2807"/>
      <c r="M24" s="2806">
        <v>1</v>
      </c>
      <c r="N24" s="2807"/>
      <c r="O24" s="2806">
        <v>1</v>
      </c>
      <c r="P24" s="2807"/>
      <c r="Q24" s="2806">
        <v>1</v>
      </c>
      <c r="R24" s="665">
        <f ca="1">结果表!C105</f>
        <v>8419</v>
      </c>
      <c r="S24" s="663">
        <f t="shared" ref="S24:S54" ca="1" si="11">ROUND(R24*B24/10000,0)</f>
        <v>1268</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458">
        <v>101</v>
      </c>
      <c r="B25" s="3459">
        <v>931.44</v>
      </c>
      <c r="C25" s="21">
        <f>IF(B25="",1,(LOOKUP(B25,$3:$3,$4:$4)-LOOKUP($B$24,$3:$3,$4:$4)+100)/100)</f>
        <v>1.04</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1">
        <f ca="1">IF(B25="",0,ROUND($R$24*C25*E25*G25*I25*K25*M25*O25*Q25,0))</f>
        <v>8756</v>
      </c>
      <c r="S25" s="316">
        <f t="shared" ca="1" si="11"/>
        <v>816</v>
      </c>
    </row>
    <row r="26" spans="1:45">
      <c r="A26" s="3458">
        <v>201</v>
      </c>
      <c r="B26" s="3459">
        <v>950.88</v>
      </c>
      <c r="C26" s="21">
        <f t="shared" ref="C26:C89" si="12">IF(B26="",1,(LOOKUP(B26,$3:$3,$4:$4)-LOOKUP($B$24,$3:$3,$4:$4)+100)/100)</f>
        <v>1.04</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1">
        <f t="shared" ref="R26:R89" ca="1" si="20">IF(B26="",0,ROUND($R$24*C26*E26*G26*I26*K26*M26*O26*Q26,0))</f>
        <v>8756</v>
      </c>
      <c r="S26" s="316">
        <f t="shared" ca="1" si="11"/>
        <v>833</v>
      </c>
    </row>
    <row r="27" spans="1:45">
      <c r="A27" s="3458">
        <v>301</v>
      </c>
      <c r="B27" s="3459">
        <v>630.82000000000005</v>
      </c>
      <c r="C27" s="21">
        <f t="shared" si="12"/>
        <v>1.04</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1">
        <f t="shared" ca="1" si="20"/>
        <v>8756</v>
      </c>
      <c r="S27" s="316">
        <f t="shared" ca="1" si="11"/>
        <v>552</v>
      </c>
    </row>
    <row r="28" spans="1:45">
      <c r="A28" s="3458">
        <v>601</v>
      </c>
      <c r="B28" s="3459">
        <v>1506.52</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1">
        <f t="shared" ca="1" si="20"/>
        <v>8419</v>
      </c>
      <c r="S28" s="316">
        <f t="shared" ca="1" si="11"/>
        <v>1268</v>
      </c>
    </row>
    <row r="29" spans="1:45">
      <c r="A29" s="3458">
        <v>701</v>
      </c>
      <c r="B29" s="3459">
        <v>1506.52</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1">
        <f t="shared" ca="1" si="20"/>
        <v>8419</v>
      </c>
      <c r="S29" s="316">
        <f t="shared" ca="1" si="11"/>
        <v>1268</v>
      </c>
    </row>
    <row r="30" spans="1:45">
      <c r="A30" s="3458">
        <v>801</v>
      </c>
      <c r="B30" s="3459">
        <v>1506.52</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1">
        <f t="shared" ca="1" si="20"/>
        <v>8419</v>
      </c>
      <c r="S30" s="316">
        <f t="shared" ca="1" si="11"/>
        <v>1268</v>
      </c>
    </row>
    <row r="31" spans="1:45">
      <c r="A31" s="3458">
        <v>901</v>
      </c>
      <c r="B31" s="3459">
        <v>1506.52</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1">
        <f t="shared" ca="1" si="20"/>
        <v>8419</v>
      </c>
      <c r="S31" s="316">
        <f t="shared" ca="1" si="11"/>
        <v>1268</v>
      </c>
    </row>
    <row r="32" spans="1:45">
      <c r="A32" s="3458">
        <v>1001</v>
      </c>
      <c r="B32" s="3459">
        <v>1506.52</v>
      </c>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1">
        <f t="shared" ca="1" si="20"/>
        <v>8419</v>
      </c>
      <c r="S32" s="316">
        <f t="shared" ca="1" si="11"/>
        <v>1268</v>
      </c>
    </row>
    <row r="33" spans="1:19">
      <c r="A33" s="3458">
        <v>1101</v>
      </c>
      <c r="B33" s="3459">
        <v>1506.52</v>
      </c>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1">
        <f t="shared" ca="1" si="20"/>
        <v>8419</v>
      </c>
      <c r="S33" s="316">
        <f t="shared" ca="1" si="11"/>
        <v>1268</v>
      </c>
    </row>
    <row r="34" spans="1:19">
      <c r="A34" s="3458">
        <v>1201</v>
      </c>
      <c r="B34" s="3459">
        <v>1506.52</v>
      </c>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1">
        <f t="shared" ca="1" si="20"/>
        <v>8419</v>
      </c>
      <c r="S34" s="316">
        <f t="shared" ca="1" si="11"/>
        <v>1268</v>
      </c>
    </row>
    <row r="35" spans="1:19">
      <c r="A35" s="3458">
        <v>1301</v>
      </c>
      <c r="B35" s="3459">
        <v>1506.52</v>
      </c>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1">
        <f t="shared" ca="1" si="20"/>
        <v>8419</v>
      </c>
      <c r="S35" s="316">
        <f t="shared" ca="1" si="11"/>
        <v>1268</v>
      </c>
    </row>
    <row r="36" spans="1:19">
      <c r="A36" s="3458">
        <v>1401</v>
      </c>
      <c r="B36" s="3459">
        <v>1506.52</v>
      </c>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1">
        <f t="shared" ca="1" si="20"/>
        <v>8419</v>
      </c>
      <c r="S36" s="316">
        <f t="shared" ca="1" si="11"/>
        <v>1268</v>
      </c>
    </row>
    <row r="37" spans="1:19">
      <c r="A37" s="3458">
        <v>1501</v>
      </c>
      <c r="B37" s="3459">
        <v>1506.52</v>
      </c>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1">
        <f t="shared" ca="1" si="20"/>
        <v>8419</v>
      </c>
      <c r="S37" s="316">
        <f t="shared" ca="1" si="11"/>
        <v>1268</v>
      </c>
    </row>
    <row r="38" spans="1:19">
      <c r="A38" s="3458">
        <v>1601</v>
      </c>
      <c r="B38" s="3459">
        <v>1506.52</v>
      </c>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1">
        <f t="shared" ca="1" si="20"/>
        <v>8419</v>
      </c>
      <c r="S38" s="316">
        <f t="shared" ca="1" si="11"/>
        <v>1268</v>
      </c>
    </row>
    <row r="39" spans="1:19">
      <c r="A39" s="3458">
        <v>1701</v>
      </c>
      <c r="B39" s="3459">
        <v>1506.52</v>
      </c>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1">
        <f t="shared" ca="1" si="20"/>
        <v>8419</v>
      </c>
      <c r="S39" s="316">
        <f t="shared" ca="1" si="11"/>
        <v>1268</v>
      </c>
    </row>
    <row r="40" spans="1:19">
      <c r="A40" s="3458">
        <v>1801</v>
      </c>
      <c r="B40" s="3459">
        <v>1383.57</v>
      </c>
      <c r="C40" s="21">
        <f t="shared" si="12"/>
        <v>1.02</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1">
        <f t="shared" ca="1" si="20"/>
        <v>8587</v>
      </c>
      <c r="S40" s="316">
        <f t="shared" ca="1" si="11"/>
        <v>1188</v>
      </c>
    </row>
    <row r="41" spans="1:19">
      <c r="A41" s="3458">
        <v>1901</v>
      </c>
      <c r="B41" s="3459">
        <v>1383.57</v>
      </c>
      <c r="C41" s="21">
        <f t="shared" si="12"/>
        <v>1.02</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1">
        <f t="shared" ca="1" si="20"/>
        <v>8587</v>
      </c>
      <c r="S41" s="316">
        <f t="shared" ca="1" si="11"/>
        <v>1188</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1">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1">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1">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1">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1">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1">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1">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1">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1">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1">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1">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1">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1">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1">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1">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1">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1">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1">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1">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1">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1">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1">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1">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1">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1">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1">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1">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1">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1">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1">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1">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1">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1">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1">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1">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1">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1">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1">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1">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1">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1">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1">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1">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1">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1">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1">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1">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1">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1">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1">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1">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1">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1">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1">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1">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1">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1">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1">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1">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1">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1">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1">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1">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1">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1">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1">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1">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1">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1">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1">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1">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1">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1">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1">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1">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1">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1">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1">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1">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1">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1">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1">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1">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1">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1">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1">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1">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1">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1">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1">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1">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1">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1">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1">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1">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1">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1">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1">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1">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1">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1">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1">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1">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1">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1">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1">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1">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1">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1">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1">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1">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1">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1">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1">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1">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1">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1">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1">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1">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1">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1">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1">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1">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1">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1">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1">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1">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1">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1">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1">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1">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1">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1">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1">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1">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1">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1">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1">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1">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1">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1">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1">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1">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1">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1">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1">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1">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1">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1">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1">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1">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1">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1">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1">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1">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1">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1">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1">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1">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1">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1">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1">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1">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1">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1">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1">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1">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1">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1">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1">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1">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1">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1">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1">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1">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1">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1">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1">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1">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1">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1">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1">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1">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1">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1">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1">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1">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1">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1">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1">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1">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1">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1">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1">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1">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1">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1">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1">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1">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1">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1">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1">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1">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1">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1">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1">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1">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1">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1">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1">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1">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1">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1">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1">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1">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1">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1">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1">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1">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1">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1">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1">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1">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1">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1">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1">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1">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1">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1">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1">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1">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1">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1">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1">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1">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1">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1">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1">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1">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1">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1">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1">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1">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1">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1">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1">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1">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1">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1">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1">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1">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1">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1">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1">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1">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1">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1">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1">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1">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1">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1">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1">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1">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1">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1">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1">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1">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1">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1">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1">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1">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1">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1">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1">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1">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1">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1">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1">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1">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1">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1">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1">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1">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1">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1">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1">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1">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1">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1">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1">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1">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1">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1">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1">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1">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1">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1">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1">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1">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1">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1">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1">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1">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1">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1">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1">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1">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1">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1">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1">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1">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1">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1">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1">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1">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1">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1">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1">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1">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1">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1">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1">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1">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1">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1">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1">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1">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1">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1">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1">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1">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1">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1">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1">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1">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1">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1">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1">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1">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1">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1">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1">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1">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1">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1">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1">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1">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1">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1">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1">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1">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1">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1">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1">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1">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1">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1">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1">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1">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1">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1">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1">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1">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1">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1">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1">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1">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1">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1">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1">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1">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1">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1">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1">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1">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1">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1">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1">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1">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1">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1">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1">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1">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1">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1">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1">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1">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1">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1">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1">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1">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1">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1">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1">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1">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1">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1">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1">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1">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1">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1">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1">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1">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1">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1">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1">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1">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1">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1">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1">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1">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1">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1">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1">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1">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1">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1">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1">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1">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1">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1">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1">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1">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1">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1">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1">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1">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1">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1">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1">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1">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1">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1">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1">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1">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1">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1">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1">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1">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1">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1">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1">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1">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1">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1">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1">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1">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1">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1">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1">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1">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1">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1">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1">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1">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1">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1">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1">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1">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1">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1">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1">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1">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1">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1">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1">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1">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1">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1">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1">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1">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1">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1">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1">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1">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t="e">
        <f ca="1">J53</f>
        <v>#N/A</v>
      </c>
      <c r="G1" s="1375" t="e">
        <f>MATCH(C1,'数据-取费表'!A6:A16,0)+5</f>
        <v>#N/A</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t="e">
        <f ca="1">ROUND(D2/10000,4)</f>
        <v>#N/A</v>
      </c>
      <c r="C2" s="1384" t="s">
        <v>879</v>
      </c>
      <c r="D2" s="1468" t="e">
        <f ca="1">C40+J29+L46</f>
        <v>#N/A</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t="e">
        <f ca="1">C6+C10+C12</f>
        <v>#N/A</v>
      </c>
      <c r="D5" s="1361" t="s">
        <v>889</v>
      </c>
      <c r="E5" s="1068"/>
      <c r="F5" s="1069"/>
      <c r="G5" s="1381"/>
      <c r="H5" s="299">
        <v>1</v>
      </c>
      <c r="I5" s="300" t="s">
        <v>888</v>
      </c>
      <c r="J5" s="1067" t="e">
        <f ca="1">J6+J10+J12</f>
        <v>#N/A</v>
      </c>
      <c r="K5" s="1361" t="s">
        <v>889</v>
      </c>
      <c r="L5" s="1068"/>
      <c r="M5" s="1069"/>
    </row>
    <row r="6" spans="1:37" ht="18" customHeight="1">
      <c r="A6" s="1066" t="s">
        <v>398</v>
      </c>
      <c r="B6" s="3677" t="s">
        <v>694</v>
      </c>
      <c r="C6" s="1071" t="e">
        <f ca="1">ROUND(F6*F8*F7*(1-F9),0)</f>
        <v>#N/A</v>
      </c>
      <c r="D6" s="155" t="s">
        <v>2105</v>
      </c>
      <c r="E6" s="302" t="s">
        <v>696</v>
      </c>
      <c r="F6" s="303" t="e">
        <f ca="1">INDIRECT("'数据-取费表'!u"&amp;$G$1)</f>
        <v>#N/A</v>
      </c>
      <c r="G6" s="1381"/>
      <c r="H6" s="1066" t="s">
        <v>398</v>
      </c>
      <c r="I6" s="3677" t="s">
        <v>694</v>
      </c>
      <c r="J6" s="301" t="e">
        <f ca="1">ROUND(M6*M8*M7*(1-M9),0)</f>
        <v>#N/A</v>
      </c>
      <c r="K6" s="1373" t="s">
        <v>2106</v>
      </c>
      <c r="L6" s="302" t="s">
        <v>696</v>
      </c>
      <c r="M6" s="303" t="e">
        <f ca="1">INDIRECT("'数据-取费表'!z"&amp;$G$1)</f>
        <v>#N/A</v>
      </c>
    </row>
    <row r="7" spans="1:37" ht="18" customHeight="1">
      <c r="A7" s="1070"/>
      <c r="B7" s="3678"/>
      <c r="C7" s="1072"/>
      <c r="D7" s="307"/>
      <c r="E7" s="1073" t="s">
        <v>697</v>
      </c>
      <c r="F7" s="303" t="e">
        <f ca="1">IF(INDIRECT("'数据-取费表'!ah"&amp;$G$1)="",INDIRECT("'数据-取费表'!k"&amp;$G$1),INDIRECT("'数据-取费表'!ah"&amp;$G$1))</f>
        <v>#N/A</v>
      </c>
      <c r="G7" s="1381"/>
      <c r="H7" s="304"/>
      <c r="I7" s="3678"/>
      <c r="J7" s="306"/>
      <c r="K7" s="307"/>
      <c r="L7" s="302" t="s">
        <v>697</v>
      </c>
      <c r="M7" s="303" t="e">
        <f ca="1">F7</f>
        <v>#N/A</v>
      </c>
    </row>
    <row r="8" spans="1:37" ht="18" customHeight="1">
      <c r="A8" s="304"/>
      <c r="B8" s="3678"/>
      <c r="C8" s="306"/>
      <c r="D8" s="307"/>
      <c r="E8" s="302" t="s">
        <v>698</v>
      </c>
      <c r="F8" s="303" t="e">
        <f ca="1">INDIRECT("'数据-取费表'!ai"&amp;$G$1)</f>
        <v>#N/A</v>
      </c>
      <c r="G8" s="1381"/>
      <c r="H8" s="304"/>
      <c r="I8" s="3678"/>
      <c r="J8" s="306"/>
      <c r="K8" s="307"/>
      <c r="L8" s="302" t="s">
        <v>698</v>
      </c>
      <c r="M8" s="303" t="e">
        <f ca="1">INDIRECT("'数据-取费表'!ai"&amp;$G$1)</f>
        <v>#N/A</v>
      </c>
    </row>
    <row r="9" spans="1:37" ht="18" customHeight="1">
      <c r="A9" s="304"/>
      <c r="B9" s="3679"/>
      <c r="C9" s="306"/>
      <c r="D9" s="307"/>
      <c r="E9" s="302" t="s">
        <v>699</v>
      </c>
      <c r="F9" s="312" t="e">
        <f ca="1">INDIRECT("'数据-取费表'!w"&amp;$G$1)</f>
        <v>#N/A</v>
      </c>
      <c r="G9" s="1381"/>
      <c r="H9" s="304"/>
      <c r="I9" s="3679"/>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2115</v>
      </c>
      <c r="E10" s="313" t="s">
        <v>701</v>
      </c>
      <c r="F10" s="1113" t="s">
        <v>3425</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1078" t="s">
        <v>705</v>
      </c>
      <c r="E13" s="1078"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2" t="s">
        <v>707</v>
      </c>
      <c r="C14" s="318" t="e">
        <f ca="1">ROUND(INDIRECT("'数据-取费表'!l"&amp;$G$1)*F43+'数据-取费表'!L14*INDIRECT("'数据-取费表'!S"&amp;$G$1),0)</f>
        <v>#N/A</v>
      </c>
      <c r="D14" s="1342" t="s">
        <v>708</v>
      </c>
      <c r="E14" s="1339"/>
      <c r="F14" s="319"/>
      <c r="G14" s="1381"/>
      <c r="H14" s="979" t="s">
        <v>398</v>
      </c>
      <c r="I14" s="302" t="s">
        <v>709</v>
      </c>
      <c r="J14" s="21" t="e">
        <f ca="1">C29</f>
        <v>#N/A</v>
      </c>
      <c r="K14" s="12"/>
      <c r="L14" s="804"/>
      <c r="M14" s="805"/>
    </row>
    <row r="15" spans="1:37" s="1394" customFormat="1" ht="18" customHeight="1" thickBot="1">
      <c r="A15" s="979" t="s">
        <v>399</v>
      </c>
      <c r="B15" s="302" t="s">
        <v>710</v>
      </c>
      <c r="C15" s="21" t="e">
        <f ca="1">ROUND(C14*F15,0)</f>
        <v>#N/A</v>
      </c>
      <c r="D15" s="320" t="s">
        <v>711</v>
      </c>
      <c r="E15" s="320"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t="e">
        <f ca="1">ROUND(INDIRECT("'数据-取费表'!l"&amp;$G$1)*F43*F16,0)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1085"/>
      <c r="M16" s="1069"/>
    </row>
    <row r="17" spans="1:37" s="1394" customFormat="1" ht="18" customHeight="1">
      <c r="A17" s="979" t="s">
        <v>681</v>
      </c>
      <c r="B17" s="302" t="s">
        <v>716</v>
      </c>
      <c r="C17" s="21" t="e">
        <f ca="1">ROUND(F17*(F43+INDIRECT("'数据-取费表'!S"&amp;$G$1)),0)</f>
        <v>#N/A</v>
      </c>
      <c r="D17" s="302" t="s">
        <v>717</v>
      </c>
      <c r="E17" s="302" t="s">
        <v>718</v>
      </c>
      <c r="F17" s="23">
        <f>'数据-取费表'!B35</f>
        <v>200</v>
      </c>
      <c r="G17" s="1393"/>
      <c r="H17" s="979" t="s">
        <v>398</v>
      </c>
      <c r="I17" s="302" t="s">
        <v>719</v>
      </c>
      <c r="J17" s="2312" t="e">
        <f ca="1">ROUND(IF(AND(项目基本情况!B11="自然人",项目基本情况!B10="北京市"),J6*M17/(1+'数据-取费表'!C42),J18+J19+J20),0)</f>
        <v>#N/A</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t="e">
        <f ca="1">ROUND(C14*F18,0)</f>
        <v>#N/A</v>
      </c>
      <c r="D18" s="302" t="s">
        <v>711</v>
      </c>
      <c r="E18" s="302" t="s">
        <v>712</v>
      </c>
      <c r="F18" s="322">
        <f>'数据-取费表'!B36</f>
        <v>0.02</v>
      </c>
      <c r="G18" s="1393"/>
      <c r="H18" s="979" t="s">
        <v>397</v>
      </c>
      <c r="I18" s="302" t="s">
        <v>723</v>
      </c>
      <c r="J18" s="21" t="e">
        <f ca="1">ROUND(J6*M18/(1+'数据-取费表'!C42),0)</f>
        <v>#N/A</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t="e">
        <f ca="1">SUM(C14:C18)</f>
        <v>#N/A</v>
      </c>
      <c r="D19" s="131" t="s">
        <v>726</v>
      </c>
      <c r="E19" s="1357"/>
      <c r="F19" s="23"/>
      <c r="G19" s="1381"/>
      <c r="H19" s="979" t="s">
        <v>399</v>
      </c>
      <c r="I19" s="302" t="s">
        <v>727</v>
      </c>
      <c r="J19" s="21" t="e">
        <f ca="1">IF(K19="按租金收入计税",ROUND(J6*M19/(1+'数据-取费表'!C42),0),ROUND(C29*M19*0.7,0))</f>
        <v>#N/A</v>
      </c>
      <c r="K19" s="1367" t="s">
        <v>3337</v>
      </c>
      <c r="L19" s="302" t="s">
        <v>712</v>
      </c>
      <c r="M19" s="322">
        <f>IF(K19="按租金收入计税",'数据-取费表'!B51,'数据-取费表'!B50)</f>
        <v>0.12</v>
      </c>
    </row>
    <row r="20" spans="1:37" s="1394" customFormat="1" ht="18" customHeight="1">
      <c r="A20" s="979" t="s">
        <v>402</v>
      </c>
      <c r="B20" s="302" t="s">
        <v>728</v>
      </c>
      <c r="C20" s="21" t="e">
        <f ca="1">ROUND(C19*F20,0)</f>
        <v>#N/A</v>
      </c>
      <c r="D20" s="323" t="s">
        <v>729</v>
      </c>
      <c r="E20" s="302" t="s">
        <v>712</v>
      </c>
      <c r="F20" s="322">
        <f>'数据-取费表'!B37</f>
        <v>0.02</v>
      </c>
      <c r="G20" s="1393"/>
      <c r="H20" s="979" t="s">
        <v>680</v>
      </c>
      <c r="I20" s="155" t="s">
        <v>730</v>
      </c>
      <c r="J20" s="22" t="e">
        <f ca="1">ROUND(M20*M21,0)</f>
        <v>#N/A</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单利计息。建造成本、管理费用、销售费用产生的利息。</v>
      </c>
      <c r="E22" s="1357"/>
      <c r="F22" s="23"/>
      <c r="G22" s="1381"/>
      <c r="H22" s="979" t="s">
        <v>402</v>
      </c>
      <c r="I22" s="302" t="s">
        <v>738</v>
      </c>
      <c r="J22" s="21" t="e">
        <f ca="1">ROUND(J14*M22,0)</f>
        <v>#N/A</v>
      </c>
      <c r="K22" s="1341" t="s">
        <v>739</v>
      </c>
      <c r="L22" s="302" t="s">
        <v>712</v>
      </c>
      <c r="M22" s="328" t="e">
        <f ca="1">INDIRECT("'数据-取费表'!Ak"&amp;$G$1)</f>
        <v>#N/A</v>
      </c>
    </row>
    <row r="23" spans="1:37" s="1394" customFormat="1" ht="18" customHeight="1">
      <c r="A23" s="979"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3"/>
      <c r="H23" s="979" t="s">
        <v>437</v>
      </c>
      <c r="I23" s="302" t="s">
        <v>742</v>
      </c>
      <c r="J23" s="21" t="e">
        <f ca="1">ROUND(J13*M23,0)</f>
        <v>#N/A</v>
      </c>
      <c r="K23" s="1341" t="s">
        <v>743</v>
      </c>
      <c r="L23" s="302" t="s">
        <v>744</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6" t="s">
        <v>684</v>
      </c>
      <c r="I24" s="1087" t="s">
        <v>728</v>
      </c>
      <c r="J24" s="1088" t="e">
        <f ca="1">ROUND(J5*M24,0)</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t="e">
        <f ca="1">J5-J16</f>
        <v>#N/A</v>
      </c>
      <c r="K25" s="1092" t="s">
        <v>753</v>
      </c>
      <c r="L25" s="1093"/>
      <c r="M25" s="1094"/>
    </row>
    <row r="26" spans="1:37" ht="18" customHeight="1">
      <c r="A26" s="979" t="s">
        <v>397</v>
      </c>
      <c r="B26" s="302" t="s">
        <v>754</v>
      </c>
      <c r="C26" s="21" t="e">
        <f ca="1">ROUND((C19+C20)*F26,0)</f>
        <v>#N/A</v>
      </c>
      <c r="D26" s="323"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79" t="s">
        <v>399</v>
      </c>
      <c r="B27" s="302" t="s">
        <v>760</v>
      </c>
      <c r="C27" s="21" t="e">
        <f ca="1">ROUND(F21*F26,4)</f>
        <v>#N/A</v>
      </c>
      <c r="D27" s="323" t="s">
        <v>761</v>
      </c>
      <c r="E27" s="320"/>
      <c r="F27" s="321"/>
      <c r="G27" s="1381"/>
      <c r="H27" s="304"/>
      <c r="I27" s="305"/>
      <c r="J27" s="306"/>
      <c r="K27" s="332" t="s">
        <v>762</v>
      </c>
      <c r="L27" s="302" t="s">
        <v>763</v>
      </c>
      <c r="M27" s="333" t="e">
        <f ca="1">INDIRECT("'数据-取费表'!ag"&amp;$G$1)</f>
        <v>#N/A</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1085"/>
      <c r="F30" s="1069"/>
      <c r="G30" s="1381"/>
      <c r="H30" s="2693"/>
      <c r="I30" s="1395"/>
      <c r="J30" s="1396"/>
      <c r="K30" s="2471"/>
      <c r="L30" s="2694"/>
      <c r="M30" s="2695"/>
    </row>
    <row r="31" spans="1:37" ht="18" customHeight="1">
      <c r="A31" s="979" t="s">
        <v>398</v>
      </c>
      <c r="B31" s="302" t="s">
        <v>719</v>
      </c>
      <c r="C31" s="2312" t="e">
        <f ca="1">ROUND(IF(AND(项目基本情况!B11="自然人",项目基本情况!B10="北京市"),C6*F31/(1+'数据-取费表'!C42),C32+C33+C34),0)</f>
        <v>#N/A</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t="e">
        <f ca="1">IF(项目基本情况!B11="自然人","——",ROUND(C6*F32/(1+'数据-取费表'!C42),0))</f>
        <v>#N/A</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t="e">
        <f ca="1">IF(项目基本情况!B11="自然人","——",IF(D33="按租金收入计税",ROUND(C6*F33/(1+'数据-取费表'!C42),0),IF(D33="按房产原值计税",ROUND(C29*F33*0.7,0),INDIRECT("'数据-取费表'!Aj"&amp;$G$1))))</f>
        <v>#N/A</v>
      </c>
      <c r="D33" s="1367" t="s">
        <v>3337</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t="e">
        <f ca="1">IF(项目基本情况!B11="自然人","——",ROUND(F34*F35,0))</f>
        <v>#N/A</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t="e">
        <f ca="1">INDIRECT("'数据-取费表'!r"&amp;$G$1)</f>
        <v>#N/A</v>
      </c>
      <c r="G35" s="1381"/>
      <c r="H35" s="2693"/>
      <c r="I35" s="1395"/>
      <c r="J35" s="1396"/>
      <c r="K35" s="2697"/>
      <c r="L35" s="2696"/>
      <c r="M35" s="2696"/>
    </row>
    <row r="36" spans="1:18" ht="18" customHeight="1">
      <c r="A36" s="1099" t="s">
        <v>402</v>
      </c>
      <c r="B36" s="302" t="s">
        <v>738</v>
      </c>
      <c r="C36" s="21" t="e">
        <f ca="1">ROUND(C29*F36,0)</f>
        <v>#N/A</v>
      </c>
      <c r="D36" s="1341" t="s">
        <v>771</v>
      </c>
      <c r="E36" s="302" t="s">
        <v>712</v>
      </c>
      <c r="F36" s="328" t="e">
        <f ca="1">INDIRECT("'数据-取费表'!Ak"&amp;$G$1)</f>
        <v>#N/A</v>
      </c>
      <c r="G36" s="1381"/>
      <c r="H36" s="2696"/>
      <c r="I36" s="1395"/>
      <c r="J36" s="1396"/>
      <c r="K36" s="2540"/>
      <c r="L36" s="2696"/>
      <c r="M36" s="2696"/>
    </row>
    <row r="37" spans="1:18" ht="18" customHeight="1">
      <c r="A37" s="979" t="s">
        <v>437</v>
      </c>
      <c r="B37" s="302" t="s">
        <v>742</v>
      </c>
      <c r="C37" s="21" t="e">
        <f ca="1">ROUND(C13*F37,0)</f>
        <v>#N/A</v>
      </c>
      <c r="D37" s="1341" t="s">
        <v>743</v>
      </c>
      <c r="E37" s="302" t="s">
        <v>744</v>
      </c>
      <c r="F37" s="330" t="e">
        <f ca="1">INDIRECT("'数据-取费表'!Al"&amp;$G$1)</f>
        <v>#N/A</v>
      </c>
      <c r="G37" s="1381"/>
      <c r="H37" s="2696"/>
      <c r="I37" s="1395"/>
      <c r="J37" s="1396"/>
      <c r="K37" s="2540"/>
      <c r="L37" s="2696"/>
      <c r="M37" s="2696"/>
    </row>
    <row r="38" spans="1:18" ht="18" customHeight="1" thickBot="1">
      <c r="A38" s="1086" t="s">
        <v>684</v>
      </c>
      <c r="B38" s="1087" t="s">
        <v>728</v>
      </c>
      <c r="C38" s="1088" t="e">
        <f ca="1">ROUND(C5*F38,0)</f>
        <v>#N/A</v>
      </c>
      <c r="D38" s="1089" t="s">
        <v>748</v>
      </c>
      <c r="E38" s="1087" t="s">
        <v>744</v>
      </c>
      <c r="F38" s="1083" t="e">
        <f ca="1">INDIRECT("'数据-取费表'!Am"&amp;$G$1)</f>
        <v>#N/A</v>
      </c>
      <c r="G38" s="1381"/>
      <c r="H38" s="2696"/>
      <c r="I38" s="1395"/>
      <c r="J38" s="1396"/>
      <c r="K38" s="2700"/>
      <c r="L38" s="2696"/>
      <c r="M38" s="2696"/>
    </row>
    <row r="39" spans="1:18" ht="24.6" customHeight="1" thickTop="1">
      <c r="A39" s="1076" t="s">
        <v>394</v>
      </c>
      <c r="B39" s="1091" t="s">
        <v>772</v>
      </c>
      <c r="C39" s="310" t="e">
        <f ca="1">C5-C30</f>
        <v>#N/A</v>
      </c>
      <c r="D39" s="1092" t="s">
        <v>773</v>
      </c>
      <c r="E39" s="1093"/>
      <c r="F39" s="1094"/>
      <c r="G39" s="1381"/>
      <c r="H39" s="2696"/>
      <c r="I39" s="1395"/>
      <c r="J39" s="1396"/>
      <c r="K39" s="2700"/>
      <c r="L39" s="2696"/>
      <c r="M39" s="2696"/>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0"/>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0"/>
      <c r="L41" s="1188"/>
      <c r="M41" s="1188"/>
    </row>
    <row r="42" spans="1:18" ht="18" customHeight="1">
      <c r="A42" s="308"/>
      <c r="B42" s="309"/>
      <c r="C42" s="310"/>
      <c r="D42" s="327"/>
      <c r="E42" s="302" t="s">
        <v>766</v>
      </c>
      <c r="F42" s="312" t="e">
        <f ca="1">INDIRECT("'数据-取费表'!v"&amp;$G$1)</f>
        <v>#N/A</v>
      </c>
      <c r="G42" s="1381"/>
      <c r="H42" s="1188"/>
      <c r="I42" s="1395"/>
      <c r="J42" s="1396"/>
      <c r="K42" s="2540"/>
      <c r="L42" s="1188"/>
      <c r="M42" s="1188"/>
    </row>
    <row r="43" spans="1:18" ht="18" customHeight="1" thickBot="1">
      <c r="A43" s="334" t="s">
        <v>396</v>
      </c>
      <c r="B43" s="335" t="s">
        <v>776</v>
      </c>
      <c r="C43" s="336" t="e">
        <f ca="1">ROUND(C40/F43,0)</f>
        <v>#N/A</v>
      </c>
      <c r="D43" s="337" t="s">
        <v>777</v>
      </c>
      <c r="E43" s="338" t="s">
        <v>778</v>
      </c>
      <c r="F43" s="339" t="e">
        <f ca="1">INDIRECT("'数据-取费表'!k"&amp;$G$1)</f>
        <v>#N/A</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3353</v>
      </c>
      <c r="B45" s="1397"/>
      <c r="C45" s="1469" t="e">
        <f ca="1">ROUND((C68-C40)/10000,4)</f>
        <v>#N/A</v>
      </c>
      <c r="D45" s="3428" t="s">
        <v>3354</v>
      </c>
      <c r="E45" s="1397"/>
      <c r="F45" s="1397"/>
      <c r="O45" s="1400" t="s">
        <v>808</v>
      </c>
      <c r="P45" s="1458"/>
      <c r="Q45" s="1458"/>
      <c r="R45" s="1458"/>
    </row>
    <row r="46" spans="1:18" s="1381" customFormat="1" ht="13.5" thickBot="1">
      <c r="A46" s="1401" t="s">
        <v>809</v>
      </c>
      <c r="C46" s="1402" t="e">
        <f ca="1">ROUND(C45,0)</f>
        <v>#N/A</v>
      </c>
      <c r="D46" s="1403" t="str">
        <f>C2</f>
        <v>万元</v>
      </c>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3408</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1356" t="e">
        <f ca="1">C49+C53+C55</f>
        <v>#N/A</v>
      </c>
      <c r="D48" s="1109"/>
      <c r="E48" s="1110"/>
      <c r="F48" s="959"/>
      <c r="G48" s="719"/>
      <c r="H48" s="720"/>
      <c r="I48" s="1418" t="s">
        <v>819</v>
      </c>
      <c r="J48" s="1419" t="s">
        <v>3426</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ROUND(F49*F51*F50*(1-F52),0)</f>
        <v>#N/A</v>
      </c>
      <c r="D49" s="1052" t="s">
        <v>695</v>
      </c>
      <c r="E49" s="1369" t="s">
        <v>780</v>
      </c>
      <c r="F49" s="1057"/>
      <c r="G49" s="1422"/>
      <c r="H49" s="720"/>
      <c r="I49" s="1418" t="s">
        <v>823</v>
      </c>
      <c r="J49" s="1423">
        <f>'数据-取费表'!N17</f>
        <v>2002</v>
      </c>
      <c r="K49" s="1420" t="s">
        <v>824</v>
      </c>
      <c r="L49" s="1424"/>
      <c r="O49" s="1425" t="s">
        <v>405</v>
      </c>
      <c r="P49" s="1416" t="s">
        <v>825</v>
      </c>
      <c r="Q49" s="1417" t="e">
        <f ca="1">C29</f>
        <v>#N/A</v>
      </c>
      <c r="R49" s="1417" t="s">
        <v>818</v>
      </c>
    </row>
    <row r="50" spans="1:18" s="1381" customFormat="1" ht="13.5" thickBot="1">
      <c r="A50" s="973"/>
      <c r="B50" s="976"/>
      <c r="C50" s="977"/>
      <c r="D50" s="950"/>
      <c r="E50" s="1053" t="s">
        <v>697</v>
      </c>
      <c r="F50" s="1054" t="e">
        <f ca="1">F7</f>
        <v>#N/A</v>
      </c>
      <c r="H50" s="720"/>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3" t="e">
        <f ca="1">F8</f>
        <v>#N/A</v>
      </c>
      <c r="I51" s="1429" t="s">
        <v>829</v>
      </c>
      <c r="J51" s="1430">
        <f>IF(J49="",J50,J49+J50-YEAR('数据-取费表'!B2))</f>
        <v>38</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t="e">
        <f ca="1">J53</f>
        <v>#N/A</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t="e">
        <f ca="1">IF(M47="住宅",IF(D1="——",MAX(J51,L48),MAX(J51,L48-'数据-取费表'!B24)),IF(D1="——",MIN(J51,L48),MIN(J51,L48-'数据-取费表'!B24)))</f>
        <v>#N/A</v>
      </c>
      <c r="K53" s="3675" t="s">
        <v>837</v>
      </c>
      <c r="L53" s="3676"/>
      <c r="O53" s="1415" t="s">
        <v>409</v>
      </c>
      <c r="P53" s="1416" t="s">
        <v>838</v>
      </c>
      <c r="Q53" s="1417" t="e">
        <f ca="1">Q47+Q48</f>
        <v>#N/A</v>
      </c>
      <c r="R53" s="1417" t="s">
        <v>410</v>
      </c>
    </row>
    <row r="54" spans="1:18" s="1381" customFormat="1" ht="13.5" thickBot="1">
      <c r="A54" s="972"/>
      <c r="B54" s="1470" t="s">
        <v>891</v>
      </c>
      <c r="C54" s="956"/>
      <c r="D54" s="1363"/>
      <c r="E54" s="1371"/>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#N/A</v>
      </c>
      <c r="K55" s="1442" t="s">
        <v>841</v>
      </c>
      <c r="L55" s="1443"/>
      <c r="O55" s="1408" t="s">
        <v>811</v>
      </c>
      <c r="P55" s="1409" t="s">
        <v>812</v>
      </c>
      <c r="Q55" s="1410" t="s">
        <v>813</v>
      </c>
      <c r="R55" s="1410" t="s">
        <v>814</v>
      </c>
    </row>
    <row r="56" spans="1:18" s="1381" customFormat="1" ht="36" customHeight="1" thickTop="1" thickBot="1">
      <c r="A56" s="954">
        <v>2</v>
      </c>
      <c r="B56" s="955" t="s">
        <v>704</v>
      </c>
      <c r="C56" s="232" t="e">
        <f ca="1">C13</f>
        <v>#N/A</v>
      </c>
      <c r="D56" s="1444"/>
      <c r="E56" s="1445"/>
      <c r="F56" s="1437"/>
      <c r="I56" s="1446" t="s">
        <v>842</v>
      </c>
      <c r="J56" s="1447" t="s">
        <v>3384</v>
      </c>
      <c r="K56" s="1418" t="s">
        <v>843</v>
      </c>
      <c r="L56" s="1421" t="e">
        <f ca="1">IF(L48&lt;J51,"——",L48-J51)</f>
        <v>#N/A</v>
      </c>
      <c r="O56" s="1415" t="s">
        <v>403</v>
      </c>
      <c r="P56" s="1416" t="s">
        <v>817</v>
      </c>
      <c r="Q56" s="1417" t="e">
        <f ca="1">C40+J29</f>
        <v>#N/A</v>
      </c>
      <c r="R56" s="1417" t="s">
        <v>818</v>
      </c>
    </row>
    <row r="57" spans="1:18" s="1381" customFormat="1" ht="24.75" thickBot="1">
      <c r="A57" s="1448"/>
      <c r="B57" s="947" t="s">
        <v>767</v>
      </c>
      <c r="C57" s="238" t="e">
        <f ca="1">C29</f>
        <v>#N/A</v>
      </c>
      <c r="D57" s="1449"/>
      <c r="E57" s="1450"/>
      <c r="F57" s="1451"/>
      <c r="I57" s="1452" t="s">
        <v>844</v>
      </c>
      <c r="J57" s="1453" t="e">
        <f ca="1">IF(OR(M47="住宅",J51&lt;L48,J56="是"),"——",J51-L48)</f>
        <v>#N/A</v>
      </c>
      <c r="K57" s="1418" t="s">
        <v>892</v>
      </c>
      <c r="L57" s="1421" t="e">
        <f ca="1">IF(L48&lt;J51,"——",IF(L55="比较法",L49,IF(L55="基准地价",L50,L51)))</f>
        <v>#N/A</v>
      </c>
      <c r="O57" s="1415" t="s">
        <v>404</v>
      </c>
      <c r="P57" s="1416" t="s">
        <v>893</v>
      </c>
      <c r="Q57" s="1417" t="e">
        <f ca="1">L60</f>
        <v>#N/A</v>
      </c>
      <c r="R57" s="1417" t="s">
        <v>894</v>
      </c>
    </row>
    <row r="58" spans="1:18" s="1381" customFormat="1" ht="24.75" thickBot="1">
      <c r="A58" s="315" t="s">
        <v>393</v>
      </c>
      <c r="B58" s="955" t="s">
        <v>714</v>
      </c>
      <c r="C58" s="316" t="e">
        <f ca="1">ROUND(C59+C64+C65+C66,0)</f>
        <v>#N/A</v>
      </c>
      <c r="D58" s="957" t="s">
        <v>715</v>
      </c>
      <c r="E58" s="958"/>
      <c r="F58" s="959"/>
      <c r="I58" s="1452" t="s">
        <v>848</v>
      </c>
      <c r="J58" s="1454" t="e">
        <f ca="1">IF(J55&lt;0.4,0.4,J55)</f>
        <v>#N/A</v>
      </c>
      <c r="K58" s="1431" t="s">
        <v>895</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2" t="e">
        <f ca="1">ROUND(IF(AND(项目基本情况!B11="自然人",项目基本情况!B10="北京市"),C49*F59/(1+'数据-取费表'!C42),C60+C61+C62),0)</f>
        <v>#N/A</v>
      </c>
      <c r="D59" s="960" t="s">
        <v>720</v>
      </c>
      <c r="E59" s="961" t="s">
        <v>721</v>
      </c>
      <c r="F59" s="2311"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e">
        <f ca="1">IF(项目基本情况!B11="自然人","——",ROUND(C48*F60/(1+'数据-取费表'!C42),0))</f>
        <v>#N/A</v>
      </c>
      <c r="D60" s="961" t="s">
        <v>724</v>
      </c>
      <c r="E60" s="947" t="s">
        <v>712</v>
      </c>
      <c r="F60" s="331">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e">
        <f ca="1">IF(项目基本情况!B11="自然人","——",IF(D61="按租金收入计税",ROUND(C49*F61/(1+'数据-取费表'!C42),0),IF(D61="按房产原值计税",ROUND(C57*F61*0.7,0),INDIRECT("'数据-取费表'!Aj"&amp;$G$1))))</f>
        <v>#N/A</v>
      </c>
      <c r="D61" s="1367" t="s">
        <v>3337</v>
      </c>
      <c r="E61" s="947" t="s">
        <v>783</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e">
        <f ca="1">IF(项目基本情况!B11="自然人","——",ROUND(F62*F63,0))</f>
        <v>#N/A</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6"/>
      <c r="B63" s="953"/>
      <c r="C63" s="26"/>
      <c r="D63" s="963"/>
      <c r="E63" s="947" t="s">
        <v>788</v>
      </c>
      <c r="F63" s="303"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ROUND(C57*F64,0)</f>
        <v>#N/A</v>
      </c>
      <c r="D64" s="961" t="s">
        <v>791</v>
      </c>
      <c r="E64" s="947" t="s">
        <v>783</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ROUND(C56*F65,0)</f>
        <v>#N/A</v>
      </c>
      <c r="D65" s="961" t="s">
        <v>743</v>
      </c>
      <c r="E65" s="947" t="s">
        <v>744</v>
      </c>
      <c r="F65" s="330"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ROUND(C48*F66,0)</f>
        <v>#N/A</v>
      </c>
      <c r="D66" s="961" t="s">
        <v>794</v>
      </c>
      <c r="E66" s="947" t="s">
        <v>712</v>
      </c>
      <c r="F66" s="312" t="e">
        <f t="shared" ca="1" si="0"/>
        <v>#N/A</v>
      </c>
      <c r="O66" s="1415" t="s">
        <v>404</v>
      </c>
      <c r="P66" s="1416" t="s">
        <v>846</v>
      </c>
      <c r="Q66" s="1417" t="e">
        <f ca="1">L60</f>
        <v>#N/A</v>
      </c>
      <c r="R66" s="1417" t="s">
        <v>869</v>
      </c>
    </row>
    <row r="67" spans="1:18" s="1381" customFormat="1" ht="16.5" thickBot="1">
      <c r="A67" s="954" t="s">
        <v>394</v>
      </c>
      <c r="B67" s="964" t="s">
        <v>752</v>
      </c>
      <c r="C67" s="316"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301" t="e">
        <f ca="1">ROUND(C67*(1-((1+F70)/(1+F68))^F69)/(F68-F70),0)</f>
        <v>#N/A</v>
      </c>
      <c r="D68" s="962" t="s">
        <v>758</v>
      </c>
      <c r="E68" s="947" t="s">
        <v>759</v>
      </c>
      <c r="F68" s="312" t="e">
        <f ca="1">F40</f>
        <v>#N/A</v>
      </c>
      <c r="O68" s="1425" t="s">
        <v>406</v>
      </c>
      <c r="P68" s="1464" t="s">
        <v>871</v>
      </c>
      <c r="Q68" s="1417" t="e">
        <f ca="1">ROUND(Q69-Q70*Q71,0)</f>
        <v>#N/A</v>
      </c>
      <c r="R68" s="1417" t="s">
        <v>414</v>
      </c>
    </row>
    <row r="69" spans="1:18" s="1381" customFormat="1" ht="13.5" thickBot="1">
      <c r="A69" s="948"/>
      <c r="B69" s="949"/>
      <c r="C69" s="306"/>
      <c r="D69" s="967" t="s">
        <v>762</v>
      </c>
      <c r="E69" s="947" t="s">
        <v>763</v>
      </c>
      <c r="F69" s="333" t="e">
        <f ca="1">F41</f>
        <v>#N/A</v>
      </c>
      <c r="O69" s="1425" t="s">
        <v>411</v>
      </c>
      <c r="P69" s="1464" t="s">
        <v>872</v>
      </c>
      <c r="Q69" s="1417" t="e">
        <f ca="1">C39</f>
        <v>#N/A</v>
      </c>
      <c r="R69" s="1417" t="s">
        <v>818</v>
      </c>
    </row>
    <row r="70" spans="1:18" s="1381" customFormat="1" ht="13.5" thickBot="1">
      <c r="A70" s="951"/>
      <c r="B70" s="952"/>
      <c r="C70" s="310"/>
      <c r="D70" s="963"/>
      <c r="E70" s="947" t="s">
        <v>766</v>
      </c>
      <c r="F70" s="1051"/>
      <c r="O70" s="1425" t="s">
        <v>412</v>
      </c>
      <c r="P70" s="1464" t="s">
        <v>873</v>
      </c>
      <c r="Q70" s="1417" t="e">
        <f ca="1">C13</f>
        <v>#N/A</v>
      </c>
      <c r="R70" s="1417" t="s">
        <v>818</v>
      </c>
    </row>
    <row r="71" spans="1:18" s="1381" customFormat="1" ht="13.5" thickBot="1">
      <c r="A71" s="968" t="s">
        <v>396</v>
      </c>
      <c r="B71" s="969" t="s">
        <v>776</v>
      </c>
      <c r="C71" s="336" t="e">
        <f ca="1">ROUND(C68/F71,0)</f>
        <v>#N/A</v>
      </c>
      <c r="D71" s="970" t="s">
        <v>777</v>
      </c>
      <c r="E71" s="971" t="s">
        <v>778</v>
      </c>
      <c r="F71" s="339"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9" t="s">
        <v>3360</v>
      </c>
      <c r="E2" s="3440"/>
      <c r="F2" s="2842"/>
      <c r="G2" s="2843"/>
      <c r="H2" s="2844"/>
      <c r="I2" s="2845"/>
      <c r="J2" s="3692" t="s">
        <v>2320</v>
      </c>
      <c r="K2" s="3693"/>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94" t="s">
        <v>2330</v>
      </c>
      <c r="K3" s="3695"/>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94" t="s">
        <v>2332</v>
      </c>
      <c r="K4" s="3695"/>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00" t="s">
        <v>2336</v>
      </c>
      <c r="B6" s="3701"/>
      <c r="C6" s="3702"/>
      <c r="D6" s="2866"/>
      <c r="E6" s="2867"/>
      <c r="F6" s="2868"/>
      <c r="G6" s="2869"/>
      <c r="H6" s="2844"/>
      <c r="I6" s="2845"/>
      <c r="J6" s="3686">
        <v>1</v>
      </c>
      <c r="K6" s="3687"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86"/>
      <c r="K7" s="3688"/>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03" t="s">
        <v>2350</v>
      </c>
      <c r="C8" s="3704"/>
      <c r="D8" s="2885" t="s">
        <v>2351</v>
      </c>
      <c r="E8" s="2886" t="s">
        <v>2352</v>
      </c>
      <c r="F8" s="2887" t="s">
        <v>2353</v>
      </c>
      <c r="G8" s="2888"/>
      <c r="H8" s="2844"/>
      <c r="I8" s="2845"/>
      <c r="J8" s="3686"/>
      <c r="K8" s="3688"/>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03" t="s">
        <v>2356</v>
      </c>
      <c r="C9" s="3704"/>
      <c r="D9" s="2885">
        <f>ROUND(D6*E9,0)</f>
        <v>0</v>
      </c>
      <c r="E9" s="2889"/>
      <c r="F9" s="2890" t="s">
        <v>2357</v>
      </c>
      <c r="G9" s="2869"/>
      <c r="H9" s="2844"/>
      <c r="I9" s="2845"/>
      <c r="J9" s="3686"/>
      <c r="K9" s="3688"/>
      <c r="L9" s="2879" t="s">
        <v>2358</v>
      </c>
      <c r="M9" s="2880"/>
      <c r="N9" s="2856"/>
      <c r="O9" s="2881"/>
      <c r="P9" s="2881"/>
      <c r="Q9" s="2882">
        <v>365</v>
      </c>
      <c r="R9" s="2883">
        <f t="shared" si="0"/>
        <v>0</v>
      </c>
      <c r="S9" s="2837"/>
      <c r="T9" s="2837"/>
      <c r="U9" s="2837"/>
      <c r="V9" s="2845"/>
    </row>
    <row r="10" spans="1:22" s="2849" customFormat="1" ht="13.15" customHeight="1">
      <c r="A10" s="2884">
        <v>2</v>
      </c>
      <c r="B10" s="3703" t="s">
        <v>2359</v>
      </c>
      <c r="C10" s="3704"/>
      <c r="D10" s="2885">
        <f>ROUND(D6*E10,0)</f>
        <v>0</v>
      </c>
      <c r="E10" s="2889"/>
      <c r="F10" s="2890" t="s">
        <v>2360</v>
      </c>
      <c r="G10" s="2869"/>
      <c r="H10" s="2844"/>
      <c r="I10" s="2845"/>
      <c r="J10" s="3686"/>
      <c r="K10" s="3688"/>
      <c r="L10" s="2879" t="s">
        <v>2361</v>
      </c>
      <c r="M10" s="2880"/>
      <c r="N10" s="2856"/>
      <c r="O10" s="2881"/>
      <c r="P10" s="2881"/>
      <c r="Q10" s="2882">
        <v>365</v>
      </c>
      <c r="R10" s="2883">
        <f t="shared" si="0"/>
        <v>0</v>
      </c>
      <c r="S10" s="2837"/>
      <c r="T10" s="2837"/>
      <c r="U10" s="2837"/>
      <c r="V10" s="2845"/>
    </row>
    <row r="11" spans="1:22" s="2849" customFormat="1" ht="13.15" customHeight="1">
      <c r="A11" s="2884">
        <v>3</v>
      </c>
      <c r="B11" s="3703" t="s">
        <v>2362</v>
      </c>
      <c r="C11" s="3704"/>
      <c r="D11" s="2885">
        <f>D12+D14+D15+D16</f>
        <v>0</v>
      </c>
      <c r="E11" s="2891" t="e">
        <f>D11/D6</f>
        <v>#DIV/0!</v>
      </c>
      <c r="F11" s="2887"/>
      <c r="G11" s="2888"/>
      <c r="H11" s="2844"/>
      <c r="I11" s="2845"/>
      <c r="J11" s="3686"/>
      <c r="K11" s="3688"/>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96" t="s">
        <v>2365</v>
      </c>
      <c r="C12" s="3697"/>
      <c r="D12" s="2893">
        <f>ROUND(D13*1.2%*(1-30%),0)</f>
        <v>0</v>
      </c>
      <c r="E12" s="2894">
        <v>1.2E-2</v>
      </c>
      <c r="F12" s="2887" t="s">
        <v>2366</v>
      </c>
      <c r="G12" s="2888"/>
      <c r="H12" s="2844"/>
      <c r="I12" s="2845"/>
      <c r="J12" s="3686"/>
      <c r="K12" s="3688"/>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86"/>
      <c r="K13" s="3688"/>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96" t="s">
        <v>2371</v>
      </c>
      <c r="C14" s="3697"/>
      <c r="D14" s="2893">
        <f>ROUND(E14*B5/10000,0)</f>
        <v>0</v>
      </c>
      <c r="E14" s="2882"/>
      <c r="F14" s="2887" t="s">
        <v>2372</v>
      </c>
      <c r="G14" s="2888"/>
      <c r="H14" s="2844"/>
      <c r="I14" s="2845"/>
      <c r="J14" s="3686"/>
      <c r="K14" s="3689"/>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96" t="s">
        <v>2375</v>
      </c>
      <c r="C15" s="3697"/>
      <c r="D15" s="2893">
        <f>ROUND(D6*E15,0)</f>
        <v>0</v>
      </c>
      <c r="E15" s="2894">
        <v>5.5E-2</v>
      </c>
      <c r="F15" s="2887" t="s">
        <v>2376</v>
      </c>
      <c r="G15" s="2869"/>
      <c r="H15" s="2844"/>
      <c r="I15" s="2845"/>
      <c r="J15" s="3686">
        <v>2</v>
      </c>
      <c r="K15" s="3687"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96" t="s">
        <v>2384</v>
      </c>
      <c r="C16" s="3697"/>
      <c r="D16" s="2904">
        <f>D6*E16</f>
        <v>0</v>
      </c>
      <c r="E16" s="2905"/>
      <c r="F16" s="2890" t="s">
        <v>2385</v>
      </c>
      <c r="G16" s="2869"/>
      <c r="H16" s="2844"/>
      <c r="I16" s="2845"/>
      <c r="J16" s="3686"/>
      <c r="K16" s="3688"/>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98" t="s">
        <v>2387</v>
      </c>
      <c r="C17" s="3699"/>
      <c r="D17" s="2907">
        <f>ROUND(D6*E17,0)</f>
        <v>0</v>
      </c>
      <c r="E17" s="2908"/>
      <c r="F17" s="2909" t="s">
        <v>2388</v>
      </c>
      <c r="G17" s="2869"/>
      <c r="H17" s="2844"/>
      <c r="I17" s="2845"/>
      <c r="J17" s="3686"/>
      <c r="K17" s="3688"/>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86"/>
      <c r="K18" s="3688"/>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86"/>
      <c r="K19" s="3689"/>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6">
        <v>3</v>
      </c>
      <c r="K20" s="3687"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86"/>
      <c r="K21" s="3688"/>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86"/>
      <c r="K22" s="3688"/>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86"/>
      <c r="K23" s="3688"/>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86"/>
      <c r="K24" s="3689"/>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90">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9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92" t="s">
        <v>2320</v>
      </c>
      <c r="K32" s="3693"/>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94" t="s">
        <v>2330</v>
      </c>
      <c r="K33" s="3695"/>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94" t="s">
        <v>2332</v>
      </c>
      <c r="K34" s="369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86">
        <v>1</v>
      </c>
      <c r="K36" s="3687"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86"/>
      <c r="K37" s="3688"/>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6"/>
      <c r="K38" s="3688"/>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86"/>
      <c r="K39" s="3688"/>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86"/>
      <c r="K40" s="3689"/>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0">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9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3"/>
      <c r="G1" s="1486"/>
      <c r="H1" s="1486"/>
      <c r="I1" s="1486"/>
      <c r="J1" s="1486"/>
      <c r="K1" s="1486"/>
      <c r="L1" s="1486"/>
      <c r="M1" s="1486"/>
      <c r="N1" s="1486"/>
      <c r="O1" s="1486"/>
      <c r="P1" s="1486"/>
      <c r="Q1" s="1486"/>
      <c r="R1" s="1486"/>
      <c r="S1" s="1486"/>
    </row>
    <row r="2" spans="1:22" ht="15.75">
      <c r="A2" s="1866" t="s">
        <v>1462</v>
      </c>
      <c r="B2" s="1867">
        <f ca="1">SUMIF(B6:B13,"&lt;&gt;#ref!",B6:B13)</f>
        <v>1862</v>
      </c>
      <c r="C2" s="1868" t="s">
        <v>1651</v>
      </c>
      <c r="D2" s="1869" t="s">
        <v>1652</v>
      </c>
      <c r="E2" s="2603">
        <f>SUM(E6:E13)</f>
        <v>2625.54</v>
      </c>
      <c r="F2" s="2703"/>
      <c r="G2" s="1486"/>
      <c r="H2" s="1486"/>
      <c r="I2" s="1486"/>
      <c r="J2" s="1486"/>
      <c r="K2" s="1486"/>
      <c r="L2" s="1486"/>
      <c r="M2" s="1486"/>
      <c r="N2" s="1486"/>
      <c r="O2" s="1486"/>
      <c r="P2" s="1486"/>
      <c r="Q2" s="1486"/>
      <c r="R2" s="1486"/>
      <c r="S2" s="1486"/>
    </row>
    <row r="3" spans="1:22" ht="15.75">
      <c r="A3" s="1866" t="s">
        <v>686</v>
      </c>
      <c r="B3" s="2597">
        <f ca="1">ROUND(B2*10000/E2,0)</f>
        <v>7092</v>
      </c>
      <c r="C3" s="1868"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05" t="s">
        <v>1654</v>
      </c>
      <c r="C5" s="3706"/>
      <c r="D5" s="2704"/>
      <c r="E5" s="1870" t="s">
        <v>1655</v>
      </c>
      <c r="F5" s="1871"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1862</v>
      </c>
      <c r="C6" s="1868" t="s">
        <v>1651</v>
      </c>
      <c r="D6" s="2705"/>
      <c r="E6" s="2602">
        <f>IF(OR(A6=0,F6="否"),0,'数据-取费表'!K6+'数据-取费表'!S6)</f>
        <v>2625.54</v>
      </c>
      <c r="F6" s="1872"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8" t="s">
        <v>1651</v>
      </c>
      <c r="D7" s="2705"/>
      <c r="E7" s="2602">
        <f>IF(OR(A7=0,F7="否"),0,'数据-取费表'!K7+'数据-取费表'!S7)</f>
        <v>0</v>
      </c>
      <c r="F7" s="1872"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8" t="s">
        <v>1651</v>
      </c>
      <c r="D8" s="2705"/>
      <c r="E8" s="2602">
        <f>IF(OR(A8=0,F8="否"),0,'数据-取费表'!K8+'数据-取费表'!S8)</f>
        <v>0</v>
      </c>
      <c r="F8" s="1872"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8" t="s">
        <v>1651</v>
      </c>
      <c r="D9" s="2705"/>
      <c r="E9" s="2602">
        <f>IF(OR(A9=0,F9="否"),0,'数据-取费表'!K9+'数据-取费表'!S9)</f>
        <v>0</v>
      </c>
      <c r="F9" s="1872"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8" t="s">
        <v>1651</v>
      </c>
      <c r="D10" s="2705"/>
      <c r="E10" s="2602">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8" t="s">
        <v>1651</v>
      </c>
      <c r="D11" s="2705"/>
      <c r="E11" s="2602">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8" t="s">
        <v>1651</v>
      </c>
      <c r="D12" s="2705"/>
      <c r="E12" s="2602">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2625.54</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25" t="s">
        <v>1667</v>
      </c>
      <c r="D4" s="3726"/>
      <c r="E4" s="3727" t="s">
        <v>1668</v>
      </c>
      <c r="F4" s="3728"/>
      <c r="G4" s="3725" t="s">
        <v>1669</v>
      </c>
      <c r="H4" s="3726"/>
      <c r="I4" s="3725" t="s">
        <v>1670</v>
      </c>
      <c r="J4" s="3726"/>
      <c r="K4" s="1885" t="s">
        <v>1671</v>
      </c>
      <c r="L4" s="2711"/>
      <c r="M4" s="2712"/>
      <c r="N4" s="2712"/>
      <c r="O4" s="2712"/>
      <c r="P4" s="3729" t="s">
        <v>1672</v>
      </c>
      <c r="Q4" s="3730"/>
      <c r="R4" s="3735" t="s">
        <v>1668</v>
      </c>
      <c r="S4" s="3736"/>
      <c r="T4" s="3735" t="s">
        <v>1669</v>
      </c>
      <c r="U4" s="3736"/>
      <c r="V4" s="3741" t="s">
        <v>1670</v>
      </c>
      <c r="W4" s="3741"/>
      <c r="X4" s="1352"/>
      <c r="Y4" s="3735" t="s">
        <v>1672</v>
      </c>
      <c r="Z4" s="3736"/>
      <c r="AA4" s="3722" t="s">
        <v>1668</v>
      </c>
      <c r="AB4" s="3722" t="s">
        <v>1669</v>
      </c>
      <c r="AC4" s="3722" t="s">
        <v>1670</v>
      </c>
    </row>
    <row r="5" spans="1:29" ht="15">
      <c r="A5" s="358"/>
      <c r="B5" s="359"/>
      <c r="C5" s="3744" t="s">
        <v>1673</v>
      </c>
      <c r="D5" s="3745"/>
      <c r="E5" s="3751" t="s">
        <v>1674</v>
      </c>
      <c r="F5" s="3752"/>
      <c r="G5" s="3744" t="s">
        <v>1675</v>
      </c>
      <c r="H5" s="3745"/>
      <c r="I5" s="3744" t="s">
        <v>1676</v>
      </c>
      <c r="J5" s="3745"/>
      <c r="K5" s="1886"/>
      <c r="L5" s="2711"/>
      <c r="M5" s="2712"/>
      <c r="N5" s="2712"/>
      <c r="O5" s="2712"/>
      <c r="P5" s="3731"/>
      <c r="Q5" s="3732"/>
      <c r="R5" s="3737"/>
      <c r="S5" s="3738"/>
      <c r="T5" s="3737"/>
      <c r="U5" s="3738"/>
      <c r="V5" s="3741"/>
      <c r="W5" s="3741"/>
      <c r="X5" s="1352"/>
      <c r="Y5" s="3737"/>
      <c r="Z5" s="3738"/>
      <c r="AA5" s="3723"/>
      <c r="AB5" s="3723"/>
      <c r="AC5" s="3723"/>
    </row>
    <row r="6" spans="1:29" ht="15.75" thickBot="1">
      <c r="A6" s="360"/>
      <c r="B6" s="361"/>
      <c r="C6" s="3742" t="s">
        <v>1677</v>
      </c>
      <c r="D6" s="3743"/>
      <c r="E6" s="3749" t="s">
        <v>1677</v>
      </c>
      <c r="F6" s="3750"/>
      <c r="G6" s="3742" t="s">
        <v>1677</v>
      </c>
      <c r="H6" s="3743"/>
      <c r="I6" s="3742" t="s">
        <v>1677</v>
      </c>
      <c r="J6" s="3743"/>
      <c r="K6" s="1886" t="s">
        <v>1678</v>
      </c>
      <c r="L6" s="2711"/>
      <c r="M6" s="2712"/>
      <c r="N6" s="2712"/>
      <c r="O6" s="2712"/>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46" t="s">
        <v>1680</v>
      </c>
      <c r="Q7" s="3748"/>
      <c r="R7" s="698" t="s">
        <v>20</v>
      </c>
      <c r="S7" s="699">
        <f t="shared" ref="S7:S15" si="0">F7</f>
        <v>0</v>
      </c>
      <c r="T7" s="698" t="s">
        <v>20</v>
      </c>
      <c r="U7" s="699">
        <f t="shared" ref="U7:U15" si="1">H7</f>
        <v>0</v>
      </c>
      <c r="V7" s="698" t="s">
        <v>20</v>
      </c>
      <c r="W7" s="699">
        <f t="shared" ref="W7:W15"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46" t="s">
        <v>1683</v>
      </c>
      <c r="Q8" s="3747"/>
      <c r="R8" s="698" t="s">
        <v>20</v>
      </c>
      <c r="S8" s="699">
        <f t="shared" si="0"/>
        <v>100</v>
      </c>
      <c r="T8" s="698" t="s">
        <v>20</v>
      </c>
      <c r="U8" s="699">
        <f t="shared" si="1"/>
        <v>100</v>
      </c>
      <c r="V8" s="698" t="s">
        <v>20</v>
      </c>
      <c r="W8" s="699">
        <f t="shared" si="2"/>
        <v>100</v>
      </c>
      <c r="X8" s="700"/>
      <c r="Y8" s="3746" t="s">
        <v>1683</v>
      </c>
      <c r="Z8" s="3747"/>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1"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21"/>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1"/>
      <c r="Q11" s="1340" t="str">
        <f t="shared" si="6"/>
        <v>容积率</v>
      </c>
      <c r="R11" s="698" t="s">
        <v>18</v>
      </c>
      <c r="S11" s="699" t="e">
        <f t="shared" si="0"/>
        <v>#N/A</v>
      </c>
      <c r="T11" s="698" t="s">
        <v>18</v>
      </c>
      <c r="U11" s="699" t="e">
        <f t="shared" si="1"/>
        <v>#N/A</v>
      </c>
      <c r="V11" s="698" t="s">
        <v>18</v>
      </c>
      <c r="W11" s="699" t="e">
        <f t="shared" si="2"/>
        <v>#N/A</v>
      </c>
      <c r="X11" s="700"/>
      <c r="Y11" s="3560"/>
      <c r="Z11" s="52" t="str">
        <f t="shared" si="7"/>
        <v>容积率</v>
      </c>
      <c r="AA11" s="701" t="e">
        <f t="shared" si="3"/>
        <v>#N/A</v>
      </c>
      <c r="AB11" s="701" t="e">
        <f t="shared" si="4"/>
        <v>#N/A</v>
      </c>
      <c r="AC11" s="701"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1"/>
      <c r="Q12" s="1340">
        <f t="shared" si="6"/>
        <v>111</v>
      </c>
      <c r="R12" s="698" t="s">
        <v>18</v>
      </c>
      <c r="S12" s="699">
        <f t="shared" si="0"/>
        <v>100</v>
      </c>
      <c r="T12" s="698" t="s">
        <v>18</v>
      </c>
      <c r="U12" s="699">
        <f t="shared" si="1"/>
        <v>100</v>
      </c>
      <c r="V12" s="698" t="s">
        <v>18</v>
      </c>
      <c r="W12" s="699">
        <f t="shared" si="2"/>
        <v>100</v>
      </c>
      <c r="X12" s="700"/>
      <c r="Y12" s="3560"/>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1"/>
      <c r="Q13" s="1340">
        <f t="shared" si="6"/>
        <v>111</v>
      </c>
      <c r="R13" s="698" t="s">
        <v>18</v>
      </c>
      <c r="S13" s="699">
        <f t="shared" si="0"/>
        <v>100</v>
      </c>
      <c r="T13" s="698" t="s">
        <v>18</v>
      </c>
      <c r="U13" s="699">
        <f t="shared" si="1"/>
        <v>100</v>
      </c>
      <c r="V13" s="698" t="s">
        <v>18</v>
      </c>
      <c r="W13" s="699">
        <f t="shared" si="2"/>
        <v>100</v>
      </c>
      <c r="X13" s="700"/>
      <c r="Y13" s="3560"/>
      <c r="Z13" s="52">
        <f t="shared" si="7"/>
        <v>111</v>
      </c>
      <c r="AA13" s="701">
        <f t="shared" si="3"/>
        <v>1</v>
      </c>
      <c r="AB13" s="701">
        <f t="shared" si="4"/>
        <v>1</v>
      </c>
      <c r="AC13" s="701">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1"/>
      <c r="Q14" s="1340">
        <f t="shared" si="6"/>
        <v>111</v>
      </c>
      <c r="R14" s="698" t="s">
        <v>18</v>
      </c>
      <c r="S14" s="699">
        <f t="shared" si="0"/>
        <v>100</v>
      </c>
      <c r="T14" s="698" t="s">
        <v>18</v>
      </c>
      <c r="U14" s="699">
        <f t="shared" si="1"/>
        <v>100</v>
      </c>
      <c r="V14" s="698" t="s">
        <v>18</v>
      </c>
      <c r="W14" s="699">
        <f t="shared" si="2"/>
        <v>100</v>
      </c>
      <c r="X14" s="700"/>
      <c r="Y14" s="3560"/>
      <c r="Z14" s="52">
        <f t="shared" si="7"/>
        <v>111</v>
      </c>
      <c r="AA14" s="701">
        <f t="shared" si="3"/>
        <v>1</v>
      </c>
      <c r="AB14" s="701">
        <f t="shared" si="4"/>
        <v>1</v>
      </c>
      <c r="AC14" s="701">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9" t="s">
        <v>1691</v>
      </c>
      <c r="Q15" s="1349" t="str">
        <f t="shared" si="6"/>
        <v>居住社区成熟度</v>
      </c>
      <c r="R15" s="702" t="s">
        <v>18</v>
      </c>
      <c r="S15" s="703">
        <f t="shared" si="0"/>
        <v>100</v>
      </c>
      <c r="T15" s="702" t="s">
        <v>18</v>
      </c>
      <c r="U15" s="703">
        <f t="shared" si="1"/>
        <v>100</v>
      </c>
      <c r="V15" s="702" t="s">
        <v>18</v>
      </c>
      <c r="W15" s="703">
        <f t="shared" si="2"/>
        <v>100</v>
      </c>
      <c r="X15" s="1352"/>
      <c r="Y15" s="3712" t="s">
        <v>1691</v>
      </c>
      <c r="Z15" s="1353" t="str">
        <f t="shared" si="7"/>
        <v>居住社区成熟度</v>
      </c>
      <c r="AA15" s="1350">
        <f t="shared" si="3"/>
        <v>1</v>
      </c>
      <c r="AB15" s="1350">
        <f t="shared" si="4"/>
        <v>1</v>
      </c>
      <c r="AC15" s="1350">
        <f t="shared" si="5"/>
        <v>1</v>
      </c>
    </row>
    <row r="16" spans="1:29" ht="15">
      <c r="A16" s="379"/>
      <c r="B16" s="397"/>
      <c r="C16" s="398"/>
      <c r="D16" s="399"/>
      <c r="E16" s="1893"/>
      <c r="F16" s="399"/>
      <c r="G16" s="1894"/>
      <c r="H16" s="401"/>
      <c r="I16" s="1894"/>
      <c r="J16" s="399"/>
      <c r="K16" s="1895"/>
      <c r="L16" s="2718"/>
      <c r="M16" s="2712"/>
      <c r="N16" s="2712"/>
      <c r="O16" s="2712"/>
      <c r="P16" s="3720"/>
      <c r="Q16" s="1349"/>
      <c r="R16" s="702"/>
      <c r="S16" s="703"/>
      <c r="T16" s="702"/>
      <c r="U16" s="703"/>
      <c r="V16" s="702"/>
      <c r="W16" s="703"/>
      <c r="X16" s="1352"/>
      <c r="Y16" s="3713"/>
      <c r="Z16" s="1353"/>
      <c r="AA16" s="1350">
        <v>1</v>
      </c>
      <c r="AB16" s="1350">
        <v>1</v>
      </c>
      <c r="AC16" s="1350">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0"/>
      <c r="Q17" s="1349" t="str">
        <f>B17</f>
        <v>交通便捷度</v>
      </c>
      <c r="R17" s="702" t="s">
        <v>18</v>
      </c>
      <c r="S17" s="703">
        <f>F17</f>
        <v>100</v>
      </c>
      <c r="T17" s="702" t="s">
        <v>18</v>
      </c>
      <c r="U17" s="703">
        <f>H17</f>
        <v>100</v>
      </c>
      <c r="V17" s="702" t="s">
        <v>18</v>
      </c>
      <c r="W17" s="703">
        <f>J17</f>
        <v>100</v>
      </c>
      <c r="X17" s="1352"/>
      <c r="Y17" s="3713"/>
      <c r="Z17" s="1353" t="str">
        <f>Q17</f>
        <v>交通便捷度</v>
      </c>
      <c r="AA17" s="1350">
        <f t="shared" si="3"/>
        <v>1</v>
      </c>
      <c r="AB17" s="1350">
        <f t="shared" si="4"/>
        <v>1</v>
      </c>
      <c r="AC17" s="1350">
        <f t="shared" si="5"/>
        <v>1</v>
      </c>
    </row>
    <row r="18" spans="1:29" ht="15">
      <c r="A18" s="379"/>
      <c r="B18" s="407"/>
      <c r="C18" s="1897"/>
      <c r="D18" s="401"/>
      <c r="E18" s="1898"/>
      <c r="F18" s="401"/>
      <c r="G18" s="1899"/>
      <c r="H18" s="399"/>
      <c r="I18" s="1899"/>
      <c r="J18" s="399"/>
      <c r="K18" s="1895"/>
      <c r="L18" s="2718"/>
      <c r="M18" s="2712"/>
      <c r="N18" s="2712"/>
      <c r="O18" s="2712"/>
      <c r="P18" s="3720"/>
      <c r="Q18" s="1349"/>
      <c r="R18" s="702"/>
      <c r="S18" s="703"/>
      <c r="T18" s="702"/>
      <c r="U18" s="703"/>
      <c r="V18" s="702"/>
      <c r="W18" s="703"/>
      <c r="X18" s="1352"/>
      <c r="Y18" s="3713"/>
      <c r="Z18" s="1353"/>
      <c r="AA18" s="1350">
        <v>1</v>
      </c>
      <c r="AB18" s="1350">
        <v>1</v>
      </c>
      <c r="AC18" s="1350">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0"/>
      <c r="Q19" s="1349" t="str">
        <f>B19</f>
        <v>公共配套设施</v>
      </c>
      <c r="R19" s="702" t="s">
        <v>18</v>
      </c>
      <c r="S19" s="703">
        <f>F19</f>
        <v>100</v>
      </c>
      <c r="T19" s="702" t="s">
        <v>18</v>
      </c>
      <c r="U19" s="703">
        <f>H19</f>
        <v>100</v>
      </c>
      <c r="V19" s="702" t="s">
        <v>18</v>
      </c>
      <c r="W19" s="703">
        <f>J19</f>
        <v>100</v>
      </c>
      <c r="X19" s="1352"/>
      <c r="Y19" s="3713"/>
      <c r="Z19" s="1353" t="str">
        <f>Q19</f>
        <v>公共配套设施</v>
      </c>
      <c r="AA19" s="1350">
        <f t="shared" si="3"/>
        <v>1</v>
      </c>
      <c r="AB19" s="1350">
        <f t="shared" si="4"/>
        <v>1</v>
      </c>
      <c r="AC19" s="1350">
        <f t="shared" si="5"/>
        <v>1</v>
      </c>
    </row>
    <row r="20" spans="1:29" ht="15">
      <c r="A20" s="379"/>
      <c r="B20" s="407"/>
      <c r="C20" s="398"/>
      <c r="D20" s="399"/>
      <c r="E20" s="1893"/>
      <c r="F20" s="399"/>
      <c r="G20" s="1894"/>
      <c r="H20" s="399"/>
      <c r="I20" s="1894"/>
      <c r="J20" s="399"/>
      <c r="K20" s="1895"/>
      <c r="L20" s="2718"/>
      <c r="M20" s="2712"/>
      <c r="N20" s="2712"/>
      <c r="O20" s="2712"/>
      <c r="P20" s="3720"/>
      <c r="Q20" s="1349"/>
      <c r="R20" s="702"/>
      <c r="S20" s="703"/>
      <c r="T20" s="702"/>
      <c r="U20" s="703"/>
      <c r="V20" s="702"/>
      <c r="W20" s="703"/>
      <c r="X20" s="1352"/>
      <c r="Y20" s="3713"/>
      <c r="Z20" s="1353"/>
      <c r="AA20" s="1350">
        <v>1</v>
      </c>
      <c r="AB20" s="1350">
        <v>1</v>
      </c>
      <c r="AC20" s="1350">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0"/>
      <c r="Q21" s="1349" t="str">
        <f>B21</f>
        <v>基础设施水平</v>
      </c>
      <c r="R21" s="702" t="s">
        <v>14</v>
      </c>
      <c r="S21" s="703">
        <f>F21</f>
        <v>100</v>
      </c>
      <c r="T21" s="702" t="s">
        <v>14</v>
      </c>
      <c r="U21" s="703">
        <f>H21</f>
        <v>100</v>
      </c>
      <c r="V21" s="702" t="s">
        <v>14</v>
      </c>
      <c r="W21" s="703">
        <f>J21</f>
        <v>100</v>
      </c>
      <c r="X21" s="1352"/>
      <c r="Y21" s="3713"/>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399"/>
      <c r="G22" s="1900"/>
      <c r="H22" s="399"/>
      <c r="I22" s="398"/>
      <c r="J22" s="399"/>
      <c r="K22" s="1901"/>
      <c r="L22" s="2718"/>
      <c r="M22" s="2712"/>
      <c r="N22" s="2712"/>
      <c r="O22" s="2712"/>
      <c r="P22" s="3720"/>
      <c r="Q22" s="1349"/>
      <c r="R22" s="702"/>
      <c r="S22" s="703"/>
      <c r="T22" s="702"/>
      <c r="U22" s="703"/>
      <c r="V22" s="702"/>
      <c r="W22" s="703"/>
      <c r="X22" s="1352"/>
      <c r="Y22" s="3713"/>
      <c r="Z22" s="1353"/>
      <c r="AA22" s="1350">
        <v>1</v>
      </c>
      <c r="AB22" s="1350">
        <v>1</v>
      </c>
      <c r="AC22" s="1350">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0"/>
      <c r="Q23" s="1349" t="str">
        <f>B23</f>
        <v>自然及人文环境</v>
      </c>
      <c r="R23" s="702" t="s">
        <v>18</v>
      </c>
      <c r="S23" s="703">
        <f>F23</f>
        <v>100</v>
      </c>
      <c r="T23" s="702" t="s">
        <v>18</v>
      </c>
      <c r="U23" s="703">
        <f>H23</f>
        <v>100</v>
      </c>
      <c r="V23" s="702" t="s">
        <v>18</v>
      </c>
      <c r="W23" s="703">
        <f>J23</f>
        <v>100</v>
      </c>
      <c r="X23" s="1352"/>
      <c r="Y23" s="3713"/>
      <c r="Z23" s="1353" t="str">
        <f>Q23</f>
        <v>自然及人文环境</v>
      </c>
      <c r="AA23" s="1350">
        <f>D23/F23</f>
        <v>1</v>
      </c>
      <c r="AB23" s="1350">
        <f>D23/H23</f>
        <v>1</v>
      </c>
      <c r="AC23" s="1350">
        <f>D23/J23</f>
        <v>1</v>
      </c>
    </row>
    <row r="24" spans="1:29" ht="15">
      <c r="A24" s="379"/>
      <c r="B24" s="407"/>
      <c r="C24" s="398"/>
      <c r="D24" s="399"/>
      <c r="E24" s="1893"/>
      <c r="F24" s="399"/>
      <c r="G24" s="1894"/>
      <c r="H24" s="399"/>
      <c r="I24" s="1894"/>
      <c r="J24" s="399"/>
      <c r="K24" s="1895"/>
      <c r="L24" s="2718"/>
      <c r="M24" s="2712"/>
      <c r="N24" s="2712"/>
      <c r="O24" s="2712"/>
      <c r="P24" s="3720"/>
      <c r="Q24" s="1349"/>
      <c r="R24" s="702"/>
      <c r="S24" s="703"/>
      <c r="T24" s="702"/>
      <c r="U24" s="703"/>
      <c r="V24" s="702"/>
      <c r="W24" s="703"/>
      <c r="X24" s="1352"/>
      <c r="Y24" s="3713"/>
      <c r="Z24" s="1353"/>
      <c r="AA24" s="1350">
        <v>1</v>
      </c>
      <c r="AB24" s="1350">
        <v>1</v>
      </c>
      <c r="AC24" s="1350">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20"/>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13"/>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20"/>
      <c r="Q26" s="1349" t="str">
        <f t="shared" si="11"/>
        <v>朝向</v>
      </c>
      <c r="R26" s="702" t="s">
        <v>18</v>
      </c>
      <c r="S26" s="703">
        <f t="shared" si="12"/>
        <v>100</v>
      </c>
      <c r="T26" s="702" t="s">
        <v>18</v>
      </c>
      <c r="U26" s="703">
        <f t="shared" si="13"/>
        <v>100</v>
      </c>
      <c r="V26" s="702" t="s">
        <v>18</v>
      </c>
      <c r="W26" s="703">
        <f t="shared" si="14"/>
        <v>100</v>
      </c>
      <c r="X26" s="1352"/>
      <c r="Y26" s="371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20"/>
      <c r="Q27" s="1340">
        <f t="shared" si="11"/>
        <v>111</v>
      </c>
      <c r="R27" s="698" t="s">
        <v>18</v>
      </c>
      <c r="S27" s="699">
        <f t="shared" si="12"/>
        <v>100</v>
      </c>
      <c r="T27" s="698" t="s">
        <v>18</v>
      </c>
      <c r="U27" s="699">
        <f t="shared" si="13"/>
        <v>100</v>
      </c>
      <c r="V27" s="698" t="s">
        <v>18</v>
      </c>
      <c r="W27" s="699">
        <f t="shared" si="14"/>
        <v>100</v>
      </c>
      <c r="X27" s="700"/>
      <c r="Y27" s="371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20"/>
      <c r="Q28" s="1349">
        <f t="shared" si="11"/>
        <v>111</v>
      </c>
      <c r="R28" s="702" t="s">
        <v>18</v>
      </c>
      <c r="S28" s="703">
        <f t="shared" si="12"/>
        <v>100</v>
      </c>
      <c r="T28" s="702" t="s">
        <v>18</v>
      </c>
      <c r="U28" s="703">
        <f t="shared" si="13"/>
        <v>100</v>
      </c>
      <c r="V28" s="702" t="s">
        <v>18</v>
      </c>
      <c r="W28" s="703">
        <f t="shared" si="14"/>
        <v>100</v>
      </c>
      <c r="X28" s="1352"/>
      <c r="Y28" s="371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20"/>
      <c r="Q29" s="1349">
        <f t="shared" si="11"/>
        <v>111</v>
      </c>
      <c r="R29" s="702" t="s">
        <v>18</v>
      </c>
      <c r="S29" s="703">
        <f t="shared" si="12"/>
        <v>100</v>
      </c>
      <c r="T29" s="702" t="s">
        <v>18</v>
      </c>
      <c r="U29" s="703">
        <f t="shared" si="13"/>
        <v>100</v>
      </c>
      <c r="V29" s="702" t="s">
        <v>18</v>
      </c>
      <c r="W29" s="703">
        <f t="shared" si="14"/>
        <v>100</v>
      </c>
      <c r="X29" s="1352"/>
      <c r="Y29" s="371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20"/>
      <c r="Q30" s="1349">
        <f t="shared" si="11"/>
        <v>111</v>
      </c>
      <c r="R30" s="702" t="s">
        <v>18</v>
      </c>
      <c r="S30" s="703">
        <f t="shared" si="12"/>
        <v>100</v>
      </c>
      <c r="T30" s="702" t="s">
        <v>18</v>
      </c>
      <c r="U30" s="703">
        <f t="shared" si="13"/>
        <v>100</v>
      </c>
      <c r="V30" s="702" t="s">
        <v>18</v>
      </c>
      <c r="W30" s="703">
        <f t="shared" si="14"/>
        <v>100</v>
      </c>
      <c r="X30" s="1352"/>
      <c r="Y30" s="371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20"/>
      <c r="Q31" s="1349">
        <f t="shared" si="11"/>
        <v>111</v>
      </c>
      <c r="R31" s="702" t="s">
        <v>18</v>
      </c>
      <c r="S31" s="703">
        <f t="shared" si="12"/>
        <v>100</v>
      </c>
      <c r="T31" s="702" t="s">
        <v>18</v>
      </c>
      <c r="U31" s="703">
        <f t="shared" si="13"/>
        <v>100</v>
      </c>
      <c r="V31" s="702" t="s">
        <v>18</v>
      </c>
      <c r="W31" s="703">
        <f t="shared" si="14"/>
        <v>100</v>
      </c>
      <c r="X31" s="1352"/>
      <c r="Y31" s="3713"/>
      <c r="Z31" s="1353">
        <f t="shared" si="18"/>
        <v>111</v>
      </c>
      <c r="AA31" s="1350">
        <f t="shared" si="15"/>
        <v>1</v>
      </c>
      <c r="AB31" s="1350">
        <f t="shared" si="16"/>
        <v>1</v>
      </c>
      <c r="AC31" s="1350">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14" t="s">
        <v>1696</v>
      </c>
      <c r="Q32" s="1349" t="str">
        <f t="shared" si="11"/>
        <v>建筑类型</v>
      </c>
      <c r="R32" s="702" t="s">
        <v>18</v>
      </c>
      <c r="S32" s="703">
        <f t="shared" si="12"/>
        <v>100</v>
      </c>
      <c r="T32" s="702" t="s">
        <v>18</v>
      </c>
      <c r="U32" s="703">
        <f t="shared" si="13"/>
        <v>100</v>
      </c>
      <c r="V32" s="702" t="s">
        <v>18</v>
      </c>
      <c r="W32" s="703">
        <f t="shared" si="14"/>
        <v>100</v>
      </c>
      <c r="X32" s="1352"/>
      <c r="Y32" s="3717"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15"/>
      <c r="Q33" s="704" t="str">
        <f t="shared" si="11"/>
        <v>项目建筑规模</v>
      </c>
      <c r="R33" s="705" t="s">
        <v>18</v>
      </c>
      <c r="S33" s="706" t="e">
        <f t="shared" si="12"/>
        <v>#N/A</v>
      </c>
      <c r="T33" s="705" t="s">
        <v>18</v>
      </c>
      <c r="U33" s="706" t="e">
        <f t="shared" si="13"/>
        <v>#N/A</v>
      </c>
      <c r="V33" s="705" t="s">
        <v>18</v>
      </c>
      <c r="W33" s="706" t="e">
        <f t="shared" si="14"/>
        <v>#N/A</v>
      </c>
      <c r="X33" s="707"/>
      <c r="Y33" s="3717"/>
      <c r="Z33" s="708" t="str">
        <f t="shared" si="18"/>
        <v>项目建筑规模</v>
      </c>
      <c r="AA33" s="1350" t="e">
        <f t="shared" si="15"/>
        <v>#N/A</v>
      </c>
      <c r="AB33" s="1350" t="e">
        <f t="shared" si="16"/>
        <v>#N/A</v>
      </c>
      <c r="AC33" s="1350"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15"/>
      <c r="Q34" s="1349" t="str">
        <f t="shared" si="11"/>
        <v>建筑结构</v>
      </c>
      <c r="R34" s="702" t="s">
        <v>18</v>
      </c>
      <c r="S34" s="703">
        <f t="shared" si="12"/>
        <v>100</v>
      </c>
      <c r="T34" s="702" t="s">
        <v>18</v>
      </c>
      <c r="U34" s="703">
        <f t="shared" si="13"/>
        <v>100</v>
      </c>
      <c r="V34" s="702" t="s">
        <v>18</v>
      </c>
      <c r="W34" s="703">
        <f t="shared" si="14"/>
        <v>100</v>
      </c>
      <c r="X34" s="1352"/>
      <c r="Y34" s="3717"/>
      <c r="Z34" s="1353" t="str">
        <f t="shared" si="18"/>
        <v>建筑结构</v>
      </c>
      <c r="AA34" s="1350">
        <f t="shared" si="15"/>
        <v>1</v>
      </c>
      <c r="AB34" s="1350">
        <f t="shared" si="16"/>
        <v>1</v>
      </c>
      <c r="AC34" s="1350">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15"/>
      <c r="Q35" s="1349" t="str">
        <f t="shared" si="11"/>
        <v>建筑品质</v>
      </c>
      <c r="R35" s="702" t="s">
        <v>18</v>
      </c>
      <c r="S35" s="703">
        <f t="shared" si="12"/>
        <v>100</v>
      </c>
      <c r="T35" s="702" t="s">
        <v>18</v>
      </c>
      <c r="U35" s="703">
        <f t="shared" si="13"/>
        <v>100</v>
      </c>
      <c r="V35" s="702" t="s">
        <v>18</v>
      </c>
      <c r="W35" s="703">
        <f t="shared" si="14"/>
        <v>100</v>
      </c>
      <c r="X35" s="1352"/>
      <c r="Y35" s="3717"/>
      <c r="Z35" s="1353" t="str">
        <f t="shared" si="18"/>
        <v>建筑品质</v>
      </c>
      <c r="AA35" s="1350">
        <f t="shared" si="15"/>
        <v>1</v>
      </c>
      <c r="AB35" s="1350">
        <f t="shared" si="16"/>
        <v>1</v>
      </c>
      <c r="AC35" s="1350">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15"/>
      <c r="Q36" s="1349" t="str">
        <f t="shared" si="11"/>
        <v>公共部分装修</v>
      </c>
      <c r="R36" s="702" t="s">
        <v>18</v>
      </c>
      <c r="S36" s="703">
        <f t="shared" si="12"/>
        <v>100</v>
      </c>
      <c r="T36" s="702" t="s">
        <v>18</v>
      </c>
      <c r="U36" s="703">
        <f t="shared" si="13"/>
        <v>100</v>
      </c>
      <c r="V36" s="702" t="s">
        <v>18</v>
      </c>
      <c r="W36" s="703">
        <f t="shared" si="14"/>
        <v>100</v>
      </c>
      <c r="X36" s="1352"/>
      <c r="Y36" s="3717"/>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5"/>
      <c r="Q37" s="1340" t="str">
        <f t="shared" si="11"/>
        <v>成新度</v>
      </c>
      <c r="R37" s="698" t="s">
        <v>18</v>
      </c>
      <c r="S37" s="699" t="e">
        <f t="shared" si="12"/>
        <v>#N/A</v>
      </c>
      <c r="T37" s="698" t="s">
        <v>18</v>
      </c>
      <c r="U37" s="699" t="e">
        <f t="shared" si="13"/>
        <v>#N/A</v>
      </c>
      <c r="V37" s="698" t="s">
        <v>18</v>
      </c>
      <c r="W37" s="699" t="e">
        <f t="shared" si="14"/>
        <v>#N/A</v>
      </c>
      <c r="X37" s="700"/>
      <c r="Y37" s="3717"/>
      <c r="Z37" s="52" t="str">
        <f t="shared" si="18"/>
        <v>成新度</v>
      </c>
      <c r="AA37" s="701" t="e">
        <f t="shared" si="15"/>
        <v>#N/A</v>
      </c>
      <c r="AB37" s="701" t="e">
        <f t="shared" si="16"/>
        <v>#N/A</v>
      </c>
      <c r="AC37" s="701"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15" t="s">
        <v>1696</v>
      </c>
      <c r="Q38" s="1349" t="str">
        <f t="shared" si="11"/>
        <v>物业管理</v>
      </c>
      <c r="R38" s="702" t="s">
        <v>18</v>
      </c>
      <c r="S38" s="703">
        <f t="shared" si="12"/>
        <v>100</v>
      </c>
      <c r="T38" s="702" t="s">
        <v>18</v>
      </c>
      <c r="U38" s="703">
        <f t="shared" si="13"/>
        <v>100</v>
      </c>
      <c r="V38" s="702" t="s">
        <v>18</v>
      </c>
      <c r="W38" s="703">
        <f t="shared" si="14"/>
        <v>100</v>
      </c>
      <c r="X38" s="1352"/>
      <c r="Y38" s="3717" t="s">
        <v>1696</v>
      </c>
      <c r="Z38" s="1353" t="str">
        <f t="shared" si="18"/>
        <v>物业管理</v>
      </c>
      <c r="AA38" s="1350">
        <f t="shared" si="15"/>
        <v>1</v>
      </c>
      <c r="AB38" s="1350">
        <f t="shared" si="16"/>
        <v>1</v>
      </c>
      <c r="AC38" s="1350">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15"/>
      <c r="Q39" s="1349" t="str">
        <f t="shared" si="11"/>
        <v>市政基础设施</v>
      </c>
      <c r="R39" s="702" t="s">
        <v>18</v>
      </c>
      <c r="S39" s="703">
        <f t="shared" si="12"/>
        <v>100</v>
      </c>
      <c r="T39" s="702" t="s">
        <v>18</v>
      </c>
      <c r="U39" s="703">
        <f t="shared" si="13"/>
        <v>100</v>
      </c>
      <c r="V39" s="702" t="s">
        <v>18</v>
      </c>
      <c r="W39" s="703">
        <f t="shared" si="14"/>
        <v>100</v>
      </c>
      <c r="X39" s="1352"/>
      <c r="Y39" s="3717"/>
      <c r="Z39" s="1353" t="str">
        <f t="shared" si="18"/>
        <v>市政基础设施</v>
      </c>
      <c r="AA39" s="1350">
        <f t="shared" si="15"/>
        <v>1</v>
      </c>
      <c r="AB39" s="1350">
        <f t="shared" si="16"/>
        <v>1</v>
      </c>
      <c r="AC39" s="1350">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15"/>
      <c r="Q40" s="1349" t="str">
        <f t="shared" si="11"/>
        <v>房型</v>
      </c>
      <c r="R40" s="702" t="s">
        <v>18</v>
      </c>
      <c r="S40" s="703">
        <f t="shared" si="12"/>
        <v>100</v>
      </c>
      <c r="T40" s="702" t="s">
        <v>18</v>
      </c>
      <c r="U40" s="703">
        <f t="shared" si="13"/>
        <v>100</v>
      </c>
      <c r="V40" s="702" t="s">
        <v>18</v>
      </c>
      <c r="W40" s="703">
        <f t="shared" si="14"/>
        <v>100</v>
      </c>
      <c r="X40" s="1352"/>
      <c r="Y40" s="3717"/>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15"/>
      <c r="Q41" s="704" t="str">
        <f t="shared" si="11"/>
        <v>单套/主力户型建筑面积</v>
      </c>
      <c r="R41" s="705" t="s">
        <v>18</v>
      </c>
      <c r="S41" s="706">
        <f t="shared" si="12"/>
        <v>100</v>
      </c>
      <c r="T41" s="705" t="s">
        <v>18</v>
      </c>
      <c r="U41" s="706">
        <f t="shared" si="13"/>
        <v>100</v>
      </c>
      <c r="V41" s="705" t="s">
        <v>18</v>
      </c>
      <c r="W41" s="706">
        <f t="shared" si="14"/>
        <v>100</v>
      </c>
      <c r="X41" s="707"/>
      <c r="Y41" s="3717"/>
      <c r="Z41" s="708" t="str">
        <f t="shared" si="18"/>
        <v>单套/主力户型建筑面积</v>
      </c>
      <c r="AA41" s="1350">
        <f t="shared" si="15"/>
        <v>1</v>
      </c>
      <c r="AB41" s="1350">
        <f t="shared" si="16"/>
        <v>1</v>
      </c>
      <c r="AC41" s="1350">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15"/>
      <c r="Q42" s="1349" t="str">
        <f t="shared" si="11"/>
        <v>内部装修</v>
      </c>
      <c r="R42" s="702" t="s">
        <v>18</v>
      </c>
      <c r="S42" s="703">
        <f t="shared" si="12"/>
        <v>100</v>
      </c>
      <c r="T42" s="702" t="s">
        <v>18</v>
      </c>
      <c r="U42" s="703">
        <f t="shared" si="13"/>
        <v>100</v>
      </c>
      <c r="V42" s="702" t="s">
        <v>18</v>
      </c>
      <c r="W42" s="703">
        <f t="shared" si="14"/>
        <v>100</v>
      </c>
      <c r="X42" s="1352"/>
      <c r="Y42" s="3717"/>
      <c r="Z42" s="1353" t="str">
        <f t="shared" si="18"/>
        <v>内部装修</v>
      </c>
      <c r="AA42" s="1350">
        <f t="shared" si="15"/>
        <v>1</v>
      </c>
      <c r="AB42" s="1350">
        <f t="shared" si="16"/>
        <v>1</v>
      </c>
      <c r="AC42" s="1350">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15"/>
      <c r="Q43" s="1349" t="str">
        <f t="shared" si="11"/>
        <v>内部装修维护情况</v>
      </c>
      <c r="R43" s="702" t="s">
        <v>18</v>
      </c>
      <c r="S43" s="703">
        <f t="shared" si="12"/>
        <v>100</v>
      </c>
      <c r="T43" s="702" t="s">
        <v>18</v>
      </c>
      <c r="U43" s="703">
        <f t="shared" si="13"/>
        <v>100</v>
      </c>
      <c r="V43" s="702" t="s">
        <v>18</v>
      </c>
      <c r="W43" s="703">
        <f t="shared" si="14"/>
        <v>100</v>
      </c>
      <c r="X43" s="1352"/>
      <c r="Y43" s="371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15"/>
      <c r="Q44" s="1340">
        <f t="shared" si="11"/>
        <v>111</v>
      </c>
      <c r="R44" s="698" t="s">
        <v>18</v>
      </c>
      <c r="S44" s="699">
        <f t="shared" si="12"/>
        <v>100</v>
      </c>
      <c r="T44" s="698" t="s">
        <v>18</v>
      </c>
      <c r="U44" s="699">
        <f t="shared" si="13"/>
        <v>100</v>
      </c>
      <c r="V44" s="698" t="s">
        <v>18</v>
      </c>
      <c r="W44" s="699">
        <f t="shared" si="14"/>
        <v>100</v>
      </c>
      <c r="X44" s="700"/>
      <c r="Y44" s="3717"/>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15"/>
      <c r="Q45" s="1349">
        <f t="shared" si="11"/>
        <v>111</v>
      </c>
      <c r="R45" s="702" t="s">
        <v>18</v>
      </c>
      <c r="S45" s="703">
        <f t="shared" si="12"/>
        <v>100</v>
      </c>
      <c r="T45" s="702" t="s">
        <v>18</v>
      </c>
      <c r="U45" s="703">
        <f t="shared" si="13"/>
        <v>100</v>
      </c>
      <c r="V45" s="702" t="s">
        <v>18</v>
      </c>
      <c r="W45" s="703">
        <f t="shared" si="14"/>
        <v>100</v>
      </c>
      <c r="X45" s="1352"/>
      <c r="Y45" s="3717"/>
      <c r="Z45" s="1353">
        <f t="shared" si="18"/>
        <v>111</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16"/>
      <c r="Q46" s="1349">
        <f t="shared" si="11"/>
        <v>111</v>
      </c>
      <c r="R46" s="702" t="s">
        <v>17</v>
      </c>
      <c r="S46" s="703">
        <f t="shared" si="12"/>
        <v>100</v>
      </c>
      <c r="T46" s="702" t="s">
        <v>17</v>
      </c>
      <c r="U46" s="703">
        <f t="shared" si="13"/>
        <v>100</v>
      </c>
      <c r="V46" s="702" t="s">
        <v>17</v>
      </c>
      <c r="W46" s="703">
        <f t="shared" si="14"/>
        <v>100</v>
      </c>
      <c r="X46" s="1352"/>
      <c r="Y46" s="3718"/>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0"/>
      <c r="L47" s="2720"/>
      <c r="M47" s="2721"/>
      <c r="N47" s="2712"/>
      <c r="O47" s="2721"/>
      <c r="P47" s="3710" t="str">
        <f>A47</f>
        <v>成交单价（元/平方米）</v>
      </c>
      <c r="Q47" s="3710"/>
      <c r="R47" s="3711">
        <f>E47</f>
        <v>0</v>
      </c>
      <c r="S47" s="3711"/>
      <c r="T47" s="3711">
        <f>G47</f>
        <v>0</v>
      </c>
      <c r="U47" s="3711"/>
      <c r="V47" s="3711">
        <f>I47</f>
        <v>0</v>
      </c>
      <c r="W47" s="3711"/>
      <c r="X47" s="687"/>
      <c r="Y47" s="709"/>
      <c r="Z47" s="687"/>
      <c r="AA47" s="687"/>
      <c r="AB47" s="687"/>
      <c r="AC47" s="687"/>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1"/>
      <c r="L49" s="2720"/>
      <c r="M49" s="2721"/>
      <c r="N49" s="2721"/>
      <c r="O49" s="2721"/>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4"/>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9" priority="19" stopIfTrue="1" operator="containsText" text="超过">
      <formula>NOT(ISERROR(SEARCH("超过",F52)))</formula>
    </cfRule>
  </conditionalFormatting>
  <conditionalFormatting sqref="J54">
    <cfRule type="containsText" dxfId="168" priority="18" stopIfTrue="1" operator="containsText" text="超过">
      <formula>NOT(ISERROR(SEARCH("超过",J54)))</formula>
    </cfRule>
  </conditionalFormatting>
  <conditionalFormatting sqref="H54">
    <cfRule type="containsText" dxfId="167" priority="17" stopIfTrue="1" operator="containsText" text="超过">
      <formula>NOT(ISERROR(SEARCH("超过",H54)))</formula>
    </cfRule>
  </conditionalFormatting>
  <conditionalFormatting sqref="F54">
    <cfRule type="containsText" dxfId="166" priority="16" stopIfTrue="1" operator="containsText" text="超过">
      <formula>NOT(ISERROR(SEARCH("超过",F54)))</formula>
    </cfRule>
  </conditionalFormatting>
  <conditionalFormatting sqref="F53 H53 J53">
    <cfRule type="containsText" dxfId="165" priority="15" stopIfTrue="1" operator="containsText" text="超过">
      <formula>NOT(ISERROR(SEARCH("超过",F53)))</formula>
    </cfRule>
  </conditionalFormatting>
  <conditionalFormatting sqref="E52">
    <cfRule type="expression" dxfId="164" priority="14" stopIfTrue="1">
      <formula>$F$52="超过30%"</formula>
    </cfRule>
  </conditionalFormatting>
  <conditionalFormatting sqref="G54">
    <cfRule type="expression" dxfId="163" priority="12" stopIfTrue="1">
      <formula>$H$54="超过30%"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估价对象为北京市房地产，为所有。根据《国有土地使用证》[]，估价对象（分摊）出让国有建设用地使用权面积为3870平方米，建筑面积为2625.54平方米。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估价对象为北京市房地产,属开发建设的商业项目，该项目尚在开发建设中。根据《国有土地使用证》[]，估价对象（分摊）出让国有建设用地使用权面积为3870平方米，规划建筑面积为2625.54平方米。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2024年7月10日（评估专业人员实地查勘之日）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c r="E1" s="3422"/>
      <c r="F1" s="1875"/>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0</v>
      </c>
      <c r="C3" s="354" t="s">
        <v>1768</v>
      </c>
      <c r="D3" s="353">
        <f>IF(D1="",'数据-汇总表'!E3,SUMIF('数据-汇总表'!$C19:$C33,D1,'数据-汇总表'!$E19:$E33))</f>
        <v>2625.54</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41" t="s">
        <v>1772</v>
      </c>
      <c r="AC4" s="3722" t="s">
        <v>1773</v>
      </c>
    </row>
    <row r="5" spans="1:29"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41"/>
      <c r="AC5" s="372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33"/>
      <c r="Q6" s="3734"/>
      <c r="R6" s="3737"/>
      <c r="S6" s="3738"/>
      <c r="T6" s="3739"/>
      <c r="U6" s="3740"/>
      <c r="V6" s="3741"/>
      <c r="W6" s="3741"/>
      <c r="X6" s="1352"/>
      <c r="Y6" s="3739"/>
      <c r="Z6" s="3740"/>
      <c r="AA6" s="3724"/>
      <c r="AB6" s="3741"/>
      <c r="AC6" s="3724"/>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46" t="s">
        <v>1680</v>
      </c>
      <c r="Q7" s="3748"/>
      <c r="R7" s="698" t="s">
        <v>14</v>
      </c>
      <c r="S7" s="699">
        <f t="shared" ref="S7:S15" si="0">F7</f>
        <v>0</v>
      </c>
      <c r="T7" s="698" t="s">
        <v>14</v>
      </c>
      <c r="U7" s="699">
        <f t="shared" ref="U7:U15" si="1">H7</f>
        <v>0</v>
      </c>
      <c r="V7" s="698" t="s">
        <v>14</v>
      </c>
      <c r="W7" s="699">
        <f t="shared" ref="W7:W15"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46" t="s">
        <v>1683</v>
      </c>
      <c r="Q8" s="3747"/>
      <c r="R8" s="698" t="s">
        <v>14</v>
      </c>
      <c r="S8" s="699">
        <f t="shared" si="0"/>
        <v>100</v>
      </c>
      <c r="T8" s="698" t="s">
        <v>14</v>
      </c>
      <c r="U8" s="699">
        <f t="shared" si="1"/>
        <v>100</v>
      </c>
      <c r="V8" s="698" t="s">
        <v>14</v>
      </c>
      <c r="W8" s="699">
        <f t="shared" si="2"/>
        <v>100</v>
      </c>
      <c r="X8" s="700"/>
      <c r="Y8" s="3746" t="s">
        <v>1683</v>
      </c>
      <c r="Z8" s="3747"/>
      <c r="AA8" s="701">
        <f t="shared" ref="AA8:AA46" si="3">D8/F8</f>
        <v>1</v>
      </c>
      <c r="AB8" s="701">
        <f t="shared" ref="AB8:AB46" si="4">D8/H8</f>
        <v>1</v>
      </c>
      <c r="AC8" s="701">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1"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1"/>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1"/>
      <c r="Q11" s="1340" t="str">
        <f t="shared" si="6"/>
        <v>容积率</v>
      </c>
      <c r="R11" s="698" t="s">
        <v>14</v>
      </c>
      <c r="S11" s="699" t="e">
        <f t="shared" si="0"/>
        <v>#N/A</v>
      </c>
      <c r="T11" s="698" t="s">
        <v>14</v>
      </c>
      <c r="U11" s="699" t="e">
        <f t="shared" si="1"/>
        <v>#N/A</v>
      </c>
      <c r="V11" s="698" t="s">
        <v>14</v>
      </c>
      <c r="W11" s="699" t="e">
        <f t="shared" si="2"/>
        <v>#N/A</v>
      </c>
      <c r="X11" s="700"/>
      <c r="Y11" s="3560"/>
      <c r="Z11" s="52" t="str">
        <f t="shared" si="7"/>
        <v>容积率</v>
      </c>
      <c r="AA11" s="701" t="e">
        <f t="shared" si="3"/>
        <v>#N/A</v>
      </c>
      <c r="AB11" s="701" t="e">
        <f t="shared" si="4"/>
        <v>#N/A</v>
      </c>
      <c r="AC11" s="701"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1"/>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1"/>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1"/>
      <c r="Q14" s="1340">
        <f t="shared" si="6"/>
        <v>111</v>
      </c>
      <c r="R14" s="698" t="s">
        <v>14</v>
      </c>
      <c r="S14" s="699">
        <f t="shared" si="0"/>
        <v>100</v>
      </c>
      <c r="T14" s="698" t="s">
        <v>14</v>
      </c>
      <c r="U14" s="699">
        <f t="shared" si="1"/>
        <v>100</v>
      </c>
      <c r="V14" s="698" t="s">
        <v>14</v>
      </c>
      <c r="W14" s="699">
        <f t="shared" si="2"/>
        <v>100</v>
      </c>
      <c r="X14" s="700"/>
      <c r="Y14" s="3560"/>
      <c r="Z14" s="52">
        <f t="shared" si="7"/>
        <v>111</v>
      </c>
      <c r="AA14" s="701">
        <f t="shared" si="3"/>
        <v>1</v>
      </c>
      <c r="AB14" s="701">
        <f t="shared" si="4"/>
        <v>1</v>
      </c>
      <c r="AC14" s="701">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9" t="s">
        <v>1691</v>
      </c>
      <c r="Q15" s="1349" t="str">
        <f t="shared" si="6"/>
        <v>商业繁华度</v>
      </c>
      <c r="R15" s="702" t="s">
        <v>14</v>
      </c>
      <c r="S15" s="703">
        <f t="shared" si="0"/>
        <v>100</v>
      </c>
      <c r="T15" s="702" t="s">
        <v>14</v>
      </c>
      <c r="U15" s="703">
        <f t="shared" si="1"/>
        <v>100</v>
      </c>
      <c r="V15" s="702" t="s">
        <v>14</v>
      </c>
      <c r="W15" s="703">
        <f t="shared" si="2"/>
        <v>100</v>
      </c>
      <c r="X15" s="1352"/>
      <c r="Y15" s="3712"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720"/>
      <c r="Q16" s="1349"/>
      <c r="R16" s="702"/>
      <c r="S16" s="703"/>
      <c r="T16" s="702"/>
      <c r="U16" s="703"/>
      <c r="V16" s="702"/>
      <c r="W16" s="703"/>
      <c r="X16" s="1352"/>
      <c r="Y16" s="3713"/>
      <c r="Z16" s="1353"/>
      <c r="AA16" s="1350">
        <v>1</v>
      </c>
      <c r="AB16" s="1350">
        <v>1</v>
      </c>
      <c r="AC16" s="1350">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0"/>
      <c r="Q17" s="1349" t="str">
        <f>B17</f>
        <v>交通便捷度</v>
      </c>
      <c r="R17" s="702" t="s">
        <v>14</v>
      </c>
      <c r="S17" s="703">
        <f>F17</f>
        <v>100</v>
      </c>
      <c r="T17" s="702" t="s">
        <v>14</v>
      </c>
      <c r="U17" s="703">
        <f>H17</f>
        <v>100</v>
      </c>
      <c r="V17" s="702" t="s">
        <v>14</v>
      </c>
      <c r="W17" s="703">
        <f>J17</f>
        <v>100</v>
      </c>
      <c r="X17" s="1352"/>
      <c r="Y17" s="3713"/>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8"/>
      <c r="M18" s="2712"/>
      <c r="N18" s="2712"/>
      <c r="O18" s="2712"/>
      <c r="P18" s="3720"/>
      <c r="Q18" s="1349"/>
      <c r="R18" s="702"/>
      <c r="S18" s="703"/>
      <c r="T18" s="702"/>
      <c r="U18" s="703"/>
      <c r="V18" s="702"/>
      <c r="W18" s="703"/>
      <c r="X18" s="1352"/>
      <c r="Y18" s="3713"/>
      <c r="Z18" s="1353"/>
      <c r="AA18" s="1350">
        <v>1</v>
      </c>
      <c r="AB18" s="1350">
        <v>1</v>
      </c>
      <c r="AC18" s="1350">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0"/>
      <c r="Q19" s="1349" t="str">
        <f>B19</f>
        <v>公共配套设施</v>
      </c>
      <c r="R19" s="702" t="s">
        <v>14</v>
      </c>
      <c r="S19" s="703">
        <f>F19</f>
        <v>100</v>
      </c>
      <c r="T19" s="702" t="s">
        <v>14</v>
      </c>
      <c r="U19" s="703">
        <f>H19</f>
        <v>100</v>
      </c>
      <c r="V19" s="702" t="s">
        <v>14</v>
      </c>
      <c r="W19" s="703">
        <f>J19</f>
        <v>100</v>
      </c>
      <c r="X19" s="1352"/>
      <c r="Y19" s="3713"/>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8"/>
      <c r="M20" s="2712"/>
      <c r="N20" s="2712"/>
      <c r="O20" s="2712"/>
      <c r="P20" s="3720"/>
      <c r="Q20" s="1349"/>
      <c r="R20" s="702"/>
      <c r="S20" s="703"/>
      <c r="T20" s="702"/>
      <c r="U20" s="703"/>
      <c r="V20" s="702"/>
      <c r="W20" s="703"/>
      <c r="X20" s="1352"/>
      <c r="Y20" s="3713"/>
      <c r="Z20" s="1353"/>
      <c r="AA20" s="1350">
        <v>1</v>
      </c>
      <c r="AB20" s="1350">
        <v>1</v>
      </c>
      <c r="AC20" s="1350">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0"/>
      <c r="Q21" s="1349" t="str">
        <f>B21</f>
        <v>基础设施水平</v>
      </c>
      <c r="R21" s="702" t="s">
        <v>14</v>
      </c>
      <c r="S21" s="703">
        <f>F21</f>
        <v>100</v>
      </c>
      <c r="T21" s="702" t="s">
        <v>14</v>
      </c>
      <c r="U21" s="703">
        <f>H21</f>
        <v>100</v>
      </c>
      <c r="V21" s="702" t="s">
        <v>14</v>
      </c>
      <c r="W21" s="703">
        <f>J21</f>
        <v>100</v>
      </c>
      <c r="X21" s="1352"/>
      <c r="Y21" s="3713"/>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2718"/>
      <c r="M22" s="2712"/>
      <c r="N22" s="2712"/>
      <c r="O22" s="2712"/>
      <c r="P22" s="3720"/>
      <c r="Q22" s="1349"/>
      <c r="R22" s="702"/>
      <c r="S22" s="703"/>
      <c r="T22" s="702"/>
      <c r="U22" s="703"/>
      <c r="V22" s="702"/>
      <c r="W22" s="703"/>
      <c r="X22" s="1352"/>
      <c r="Y22" s="3713"/>
      <c r="Z22" s="1353"/>
      <c r="AA22" s="1350">
        <v>1</v>
      </c>
      <c r="AB22" s="1350">
        <v>1</v>
      </c>
      <c r="AC22" s="1350">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0"/>
      <c r="Q23" s="1349" t="str">
        <f>B23</f>
        <v>自然及人文环境</v>
      </c>
      <c r="R23" s="702" t="s">
        <v>14</v>
      </c>
      <c r="S23" s="703">
        <f>F23</f>
        <v>100</v>
      </c>
      <c r="T23" s="702" t="s">
        <v>14</v>
      </c>
      <c r="U23" s="703">
        <f>H23</f>
        <v>100</v>
      </c>
      <c r="V23" s="702" t="s">
        <v>14</v>
      </c>
      <c r="W23" s="703">
        <f>J23</f>
        <v>100</v>
      </c>
      <c r="X23" s="1352"/>
      <c r="Y23" s="3713"/>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8"/>
      <c r="M24" s="2712"/>
      <c r="N24" s="2712"/>
      <c r="O24" s="2712"/>
      <c r="P24" s="3720"/>
      <c r="Q24" s="1349"/>
      <c r="R24" s="702"/>
      <c r="S24" s="703"/>
      <c r="T24" s="702"/>
      <c r="U24" s="703"/>
      <c r="V24" s="702"/>
      <c r="W24" s="703"/>
      <c r="X24" s="1352"/>
      <c r="Y24" s="3713"/>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0"/>
      <c r="Q25" s="1349" t="str">
        <f t="shared" ref="Q25:Q46" si="11">B25</f>
        <v>临街状况</v>
      </c>
      <c r="R25" s="702" t="s">
        <v>14</v>
      </c>
      <c r="S25" s="703">
        <f>F25</f>
        <v>100</v>
      </c>
      <c r="T25" s="702" t="s">
        <v>14</v>
      </c>
      <c r="U25" s="703">
        <f>H25</f>
        <v>100</v>
      </c>
      <c r="V25" s="702" t="s">
        <v>14</v>
      </c>
      <c r="W25" s="703">
        <f>J25</f>
        <v>100</v>
      </c>
      <c r="X25" s="1352"/>
      <c r="Y25" s="3713"/>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0"/>
      <c r="Q26" s="1349" t="str">
        <f t="shared" si="11"/>
        <v>平面位置/可视性</v>
      </c>
      <c r="R26" s="702" t="s">
        <v>14</v>
      </c>
      <c r="S26" s="703">
        <f>F26</f>
        <v>100</v>
      </c>
      <c r="T26" s="702" t="s">
        <v>14</v>
      </c>
      <c r="U26" s="703">
        <f>H26</f>
        <v>100</v>
      </c>
      <c r="V26" s="702" t="s">
        <v>14</v>
      </c>
      <c r="W26" s="703">
        <f>J26</f>
        <v>100</v>
      </c>
      <c r="X26" s="1352"/>
      <c r="Y26" s="3713"/>
      <c r="Z26" s="1353" t="str">
        <f>Q26</f>
        <v>平面位置/可视性</v>
      </c>
      <c r="AA26" s="1350">
        <f t="shared" si="3"/>
        <v>1</v>
      </c>
      <c r="AB26" s="1350">
        <f t="shared" si="4"/>
        <v>1</v>
      </c>
      <c r="AC26" s="1350">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0"/>
      <c r="Q27" s="1340" t="str">
        <f t="shared" si="11"/>
        <v>人流量</v>
      </c>
      <c r="R27" s="698" t="s">
        <v>14</v>
      </c>
      <c r="S27" s="699">
        <f>F27</f>
        <v>100</v>
      </c>
      <c r="T27" s="698" t="s">
        <v>14</v>
      </c>
      <c r="U27" s="699">
        <f>H27</f>
        <v>100</v>
      </c>
      <c r="V27" s="698" t="s">
        <v>14</v>
      </c>
      <c r="W27" s="699">
        <f>J27</f>
        <v>100</v>
      </c>
      <c r="X27" s="700"/>
      <c r="Y27" s="3713"/>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0"/>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13"/>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0"/>
      <c r="Q29" s="1349">
        <f t="shared" si="11"/>
        <v>111</v>
      </c>
      <c r="R29" s="702" t="s">
        <v>14</v>
      </c>
      <c r="S29" s="703">
        <f t="shared" si="12"/>
        <v>100</v>
      </c>
      <c r="T29" s="702" t="s">
        <v>14</v>
      </c>
      <c r="U29" s="703">
        <f t="shared" si="13"/>
        <v>100</v>
      </c>
      <c r="V29" s="702" t="s">
        <v>14</v>
      </c>
      <c r="W29" s="703">
        <f t="shared" si="14"/>
        <v>100</v>
      </c>
      <c r="X29" s="1352"/>
      <c r="Y29" s="371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0"/>
      <c r="Q30" s="1349">
        <f t="shared" si="11"/>
        <v>111</v>
      </c>
      <c r="R30" s="702" t="s">
        <v>14</v>
      </c>
      <c r="S30" s="703">
        <f t="shared" si="12"/>
        <v>100</v>
      </c>
      <c r="T30" s="702" t="s">
        <v>14</v>
      </c>
      <c r="U30" s="703">
        <f t="shared" si="13"/>
        <v>100</v>
      </c>
      <c r="V30" s="702" t="s">
        <v>14</v>
      </c>
      <c r="W30" s="703">
        <f t="shared" si="14"/>
        <v>100</v>
      </c>
      <c r="X30" s="1352"/>
      <c r="Y30" s="371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0"/>
      <c r="Q31" s="1349">
        <f t="shared" si="11"/>
        <v>111</v>
      </c>
      <c r="R31" s="702" t="s">
        <v>14</v>
      </c>
      <c r="S31" s="703">
        <f t="shared" si="12"/>
        <v>100</v>
      </c>
      <c r="T31" s="702" t="s">
        <v>14</v>
      </c>
      <c r="U31" s="703">
        <f t="shared" si="13"/>
        <v>100</v>
      </c>
      <c r="V31" s="702" t="s">
        <v>14</v>
      </c>
      <c r="W31" s="703">
        <f t="shared" si="14"/>
        <v>100</v>
      </c>
      <c r="X31" s="1352"/>
      <c r="Y31" s="3713"/>
      <c r="Z31" s="1353">
        <f t="shared" si="15"/>
        <v>111</v>
      </c>
      <c r="AA31" s="1350">
        <f t="shared" si="3"/>
        <v>1</v>
      </c>
      <c r="AB31" s="1350">
        <f t="shared" si="4"/>
        <v>1</v>
      </c>
      <c r="AC31" s="1350">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14" t="s">
        <v>1696</v>
      </c>
      <c r="Q32" s="1349" t="str">
        <f t="shared" si="11"/>
        <v>商业类型</v>
      </c>
      <c r="R32" s="702" t="s">
        <v>14</v>
      </c>
      <c r="S32" s="703">
        <f t="shared" si="12"/>
        <v>100</v>
      </c>
      <c r="T32" s="702" t="s">
        <v>14</v>
      </c>
      <c r="U32" s="703">
        <f t="shared" si="13"/>
        <v>100</v>
      </c>
      <c r="V32" s="702" t="s">
        <v>14</v>
      </c>
      <c r="W32" s="703">
        <f t="shared" si="14"/>
        <v>100</v>
      </c>
      <c r="X32" s="1352"/>
      <c r="Y32" s="3717"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5"/>
      <c r="Q33" s="704" t="str">
        <f t="shared" si="11"/>
        <v>项目建筑规模</v>
      </c>
      <c r="R33" s="705" t="s">
        <v>14</v>
      </c>
      <c r="S33" s="706" t="e">
        <f t="shared" si="12"/>
        <v>#N/A</v>
      </c>
      <c r="T33" s="705" t="s">
        <v>14</v>
      </c>
      <c r="U33" s="706" t="e">
        <f t="shared" si="13"/>
        <v>#N/A</v>
      </c>
      <c r="V33" s="705" t="s">
        <v>14</v>
      </c>
      <c r="W33" s="706" t="e">
        <f t="shared" si="14"/>
        <v>#N/A</v>
      </c>
      <c r="X33" s="707"/>
      <c r="Y33" s="3717"/>
      <c r="Z33" s="708" t="str">
        <f t="shared" si="15"/>
        <v>项目建筑规模</v>
      </c>
      <c r="AA33" s="1350" t="e">
        <f t="shared" si="3"/>
        <v>#N/A</v>
      </c>
      <c r="AB33" s="1350" t="e">
        <f t="shared" si="4"/>
        <v>#N/A</v>
      </c>
      <c r="AC33" s="1350"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15"/>
      <c r="Q34" s="1349" t="str">
        <f t="shared" si="11"/>
        <v>建筑结构</v>
      </c>
      <c r="R34" s="702" t="s">
        <v>14</v>
      </c>
      <c r="S34" s="703">
        <f t="shared" si="12"/>
        <v>100</v>
      </c>
      <c r="T34" s="702" t="s">
        <v>14</v>
      </c>
      <c r="U34" s="703">
        <f t="shared" si="13"/>
        <v>100</v>
      </c>
      <c r="V34" s="702" t="s">
        <v>14</v>
      </c>
      <c r="W34" s="703">
        <f t="shared" si="14"/>
        <v>100</v>
      </c>
      <c r="X34" s="1352"/>
      <c r="Y34" s="3717"/>
      <c r="Z34" s="1353" t="str">
        <f t="shared" si="15"/>
        <v>建筑结构</v>
      </c>
      <c r="AA34" s="1350">
        <f t="shared" si="3"/>
        <v>1</v>
      </c>
      <c r="AB34" s="1350">
        <f t="shared" si="4"/>
        <v>1</v>
      </c>
      <c r="AC34" s="1350">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15"/>
      <c r="Q35" s="1349" t="str">
        <f t="shared" si="11"/>
        <v>公共部分装修</v>
      </c>
      <c r="R35" s="702" t="s">
        <v>14</v>
      </c>
      <c r="S35" s="703">
        <f t="shared" si="12"/>
        <v>100</v>
      </c>
      <c r="T35" s="702" t="s">
        <v>14</v>
      </c>
      <c r="U35" s="703">
        <f t="shared" si="13"/>
        <v>100</v>
      </c>
      <c r="V35" s="702" t="s">
        <v>14</v>
      </c>
      <c r="W35" s="703">
        <f t="shared" si="14"/>
        <v>100</v>
      </c>
      <c r="X35" s="1352"/>
      <c r="Y35" s="3717"/>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5"/>
      <c r="Q36" s="1349" t="str">
        <f t="shared" si="11"/>
        <v>成新度</v>
      </c>
      <c r="R36" s="702" t="s">
        <v>14</v>
      </c>
      <c r="S36" s="703" t="e">
        <f t="shared" si="12"/>
        <v>#N/A</v>
      </c>
      <c r="T36" s="702" t="s">
        <v>14</v>
      </c>
      <c r="U36" s="703" t="e">
        <f t="shared" si="13"/>
        <v>#N/A</v>
      </c>
      <c r="V36" s="702" t="s">
        <v>14</v>
      </c>
      <c r="W36" s="703" t="e">
        <f t="shared" si="14"/>
        <v>#N/A</v>
      </c>
      <c r="X36" s="1352"/>
      <c r="Y36" s="3717"/>
      <c r="Z36" s="1353" t="str">
        <f t="shared" si="15"/>
        <v>成新度</v>
      </c>
      <c r="AA36" s="1350" t="e">
        <f t="shared" si="3"/>
        <v>#N/A</v>
      </c>
      <c r="AB36" s="1350" t="e">
        <f t="shared" si="4"/>
        <v>#N/A</v>
      </c>
      <c r="AC36" s="1350"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15"/>
      <c r="Q37" s="1340" t="str">
        <f t="shared" si="11"/>
        <v>市政基础设施</v>
      </c>
      <c r="R37" s="698" t="s">
        <v>14</v>
      </c>
      <c r="S37" s="699">
        <f t="shared" si="12"/>
        <v>100</v>
      </c>
      <c r="T37" s="698" t="s">
        <v>14</v>
      </c>
      <c r="U37" s="699">
        <f t="shared" si="13"/>
        <v>100</v>
      </c>
      <c r="V37" s="698" t="s">
        <v>14</v>
      </c>
      <c r="W37" s="699">
        <f t="shared" si="14"/>
        <v>100</v>
      </c>
      <c r="X37" s="700"/>
      <c r="Y37" s="3717"/>
      <c r="Z37" s="52" t="str">
        <f t="shared" si="15"/>
        <v>市政基础设施</v>
      </c>
      <c r="AA37" s="701">
        <f t="shared" si="3"/>
        <v>1</v>
      </c>
      <c r="AB37" s="701">
        <f t="shared" si="4"/>
        <v>1</v>
      </c>
      <c r="AC37" s="701">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15" t="s">
        <v>1696</v>
      </c>
      <c r="Q38" s="1349" t="str">
        <f t="shared" si="11"/>
        <v>业态</v>
      </c>
      <c r="R38" s="702" t="s">
        <v>14</v>
      </c>
      <c r="S38" s="703">
        <f t="shared" si="12"/>
        <v>100</v>
      </c>
      <c r="T38" s="702" t="s">
        <v>14</v>
      </c>
      <c r="U38" s="703">
        <f t="shared" si="13"/>
        <v>100</v>
      </c>
      <c r="V38" s="702" t="s">
        <v>14</v>
      </c>
      <c r="W38" s="703">
        <f t="shared" si="14"/>
        <v>100</v>
      </c>
      <c r="X38" s="1352"/>
      <c r="Y38" s="3717" t="s">
        <v>1696</v>
      </c>
      <c r="Z38" s="1353" t="str">
        <f t="shared" si="15"/>
        <v>业态</v>
      </c>
      <c r="AA38" s="1350">
        <f t="shared" si="3"/>
        <v>1</v>
      </c>
      <c r="AB38" s="1350">
        <f t="shared" si="4"/>
        <v>1</v>
      </c>
      <c r="AC38" s="1350">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15"/>
      <c r="Q39" s="1349" t="str">
        <f t="shared" si="11"/>
        <v>层高</v>
      </c>
      <c r="R39" s="702" t="s">
        <v>14</v>
      </c>
      <c r="S39" s="703">
        <f t="shared" si="12"/>
        <v>100</v>
      </c>
      <c r="T39" s="702" t="s">
        <v>14</v>
      </c>
      <c r="U39" s="703">
        <f t="shared" si="13"/>
        <v>100</v>
      </c>
      <c r="V39" s="702" t="s">
        <v>14</v>
      </c>
      <c r="W39" s="703">
        <f t="shared" si="14"/>
        <v>100</v>
      </c>
      <c r="X39" s="1352"/>
      <c r="Y39" s="3717"/>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5"/>
      <c r="Q40" s="1349" t="str">
        <f t="shared" si="11"/>
        <v>单套建筑面积</v>
      </c>
      <c r="R40" s="702" t="s">
        <v>14</v>
      </c>
      <c r="S40" s="703">
        <f t="shared" si="12"/>
        <v>100</v>
      </c>
      <c r="T40" s="702" t="s">
        <v>14</v>
      </c>
      <c r="U40" s="703">
        <f t="shared" si="13"/>
        <v>100</v>
      </c>
      <c r="V40" s="702" t="s">
        <v>14</v>
      </c>
      <c r="W40" s="703">
        <f t="shared" si="14"/>
        <v>100</v>
      </c>
      <c r="X40" s="1352"/>
      <c r="Y40" s="3717"/>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5"/>
      <c r="Q41" s="704" t="str">
        <f t="shared" si="11"/>
        <v>进深比</v>
      </c>
      <c r="R41" s="705" t="s">
        <v>14</v>
      </c>
      <c r="S41" s="706">
        <f t="shared" si="12"/>
        <v>100</v>
      </c>
      <c r="T41" s="705" t="s">
        <v>14</v>
      </c>
      <c r="U41" s="706">
        <f t="shared" si="13"/>
        <v>100</v>
      </c>
      <c r="V41" s="705" t="s">
        <v>14</v>
      </c>
      <c r="W41" s="706">
        <f t="shared" si="14"/>
        <v>100</v>
      </c>
      <c r="X41" s="707"/>
      <c r="Y41" s="3717"/>
      <c r="Z41" s="708" t="str">
        <f t="shared" si="15"/>
        <v>进深比</v>
      </c>
      <c r="AA41" s="1350">
        <f t="shared" si="3"/>
        <v>1</v>
      </c>
      <c r="AB41" s="1350">
        <f t="shared" si="4"/>
        <v>1</v>
      </c>
      <c r="AC41" s="1350">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15"/>
      <c r="Q42" s="1349" t="str">
        <f t="shared" si="11"/>
        <v>内部装修</v>
      </c>
      <c r="R42" s="702" t="s">
        <v>14</v>
      </c>
      <c r="S42" s="703">
        <f t="shared" si="12"/>
        <v>100</v>
      </c>
      <c r="T42" s="702" t="s">
        <v>14</v>
      </c>
      <c r="U42" s="703">
        <f t="shared" si="13"/>
        <v>100</v>
      </c>
      <c r="V42" s="702" t="s">
        <v>14</v>
      </c>
      <c r="W42" s="703">
        <f t="shared" si="14"/>
        <v>100</v>
      </c>
      <c r="X42" s="1352"/>
      <c r="Y42" s="3717"/>
      <c r="Z42" s="1353" t="str">
        <f t="shared" si="15"/>
        <v>内部装修</v>
      </c>
      <c r="AA42" s="1350">
        <f t="shared" si="3"/>
        <v>1</v>
      </c>
      <c r="AB42" s="1350">
        <f t="shared" si="4"/>
        <v>1</v>
      </c>
      <c r="AC42" s="1350">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15"/>
      <c r="Q43" s="1349" t="str">
        <f t="shared" si="11"/>
        <v>内部装修维护情况</v>
      </c>
      <c r="R43" s="702" t="s">
        <v>14</v>
      </c>
      <c r="S43" s="703">
        <f t="shared" si="12"/>
        <v>100</v>
      </c>
      <c r="T43" s="702" t="s">
        <v>14</v>
      </c>
      <c r="U43" s="703">
        <f t="shared" si="13"/>
        <v>100</v>
      </c>
      <c r="V43" s="702" t="s">
        <v>14</v>
      </c>
      <c r="W43" s="703">
        <f t="shared" si="14"/>
        <v>100</v>
      </c>
      <c r="X43" s="1352"/>
      <c r="Y43" s="371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5"/>
      <c r="Q44" s="1340">
        <f t="shared" si="11"/>
        <v>111</v>
      </c>
      <c r="R44" s="698" t="s">
        <v>14</v>
      </c>
      <c r="S44" s="699">
        <f t="shared" si="12"/>
        <v>100</v>
      </c>
      <c r="T44" s="698" t="s">
        <v>14</v>
      </c>
      <c r="U44" s="699">
        <f t="shared" si="13"/>
        <v>100</v>
      </c>
      <c r="V44" s="698" t="s">
        <v>14</v>
      </c>
      <c r="W44" s="699">
        <f t="shared" si="14"/>
        <v>100</v>
      </c>
      <c r="X44" s="700"/>
      <c r="Y44" s="3717"/>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5"/>
      <c r="Q45" s="1349">
        <f t="shared" si="11"/>
        <v>111</v>
      </c>
      <c r="R45" s="702" t="s">
        <v>14</v>
      </c>
      <c r="S45" s="703">
        <f t="shared" si="12"/>
        <v>100</v>
      </c>
      <c r="T45" s="702" t="s">
        <v>14</v>
      </c>
      <c r="U45" s="703">
        <f t="shared" si="13"/>
        <v>100</v>
      </c>
      <c r="V45" s="702" t="s">
        <v>14</v>
      </c>
      <c r="W45" s="703">
        <f t="shared" si="14"/>
        <v>100</v>
      </c>
      <c r="X45" s="1352"/>
      <c r="Y45" s="3717"/>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6"/>
      <c r="Q46" s="1349">
        <f t="shared" si="11"/>
        <v>111</v>
      </c>
      <c r="R46" s="702" t="s">
        <v>14</v>
      </c>
      <c r="S46" s="703">
        <f t="shared" si="12"/>
        <v>100</v>
      </c>
      <c r="T46" s="702" t="s">
        <v>14</v>
      </c>
      <c r="U46" s="703">
        <f t="shared" si="13"/>
        <v>100</v>
      </c>
      <c r="V46" s="702" t="s">
        <v>14</v>
      </c>
      <c r="W46" s="703">
        <f t="shared" si="14"/>
        <v>100</v>
      </c>
      <c r="X46" s="1352"/>
      <c r="Y46" s="3718"/>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1"/>
      <c r="L47" s="2720"/>
      <c r="M47" s="2721"/>
      <c r="N47" s="2712"/>
      <c r="O47" s="2721"/>
      <c r="P47" s="3710" t="str">
        <f>A47</f>
        <v>成交单价（元/平方米）</v>
      </c>
      <c r="Q47" s="3710"/>
      <c r="R47" s="3741">
        <f>E47</f>
        <v>0</v>
      </c>
      <c r="S47" s="3741"/>
      <c r="T47" s="3741">
        <f>G47</f>
        <v>0</v>
      </c>
      <c r="U47" s="3741"/>
      <c r="V47" s="3741">
        <f>I47</f>
        <v>0</v>
      </c>
      <c r="W47" s="3741"/>
      <c r="X47" s="687"/>
      <c r="Y47" s="709"/>
      <c r="Z47" s="687"/>
      <c r="AA47" s="687"/>
      <c r="AB47" s="687"/>
      <c r="AC47" s="687"/>
    </row>
    <row r="48" spans="1:29" ht="15.75" thickBot="1">
      <c r="A48" s="437" t="s">
        <v>1793</v>
      </c>
      <c r="B48" s="438"/>
      <c r="C48" s="1157" t="e">
        <f>R49</f>
        <v>#DIV/0!</v>
      </c>
      <c r="D48" s="2313" t="s">
        <v>2137</v>
      </c>
      <c r="E48" s="1158" t="e">
        <f>R48</f>
        <v>#DIV/0!</v>
      </c>
      <c r="F48" s="2314"/>
      <c r="G48" s="1157" t="e">
        <f>T48</f>
        <v>#DIV/0!</v>
      </c>
      <c r="H48" s="2314"/>
      <c r="I48" s="1158" t="e">
        <f>V48</f>
        <v>#DIV/0!</v>
      </c>
      <c r="J48" s="2314"/>
      <c r="K48" s="2316">
        <f>F48+H48+J48</f>
        <v>0</v>
      </c>
      <c r="L48" s="2720"/>
      <c r="M48" s="2721"/>
      <c r="N48" s="2712"/>
      <c r="O48" s="2721"/>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7"/>
      <c r="Y48" s="687"/>
      <c r="Z48" s="687"/>
      <c r="AA48" s="687"/>
      <c r="AB48" s="687"/>
      <c r="AC48" s="687"/>
    </row>
    <row r="49" spans="1:29" ht="15.75" thickBot="1">
      <c r="A49" s="441" t="s">
        <v>1794</v>
      </c>
      <c r="B49" s="442"/>
      <c r="C49" s="1160" t="e">
        <f>R49</f>
        <v>#DIV/0!</v>
      </c>
      <c r="D49" s="1160"/>
      <c r="E49" s="1160"/>
      <c r="F49" s="1160"/>
      <c r="G49" s="1160"/>
      <c r="H49" s="1160"/>
      <c r="I49" s="1160"/>
      <c r="J49" s="1160"/>
      <c r="K49" s="712"/>
      <c r="L49" s="2720"/>
      <c r="M49" s="2721"/>
      <c r="N49" s="2712"/>
      <c r="O49" s="2721"/>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1" priority="21" stopIfTrue="1" operator="containsText" text="超过">
      <formula>NOT(ISERROR(SEARCH("超过",F52)))</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G54">
    <cfRule type="expression" dxfId="144" priority="13" stopIfTrue="1">
      <formula>$H$54="超过30%"</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J52">
    <cfRule type="containsText" dxfId="141" priority="10" stopIfTrue="1" operator="containsText" text="超过">
      <formula>NOT(ISERROR(SEARCH("超过",J52)))</formula>
    </cfRule>
  </conditionalFormatting>
  <conditionalFormatting sqref="J54">
    <cfRule type="containsText" dxfId="140" priority="9" stopIfTrue="1" operator="containsText" text="超过">
      <formula>NOT(ISERROR(SEARCH("超过",J54)))</formula>
    </cfRule>
  </conditionalFormatting>
  <conditionalFormatting sqref="J53">
    <cfRule type="containsText" dxfId="139" priority="8" stopIfTrue="1" operator="containsText" text="超过">
      <formula>NOT(ISERROR(SEARCH("超过",J53)))</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2625.54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25" t="s">
        <v>1770</v>
      </c>
      <c r="D4" s="3726"/>
      <c r="E4" s="3727" t="s">
        <v>1771</v>
      </c>
      <c r="F4" s="3728"/>
      <c r="G4" s="3725" t="s">
        <v>1772</v>
      </c>
      <c r="H4" s="3726"/>
      <c r="I4" s="3725" t="s">
        <v>1773</v>
      </c>
      <c r="J4" s="3726"/>
      <c r="K4" s="559" t="s">
        <v>1774</v>
      </c>
      <c r="L4" s="910"/>
      <c r="M4" s="911"/>
      <c r="N4" s="911"/>
      <c r="O4" s="911"/>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910"/>
      <c r="M5" s="911"/>
      <c r="N5" s="911"/>
      <c r="O5" s="911"/>
      <c r="P5" s="3731"/>
      <c r="Q5" s="3732"/>
      <c r="R5" s="3737"/>
      <c r="S5" s="3738"/>
      <c r="T5" s="3737"/>
      <c r="U5" s="3738"/>
      <c r="V5" s="3741"/>
      <c r="W5" s="3741"/>
      <c r="X5" s="1352"/>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910"/>
      <c r="M6" s="911"/>
      <c r="N6" s="911"/>
      <c r="O6" s="911"/>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SUMIF(52:52,YEAR(E7)&amp;"-"&amp;MONTH(E7),53:53)</f>
        <v>0</v>
      </c>
      <c r="G7" s="366"/>
      <c r="H7" s="365">
        <f>SUMIF(52:52,YEAR(G7)&amp;"-"&amp;MONTH(G7),53:53)</f>
        <v>0</v>
      </c>
      <c r="I7" s="366"/>
      <c r="J7" s="365">
        <f>SUMIF(52:52,YEAR(I7)&amp;"-"&amp;MONTH(I7),53:53)</f>
        <v>0</v>
      </c>
      <c r="K7" s="560"/>
      <c r="L7" s="912"/>
      <c r="M7" s="913"/>
      <c r="N7" s="913"/>
      <c r="O7" s="913"/>
      <c r="P7" s="3746" t="s">
        <v>1680</v>
      </c>
      <c r="Q7" s="3748"/>
      <c r="R7" s="698" t="s">
        <v>14</v>
      </c>
      <c r="S7" s="699">
        <f t="shared" ref="S7:S15" si="0">F7</f>
        <v>0</v>
      </c>
      <c r="T7" s="698" t="s">
        <v>14</v>
      </c>
      <c r="U7" s="699">
        <f t="shared" ref="U7:U15" si="1">H7</f>
        <v>0</v>
      </c>
      <c r="V7" s="698" t="s">
        <v>14</v>
      </c>
      <c r="W7" s="699">
        <f t="shared" ref="W7:W15"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46" t="s">
        <v>1683</v>
      </c>
      <c r="Q8" s="3747"/>
      <c r="R8" s="698" t="s">
        <v>14</v>
      </c>
      <c r="S8" s="699">
        <f t="shared" si="0"/>
        <v>100</v>
      </c>
      <c r="T8" s="698" t="s">
        <v>14</v>
      </c>
      <c r="U8" s="699">
        <f t="shared" si="1"/>
        <v>100</v>
      </c>
      <c r="V8" s="698" t="s">
        <v>14</v>
      </c>
      <c r="W8" s="699">
        <f t="shared" si="2"/>
        <v>100</v>
      </c>
      <c r="X8" s="700"/>
      <c r="Y8" s="3746" t="s">
        <v>1683</v>
      </c>
      <c r="Z8" s="3747"/>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0"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10"/>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0"/>
      <c r="Q11" s="1340" t="str">
        <f t="shared" si="6"/>
        <v>容积率</v>
      </c>
      <c r="R11" s="698" t="s">
        <v>14</v>
      </c>
      <c r="S11" s="699">
        <f t="shared" si="0"/>
        <v>100</v>
      </c>
      <c r="T11" s="698" t="s">
        <v>14</v>
      </c>
      <c r="U11" s="699">
        <f t="shared" si="1"/>
        <v>100</v>
      </c>
      <c r="V11" s="698" t="s">
        <v>14</v>
      </c>
      <c r="W11" s="699">
        <f t="shared" si="2"/>
        <v>100</v>
      </c>
      <c r="X11" s="700"/>
      <c r="Y11" s="3560"/>
      <c r="Z11" s="52" t="str">
        <f t="shared" si="7"/>
        <v>容积率</v>
      </c>
      <c r="AA11" s="701">
        <f t="shared" si="3"/>
        <v>1</v>
      </c>
      <c r="AB11" s="701">
        <f t="shared" si="4"/>
        <v>1</v>
      </c>
      <c r="AC11" s="701">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0"/>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0"/>
      <c r="Q14" s="1340">
        <f t="shared" si="6"/>
        <v>111</v>
      </c>
      <c r="R14" s="698" t="s">
        <v>14</v>
      </c>
      <c r="S14" s="699">
        <f t="shared" si="0"/>
        <v>100</v>
      </c>
      <c r="T14" s="698" t="s">
        <v>14</v>
      </c>
      <c r="U14" s="699">
        <f t="shared" si="1"/>
        <v>100</v>
      </c>
      <c r="V14" s="698" t="s">
        <v>14</v>
      </c>
      <c r="W14" s="699">
        <f t="shared" si="2"/>
        <v>100</v>
      </c>
      <c r="X14" s="700"/>
      <c r="Y14" s="3560"/>
      <c r="Z14" s="52">
        <f t="shared" si="7"/>
        <v>111</v>
      </c>
      <c r="AA14" s="701">
        <f t="shared" si="3"/>
        <v>1</v>
      </c>
      <c r="AB14" s="701">
        <f t="shared" si="4"/>
        <v>1</v>
      </c>
      <c r="AC14" s="701">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12" t="s">
        <v>1691</v>
      </c>
      <c r="Q15" s="1349" t="str">
        <f t="shared" si="6"/>
        <v>产业集聚程度</v>
      </c>
      <c r="R15" s="702" t="s">
        <v>14</v>
      </c>
      <c r="S15" s="703">
        <f t="shared" si="0"/>
        <v>100</v>
      </c>
      <c r="T15" s="702" t="s">
        <v>14</v>
      </c>
      <c r="U15" s="703">
        <f t="shared" si="1"/>
        <v>100</v>
      </c>
      <c r="V15" s="702" t="s">
        <v>14</v>
      </c>
      <c r="W15" s="703">
        <f t="shared" si="2"/>
        <v>100</v>
      </c>
      <c r="X15" s="1352"/>
      <c r="Y15" s="3712"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13"/>
      <c r="Q16" s="1349"/>
      <c r="R16" s="702"/>
      <c r="S16" s="703"/>
      <c r="T16" s="702"/>
      <c r="U16" s="703"/>
      <c r="V16" s="702"/>
      <c r="W16" s="703"/>
      <c r="X16" s="1352"/>
      <c r="Y16" s="3713"/>
      <c r="Z16" s="1353"/>
      <c r="AA16" s="1350">
        <v>1</v>
      </c>
      <c r="AB16" s="1350">
        <v>1</v>
      </c>
      <c r="AC16" s="1350">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13"/>
      <c r="Q17" s="1349" t="str">
        <f>B17</f>
        <v>交通便捷度</v>
      </c>
      <c r="R17" s="702" t="s">
        <v>14</v>
      </c>
      <c r="S17" s="703">
        <f>F17</f>
        <v>100</v>
      </c>
      <c r="T17" s="702" t="s">
        <v>14</v>
      </c>
      <c r="U17" s="703">
        <f>H17</f>
        <v>100</v>
      </c>
      <c r="V17" s="702" t="s">
        <v>14</v>
      </c>
      <c r="W17" s="703">
        <f>J17</f>
        <v>100</v>
      </c>
      <c r="X17" s="1352"/>
      <c r="Y17" s="3713"/>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0"/>
      <c r="M18" s="911"/>
      <c r="N18" s="911"/>
      <c r="O18" s="919"/>
      <c r="P18" s="3713"/>
      <c r="Q18" s="1349"/>
      <c r="R18" s="702"/>
      <c r="S18" s="703"/>
      <c r="T18" s="702"/>
      <c r="U18" s="703"/>
      <c r="V18" s="702"/>
      <c r="W18" s="703"/>
      <c r="X18" s="1352"/>
      <c r="Y18" s="3713"/>
      <c r="Z18" s="1353"/>
      <c r="AA18" s="1350">
        <v>1</v>
      </c>
      <c r="AB18" s="1350">
        <v>1</v>
      </c>
      <c r="AC18" s="1350">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13"/>
      <c r="Q19" s="1349" t="str">
        <f>B19</f>
        <v>公共配套设施</v>
      </c>
      <c r="R19" s="702" t="s">
        <v>14</v>
      </c>
      <c r="S19" s="703">
        <f>F19</f>
        <v>100</v>
      </c>
      <c r="T19" s="702" t="s">
        <v>14</v>
      </c>
      <c r="U19" s="703">
        <f>H19</f>
        <v>100</v>
      </c>
      <c r="V19" s="702" t="s">
        <v>14</v>
      </c>
      <c r="W19" s="703">
        <f>J19</f>
        <v>100</v>
      </c>
      <c r="X19" s="1352"/>
      <c r="Y19" s="3713"/>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0"/>
      <c r="M20" s="911"/>
      <c r="N20" s="911"/>
      <c r="O20" s="919"/>
      <c r="P20" s="3713"/>
      <c r="Q20" s="1349"/>
      <c r="R20" s="702"/>
      <c r="S20" s="703"/>
      <c r="T20" s="702"/>
      <c r="U20" s="703"/>
      <c r="V20" s="702"/>
      <c r="W20" s="703"/>
      <c r="X20" s="1352"/>
      <c r="Y20" s="3713"/>
      <c r="Z20" s="1353"/>
      <c r="AA20" s="1350">
        <v>1</v>
      </c>
      <c r="AB20" s="1350">
        <v>1</v>
      </c>
      <c r="AC20" s="1350">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13"/>
      <c r="Q21" s="1349" t="str">
        <f>B21</f>
        <v>基础设施水平</v>
      </c>
      <c r="R21" s="702" t="s">
        <v>14</v>
      </c>
      <c r="S21" s="703">
        <f>F21</f>
        <v>100</v>
      </c>
      <c r="T21" s="702" t="s">
        <v>14</v>
      </c>
      <c r="U21" s="703">
        <f>H21</f>
        <v>100</v>
      </c>
      <c r="V21" s="702" t="s">
        <v>14</v>
      </c>
      <c r="W21" s="703">
        <f>J21</f>
        <v>100</v>
      </c>
      <c r="X21" s="1352"/>
      <c r="Y21" s="3713"/>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920"/>
      <c r="M22" s="911"/>
      <c r="N22" s="911"/>
      <c r="O22" s="919"/>
      <c r="P22" s="3713"/>
      <c r="Q22" s="1349"/>
      <c r="R22" s="702"/>
      <c r="S22" s="703"/>
      <c r="T22" s="702"/>
      <c r="U22" s="703"/>
      <c r="V22" s="702"/>
      <c r="W22" s="703"/>
      <c r="X22" s="1352"/>
      <c r="Y22" s="3713"/>
      <c r="Z22" s="1353"/>
      <c r="AA22" s="1350">
        <v>1</v>
      </c>
      <c r="AB22" s="1350">
        <v>1</v>
      </c>
      <c r="AC22" s="1350">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13"/>
      <c r="Q23" s="1349" t="str">
        <f>B23</f>
        <v>环境质量</v>
      </c>
      <c r="R23" s="702" t="s">
        <v>14</v>
      </c>
      <c r="S23" s="703">
        <f>F23</f>
        <v>100</v>
      </c>
      <c r="T23" s="702" t="s">
        <v>14</v>
      </c>
      <c r="U23" s="703">
        <f>H23</f>
        <v>100</v>
      </c>
      <c r="V23" s="702" t="s">
        <v>14</v>
      </c>
      <c r="W23" s="703">
        <f>J23</f>
        <v>100</v>
      </c>
      <c r="X23" s="1352"/>
      <c r="Y23" s="3713"/>
      <c r="Z23" s="1353" t="str">
        <f>Q23</f>
        <v>环境质量</v>
      </c>
      <c r="AA23" s="1350">
        <f t="shared" si="3"/>
        <v>1</v>
      </c>
      <c r="AB23" s="1350">
        <f t="shared" si="4"/>
        <v>1</v>
      </c>
      <c r="AC23" s="1350">
        <f t="shared" si="5"/>
        <v>1</v>
      </c>
    </row>
    <row r="24" spans="1:29" ht="15">
      <c r="A24" s="379"/>
      <c r="B24" s="1128"/>
      <c r="C24" s="398"/>
      <c r="D24" s="399"/>
      <c r="E24" s="1894"/>
      <c r="F24" s="400"/>
      <c r="G24" s="1893"/>
      <c r="H24" s="399"/>
      <c r="I24" s="1894"/>
      <c r="J24" s="399"/>
      <c r="K24" s="564"/>
      <c r="L24" s="920"/>
      <c r="M24" s="911"/>
      <c r="N24" s="911"/>
      <c r="O24" s="919"/>
      <c r="P24" s="3713"/>
      <c r="Q24" s="1349"/>
      <c r="R24" s="702"/>
      <c r="S24" s="703"/>
      <c r="T24" s="702"/>
      <c r="U24" s="703"/>
      <c r="V24" s="702"/>
      <c r="W24" s="703"/>
      <c r="X24" s="1352"/>
      <c r="Y24" s="371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13"/>
      <c r="Q25" s="1349">
        <f>B25</f>
        <v>111</v>
      </c>
      <c r="R25" s="702" t="s">
        <v>14</v>
      </c>
      <c r="S25" s="703">
        <f>F25</f>
        <v>100</v>
      </c>
      <c r="T25" s="702" t="s">
        <v>14</v>
      </c>
      <c r="U25" s="703">
        <f>H25</f>
        <v>100</v>
      </c>
      <c r="V25" s="702" t="s">
        <v>14</v>
      </c>
      <c r="W25" s="703">
        <f>J25</f>
        <v>100</v>
      </c>
      <c r="X25" s="1352"/>
      <c r="Y25" s="371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13"/>
      <c r="Q26" s="1349">
        <f t="shared" ref="Q26:Q40" si="11">B26</f>
        <v>111</v>
      </c>
      <c r="R26" s="702" t="s">
        <v>14</v>
      </c>
      <c r="S26" s="703">
        <f>F26</f>
        <v>100</v>
      </c>
      <c r="T26" s="702" t="s">
        <v>14</v>
      </c>
      <c r="U26" s="703">
        <f>H26</f>
        <v>100</v>
      </c>
      <c r="V26" s="702" t="s">
        <v>14</v>
      </c>
      <c r="W26" s="703">
        <f>J26</f>
        <v>100</v>
      </c>
      <c r="X26" s="1352"/>
      <c r="Y26" s="371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13"/>
      <c r="Q27" s="1340">
        <f t="shared" si="11"/>
        <v>111</v>
      </c>
      <c r="R27" s="698" t="s">
        <v>14</v>
      </c>
      <c r="S27" s="699">
        <f>F27</f>
        <v>100</v>
      </c>
      <c r="T27" s="698" t="s">
        <v>14</v>
      </c>
      <c r="U27" s="699">
        <f>H27</f>
        <v>100</v>
      </c>
      <c r="V27" s="698" t="s">
        <v>14</v>
      </c>
      <c r="W27" s="699">
        <f>J27</f>
        <v>100</v>
      </c>
      <c r="X27" s="700"/>
      <c r="Y27" s="371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13"/>
      <c r="Q28" s="1349">
        <f t="shared" si="11"/>
        <v>111</v>
      </c>
      <c r="R28" s="702" t="s">
        <v>14</v>
      </c>
      <c r="S28" s="703">
        <f t="shared" ref="S28:S40" si="12">F28</f>
        <v>100</v>
      </c>
      <c r="T28" s="702" t="s">
        <v>14</v>
      </c>
      <c r="U28" s="703">
        <f t="shared" ref="U28:U40" si="13">H28</f>
        <v>100</v>
      </c>
      <c r="V28" s="702" t="s">
        <v>14</v>
      </c>
      <c r="W28" s="703">
        <f t="shared" ref="W28:W40" si="14">J28</f>
        <v>100</v>
      </c>
      <c r="X28" s="1352"/>
      <c r="Y28" s="3713"/>
      <c r="Z28" s="1353">
        <f t="shared" ref="Z28:Z40" si="15">Q28</f>
        <v>111</v>
      </c>
      <c r="AA28" s="1350">
        <f t="shared" si="3"/>
        <v>1</v>
      </c>
      <c r="AB28" s="1350">
        <f t="shared" si="4"/>
        <v>1</v>
      </c>
      <c r="AC28" s="1350">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53" t="s">
        <v>1696</v>
      </c>
      <c r="Q29" s="1349" t="str">
        <f t="shared" si="11"/>
        <v>建筑类型</v>
      </c>
      <c r="R29" s="702" t="s">
        <v>14</v>
      </c>
      <c r="S29" s="703">
        <f t="shared" si="12"/>
        <v>100</v>
      </c>
      <c r="T29" s="702" t="s">
        <v>14</v>
      </c>
      <c r="U29" s="703">
        <f t="shared" si="13"/>
        <v>100</v>
      </c>
      <c r="V29" s="702" t="s">
        <v>14</v>
      </c>
      <c r="W29" s="703">
        <f t="shared" si="14"/>
        <v>100</v>
      </c>
      <c r="X29" s="1352"/>
      <c r="Y29" s="3717"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17"/>
      <c r="Q30" s="704" t="str">
        <f t="shared" si="11"/>
        <v>项目建筑规模</v>
      </c>
      <c r="R30" s="705" t="s">
        <v>14</v>
      </c>
      <c r="S30" s="706" t="e">
        <f t="shared" si="12"/>
        <v>#N/A</v>
      </c>
      <c r="T30" s="705" t="s">
        <v>14</v>
      </c>
      <c r="U30" s="706" t="e">
        <f t="shared" si="13"/>
        <v>#N/A</v>
      </c>
      <c r="V30" s="705" t="s">
        <v>14</v>
      </c>
      <c r="W30" s="706" t="e">
        <f t="shared" si="14"/>
        <v>#N/A</v>
      </c>
      <c r="X30" s="707"/>
      <c r="Y30" s="3717"/>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17"/>
      <c r="Q31" s="1349" t="str">
        <f t="shared" si="11"/>
        <v>建筑结构</v>
      </c>
      <c r="R31" s="702" t="s">
        <v>14</v>
      </c>
      <c r="S31" s="703">
        <f t="shared" si="12"/>
        <v>100</v>
      </c>
      <c r="T31" s="702" t="s">
        <v>14</v>
      </c>
      <c r="U31" s="703">
        <f t="shared" si="13"/>
        <v>100</v>
      </c>
      <c r="V31" s="702" t="s">
        <v>14</v>
      </c>
      <c r="W31" s="703">
        <f t="shared" si="14"/>
        <v>100</v>
      </c>
      <c r="X31" s="1352"/>
      <c r="Y31" s="3717"/>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17"/>
      <c r="Q32" s="1349" t="str">
        <f t="shared" si="11"/>
        <v>公共部分装修</v>
      </c>
      <c r="R32" s="702" t="s">
        <v>14</v>
      </c>
      <c r="S32" s="703">
        <f t="shared" si="12"/>
        <v>100</v>
      </c>
      <c r="T32" s="702" t="s">
        <v>14</v>
      </c>
      <c r="U32" s="703">
        <f t="shared" si="13"/>
        <v>100</v>
      </c>
      <c r="V32" s="702" t="s">
        <v>14</v>
      </c>
      <c r="W32" s="703">
        <f t="shared" si="14"/>
        <v>100</v>
      </c>
      <c r="X32" s="1352"/>
      <c r="Y32" s="3717"/>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17"/>
      <c r="Q33" s="1349" t="str">
        <f t="shared" si="11"/>
        <v>成新度</v>
      </c>
      <c r="R33" s="702" t="s">
        <v>14</v>
      </c>
      <c r="S33" s="703" t="e">
        <f t="shared" si="12"/>
        <v>#N/A</v>
      </c>
      <c r="T33" s="702" t="s">
        <v>14</v>
      </c>
      <c r="U33" s="703" t="e">
        <f t="shared" si="13"/>
        <v>#N/A</v>
      </c>
      <c r="V33" s="702" t="s">
        <v>14</v>
      </c>
      <c r="W33" s="703" t="e">
        <f t="shared" si="14"/>
        <v>#N/A</v>
      </c>
      <c r="X33" s="1352"/>
      <c r="Y33" s="3717"/>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17"/>
      <c r="Q34" s="1340" t="str">
        <f t="shared" si="11"/>
        <v>物业管理</v>
      </c>
      <c r="R34" s="698" t="s">
        <v>14</v>
      </c>
      <c r="S34" s="699">
        <f t="shared" si="12"/>
        <v>100</v>
      </c>
      <c r="T34" s="698" t="s">
        <v>14</v>
      </c>
      <c r="U34" s="699">
        <f t="shared" si="13"/>
        <v>100</v>
      </c>
      <c r="V34" s="698" t="s">
        <v>14</v>
      </c>
      <c r="W34" s="699">
        <f t="shared" si="14"/>
        <v>100</v>
      </c>
      <c r="X34" s="700"/>
      <c r="Y34" s="3717"/>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17" t="s">
        <v>1696</v>
      </c>
      <c r="Q35" s="1349" t="str">
        <f t="shared" si="11"/>
        <v>市政基础设施</v>
      </c>
      <c r="R35" s="702" t="s">
        <v>14</v>
      </c>
      <c r="S35" s="703">
        <f t="shared" si="12"/>
        <v>100</v>
      </c>
      <c r="T35" s="702" t="s">
        <v>14</v>
      </c>
      <c r="U35" s="703">
        <f t="shared" si="13"/>
        <v>100</v>
      </c>
      <c r="V35" s="702" t="s">
        <v>14</v>
      </c>
      <c r="W35" s="703">
        <f t="shared" si="14"/>
        <v>100</v>
      </c>
      <c r="X35" s="1352"/>
      <c r="Y35" s="3717"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17"/>
      <c r="Q36" s="1349" t="str">
        <f t="shared" si="11"/>
        <v>内部装修</v>
      </c>
      <c r="R36" s="702" t="s">
        <v>14</v>
      </c>
      <c r="S36" s="703">
        <f t="shared" si="12"/>
        <v>100</v>
      </c>
      <c r="T36" s="702" t="s">
        <v>14</v>
      </c>
      <c r="U36" s="703">
        <f t="shared" si="13"/>
        <v>100</v>
      </c>
      <c r="V36" s="702" t="s">
        <v>14</v>
      </c>
      <c r="W36" s="703">
        <f t="shared" si="14"/>
        <v>100</v>
      </c>
      <c r="X36" s="1352"/>
      <c r="Y36" s="3717"/>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17"/>
      <c r="Q37" s="1349" t="str">
        <f t="shared" si="11"/>
        <v>内部装修状况</v>
      </c>
      <c r="R37" s="702" t="s">
        <v>14</v>
      </c>
      <c r="S37" s="703">
        <f t="shared" si="12"/>
        <v>100</v>
      </c>
      <c r="T37" s="702" t="s">
        <v>14</v>
      </c>
      <c r="U37" s="703">
        <f t="shared" si="13"/>
        <v>100</v>
      </c>
      <c r="V37" s="702" t="s">
        <v>14</v>
      </c>
      <c r="W37" s="703">
        <f t="shared" si="14"/>
        <v>100</v>
      </c>
      <c r="X37" s="1352"/>
      <c r="Y37" s="371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17"/>
      <c r="Q38" s="704">
        <f t="shared" si="11"/>
        <v>111</v>
      </c>
      <c r="R38" s="705" t="s">
        <v>14</v>
      </c>
      <c r="S38" s="706">
        <f t="shared" si="12"/>
        <v>100</v>
      </c>
      <c r="T38" s="705" t="s">
        <v>14</v>
      </c>
      <c r="U38" s="706">
        <f t="shared" si="13"/>
        <v>100</v>
      </c>
      <c r="V38" s="705" t="s">
        <v>14</v>
      </c>
      <c r="W38" s="706">
        <f t="shared" si="14"/>
        <v>100</v>
      </c>
      <c r="X38" s="707"/>
      <c r="Y38" s="3717"/>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17"/>
      <c r="Q39" s="1349">
        <f t="shared" si="11"/>
        <v>111</v>
      </c>
      <c r="R39" s="702" t="s">
        <v>14</v>
      </c>
      <c r="S39" s="703">
        <f t="shared" si="12"/>
        <v>100</v>
      </c>
      <c r="T39" s="702" t="s">
        <v>14</v>
      </c>
      <c r="U39" s="703">
        <f t="shared" si="13"/>
        <v>100</v>
      </c>
      <c r="V39" s="702" t="s">
        <v>14</v>
      </c>
      <c r="W39" s="703">
        <f t="shared" si="14"/>
        <v>100</v>
      </c>
      <c r="X39" s="1352"/>
      <c r="Y39" s="3717"/>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18"/>
      <c r="Q40" s="1349">
        <f t="shared" si="11"/>
        <v>111</v>
      </c>
      <c r="R40" s="702" t="s">
        <v>14</v>
      </c>
      <c r="S40" s="703">
        <f t="shared" si="12"/>
        <v>100</v>
      </c>
      <c r="T40" s="702" t="s">
        <v>14</v>
      </c>
      <c r="U40" s="703">
        <f t="shared" si="13"/>
        <v>100</v>
      </c>
      <c r="V40" s="702" t="s">
        <v>14</v>
      </c>
      <c r="W40" s="703">
        <f t="shared" si="14"/>
        <v>100</v>
      </c>
      <c r="X40" s="1352"/>
      <c r="Y40" s="3718"/>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710" t="str">
        <f>A41</f>
        <v>成交单价（元/平方米）</v>
      </c>
      <c r="Q41" s="3710"/>
      <c r="R41" s="3711">
        <f>E41</f>
        <v>0</v>
      </c>
      <c r="S41" s="3711"/>
      <c r="T41" s="3711">
        <f>G41</f>
        <v>0</v>
      </c>
      <c r="U41" s="3711"/>
      <c r="V41" s="3711">
        <f>I41</f>
        <v>0</v>
      </c>
      <c r="W41" s="3711"/>
      <c r="X41" s="687"/>
      <c r="Y41" s="709"/>
      <c r="Z41" s="687"/>
      <c r="AA41" s="687"/>
      <c r="AB41" s="687"/>
      <c r="AC41" s="687"/>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1" priority="20" stopIfTrue="1" operator="containsText" text="超过">
      <formula>NOT(ISERROR(SEARCH("超过",F46)))</formula>
    </cfRule>
  </conditionalFormatting>
  <conditionalFormatting sqref="H48">
    <cfRule type="containsText" dxfId="130" priority="19" stopIfTrue="1" operator="containsText" text="超过">
      <formula>NOT(ISERROR(SEARCH("超过",H48)))</formula>
    </cfRule>
  </conditionalFormatting>
  <conditionalFormatting sqref="F48">
    <cfRule type="containsText" dxfId="129" priority="18" stopIfTrue="1" operator="containsText" text="超过">
      <formula>NOT(ISERROR(SEARCH("超过",F48)))</formula>
    </cfRule>
  </conditionalFormatting>
  <conditionalFormatting sqref="F47 H47">
    <cfRule type="containsText" dxfId="128" priority="17" stopIfTrue="1" operator="containsText" text="超过">
      <formula>NOT(ISERROR(SEARCH("超过",F47)))</formula>
    </cfRule>
  </conditionalFormatting>
  <conditionalFormatting sqref="E46">
    <cfRule type="expression" dxfId="127" priority="16" stopIfTrue="1">
      <formula>$F$46="超过30%"</formula>
    </cfRule>
  </conditionalFormatting>
  <conditionalFormatting sqref="E47">
    <cfRule type="expression" dxfId="126" priority="15" stopIfTrue="1">
      <formula>$F$47="超过20%"</formula>
    </cfRule>
  </conditionalFormatting>
  <conditionalFormatting sqref="E48">
    <cfRule type="expression" dxfId="125" priority="14" stopIfTrue="1">
      <formula>$F$48="超过30%"</formula>
    </cfRule>
  </conditionalFormatting>
  <conditionalFormatting sqref="G48">
    <cfRule type="expression" dxfId="124" priority="13" stopIfTrue="1">
      <formula>$H$48="超过30%"</formula>
    </cfRule>
  </conditionalFormatting>
  <conditionalFormatting sqref="G46">
    <cfRule type="expression" dxfId="123" priority="12" stopIfTrue="1">
      <formula>$H$46="超过30%"</formula>
    </cfRule>
  </conditionalFormatting>
  <conditionalFormatting sqref="G47">
    <cfRule type="expression" dxfId="122" priority="11" stopIfTrue="1">
      <formula>$H$47="超过20%"</formula>
    </cfRule>
  </conditionalFormatting>
  <conditionalFormatting sqref="J46">
    <cfRule type="containsText" dxfId="121" priority="10" stopIfTrue="1" operator="containsText" text="超过">
      <formula>NOT(ISERROR(SEARCH("超过",J46)))</formula>
    </cfRule>
  </conditionalFormatting>
  <conditionalFormatting sqref="J48">
    <cfRule type="containsText" dxfId="120" priority="9" stopIfTrue="1" operator="containsText" text="超过">
      <formula>NOT(ISERROR(SEARCH("超过",J48)))</formula>
    </cfRule>
  </conditionalFormatting>
  <conditionalFormatting sqref="J47">
    <cfRule type="containsText" dxfId="119" priority="8" stopIfTrue="1" operator="containsText" text="超过">
      <formula>NOT(ISERROR(SEARCH("超过",J47)))</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F7:F40 H7:H40 J7:J40">
    <cfRule type="cellIs" dxfId="11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6" t="s">
        <v>1680</v>
      </c>
      <c r="Q7" s="3748"/>
      <c r="R7" s="698" t="s">
        <v>14</v>
      </c>
      <c r="S7" s="699">
        <f t="shared" ref="S7:S14" si="0">F7</f>
        <v>0</v>
      </c>
      <c r="T7" s="698" t="s">
        <v>14</v>
      </c>
      <c r="U7" s="699">
        <f t="shared" ref="U7:U14" si="1">H7</f>
        <v>0</v>
      </c>
      <c r="V7" s="698" t="s">
        <v>14</v>
      </c>
      <c r="W7" s="699">
        <f t="shared" ref="W7:W14"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6" t="s">
        <v>1683</v>
      </c>
      <c r="Q8" s="3747"/>
      <c r="R8" s="698" t="s">
        <v>14</v>
      </c>
      <c r="S8" s="699">
        <f t="shared" si="0"/>
        <v>100</v>
      </c>
      <c r="T8" s="698" t="s">
        <v>14</v>
      </c>
      <c r="U8" s="699">
        <f t="shared" si="1"/>
        <v>100</v>
      </c>
      <c r="V8" s="698" t="s">
        <v>14</v>
      </c>
      <c r="W8" s="699">
        <f t="shared" si="2"/>
        <v>100</v>
      </c>
      <c r="X8" s="700"/>
      <c r="Y8" s="3746" t="s">
        <v>1683</v>
      </c>
      <c r="Z8" s="3747"/>
      <c r="AA8" s="701">
        <f t="shared" ref="AA8:AA36" si="3">D8/F8</f>
        <v>1</v>
      </c>
      <c r="AB8" s="701">
        <f t="shared" ref="AB8:AB36" si="4">D8/H8</f>
        <v>1</v>
      </c>
      <c r="AC8" s="701">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0" t="s">
        <v>1686</v>
      </c>
      <c r="Q9" s="1340" t="str">
        <f t="shared" ref="Q9:Q14" si="6">B9</f>
        <v>用途</v>
      </c>
      <c r="R9" s="698" t="s">
        <v>14</v>
      </c>
      <c r="S9" s="699">
        <f t="shared" si="0"/>
        <v>100</v>
      </c>
      <c r="T9" s="698" t="s">
        <v>14</v>
      </c>
      <c r="U9" s="699">
        <f t="shared" si="1"/>
        <v>100</v>
      </c>
      <c r="V9" s="698" t="s">
        <v>14</v>
      </c>
      <c r="W9" s="699">
        <f t="shared" si="2"/>
        <v>100</v>
      </c>
      <c r="X9" s="700"/>
      <c r="Y9" s="3560" t="s">
        <v>1687</v>
      </c>
      <c r="Z9" s="52" t="str">
        <f t="shared" ref="Z9:Z14" si="7">Q9</f>
        <v>用途</v>
      </c>
      <c r="AA9" s="701">
        <f t="shared" si="3"/>
        <v>1</v>
      </c>
      <c r="AB9" s="701">
        <f t="shared" si="4"/>
        <v>1</v>
      </c>
      <c r="AC9" s="701">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0"/>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0"/>
      <c r="Q11" s="1340">
        <f t="shared" si="6"/>
        <v>111</v>
      </c>
      <c r="R11" s="698" t="s">
        <v>14</v>
      </c>
      <c r="S11" s="699">
        <f t="shared" si="0"/>
        <v>100</v>
      </c>
      <c r="T11" s="698" t="s">
        <v>14</v>
      </c>
      <c r="U11" s="699">
        <f t="shared" si="1"/>
        <v>100</v>
      </c>
      <c r="V11" s="698" t="s">
        <v>14</v>
      </c>
      <c r="W11" s="699">
        <f t="shared" si="2"/>
        <v>100</v>
      </c>
      <c r="X11" s="700"/>
      <c r="Y11" s="3560"/>
      <c r="Z11" s="52">
        <f t="shared" si="7"/>
        <v>111</v>
      </c>
      <c r="AA11" s="701">
        <f t="shared" si="3"/>
        <v>1</v>
      </c>
      <c r="AB11" s="701">
        <f t="shared" si="4"/>
        <v>1</v>
      </c>
      <c r="AC11" s="701">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0"/>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2" t="s">
        <v>1691</v>
      </c>
      <c r="Q14" s="1349" t="str">
        <f t="shared" si="6"/>
        <v>交通便捷度</v>
      </c>
      <c r="R14" s="702" t="s">
        <v>14</v>
      </c>
      <c r="S14" s="703">
        <f t="shared" si="0"/>
        <v>100</v>
      </c>
      <c r="T14" s="702" t="s">
        <v>14</v>
      </c>
      <c r="U14" s="703">
        <f t="shared" si="1"/>
        <v>100</v>
      </c>
      <c r="V14" s="702" t="s">
        <v>14</v>
      </c>
      <c r="W14" s="703">
        <f t="shared" si="2"/>
        <v>100</v>
      </c>
      <c r="X14" s="1352"/>
      <c r="Y14" s="3712"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13"/>
      <c r="Q15" s="1349"/>
      <c r="R15" s="702"/>
      <c r="S15" s="703"/>
      <c r="T15" s="702"/>
      <c r="U15" s="703"/>
      <c r="V15" s="702"/>
      <c r="W15" s="703"/>
      <c r="X15" s="1352"/>
      <c r="Y15" s="3713"/>
      <c r="Z15" s="1353"/>
      <c r="AA15" s="1350">
        <v>1</v>
      </c>
      <c r="AB15" s="1350">
        <v>1</v>
      </c>
      <c r="AC15" s="1350">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3"/>
      <c r="Q16" s="1349" t="str">
        <f>B16</f>
        <v>公共配套设施</v>
      </c>
      <c r="R16" s="702" t="s">
        <v>14</v>
      </c>
      <c r="S16" s="703">
        <f>F16</f>
        <v>100</v>
      </c>
      <c r="T16" s="702" t="s">
        <v>14</v>
      </c>
      <c r="U16" s="703">
        <f>H16</f>
        <v>100</v>
      </c>
      <c r="V16" s="702" t="s">
        <v>14</v>
      </c>
      <c r="W16" s="703">
        <f>J16</f>
        <v>100</v>
      </c>
      <c r="X16" s="1352"/>
      <c r="Y16" s="3713"/>
      <c r="Z16" s="1353" t="str">
        <f>Q16</f>
        <v>公共配套设施</v>
      </c>
      <c r="AA16" s="1350">
        <f t="shared" si="3"/>
        <v>1</v>
      </c>
      <c r="AB16" s="1350">
        <f t="shared" si="4"/>
        <v>1</v>
      </c>
      <c r="AC16" s="1350">
        <f t="shared" si="5"/>
        <v>1</v>
      </c>
    </row>
    <row r="17" spans="1:29" ht="15">
      <c r="A17" s="358"/>
      <c r="B17" s="580"/>
      <c r="C17" s="1897"/>
      <c r="D17" s="399"/>
      <c r="E17" s="398"/>
      <c r="F17" s="400"/>
      <c r="G17" s="398"/>
      <c r="H17" s="399"/>
      <c r="I17" s="398"/>
      <c r="J17" s="399"/>
      <c r="K17" s="564"/>
      <c r="L17" s="2718"/>
      <c r="M17" s="2712"/>
      <c r="N17" s="2712"/>
      <c r="O17" s="2712"/>
      <c r="P17" s="3713"/>
      <c r="Q17" s="1349"/>
      <c r="R17" s="702"/>
      <c r="S17" s="703"/>
      <c r="T17" s="702"/>
      <c r="U17" s="703"/>
      <c r="V17" s="702"/>
      <c r="W17" s="703"/>
      <c r="X17" s="1352"/>
      <c r="Y17" s="3713"/>
      <c r="Z17" s="1353"/>
      <c r="AA17" s="1350">
        <v>1</v>
      </c>
      <c r="AB17" s="1350">
        <v>1</v>
      </c>
      <c r="AC17" s="1350">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3"/>
      <c r="Q18" s="1349" t="str">
        <f>B18</f>
        <v>基础设施水平</v>
      </c>
      <c r="R18" s="702" t="s">
        <v>14</v>
      </c>
      <c r="S18" s="703">
        <f>F18</f>
        <v>100</v>
      </c>
      <c r="T18" s="702" t="s">
        <v>14</v>
      </c>
      <c r="U18" s="703">
        <f>H18</f>
        <v>100</v>
      </c>
      <c r="V18" s="702" t="s">
        <v>14</v>
      </c>
      <c r="W18" s="703">
        <f>J18</f>
        <v>100</v>
      </c>
      <c r="X18" s="1352"/>
      <c r="Y18" s="3713"/>
      <c r="Z18" s="1353" t="str">
        <f>Q18</f>
        <v>基础设施水平</v>
      </c>
      <c r="AA18" s="1350">
        <f t="shared" ref="AA18" si="8">D18/F18</f>
        <v>1</v>
      </c>
      <c r="AB18" s="1350">
        <f t="shared" ref="AB18" si="9">D18/H18</f>
        <v>1</v>
      </c>
      <c r="AC18" s="1350">
        <f t="shared" ref="AC18" si="10">D18/J18</f>
        <v>1</v>
      </c>
    </row>
    <row r="19" spans="1:29" ht="15">
      <c r="A19" s="358"/>
      <c r="B19" s="581"/>
      <c r="C19" s="1897"/>
      <c r="D19" s="401"/>
      <c r="E19" s="1897"/>
      <c r="F19" s="404"/>
      <c r="G19" s="1897"/>
      <c r="H19" s="399"/>
      <c r="I19" s="398"/>
      <c r="J19" s="399"/>
      <c r="K19" s="1127"/>
      <c r="L19" s="2718"/>
      <c r="M19" s="2712"/>
      <c r="N19" s="2712"/>
      <c r="O19" s="2712"/>
      <c r="P19" s="3713"/>
      <c r="Q19" s="1349"/>
      <c r="R19" s="702"/>
      <c r="S19" s="703"/>
      <c r="T19" s="702"/>
      <c r="U19" s="703"/>
      <c r="V19" s="702"/>
      <c r="W19" s="703"/>
      <c r="X19" s="1352"/>
      <c r="Y19" s="3713"/>
      <c r="Z19" s="1353"/>
      <c r="AA19" s="1350">
        <v>1</v>
      </c>
      <c r="AB19" s="1350">
        <v>1</v>
      </c>
      <c r="AC19" s="1350">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3"/>
      <c r="Q20" s="1349" t="str">
        <f>B20</f>
        <v>自然及人文环境</v>
      </c>
      <c r="R20" s="702" t="s">
        <v>14</v>
      </c>
      <c r="S20" s="703">
        <f>F20</f>
        <v>100</v>
      </c>
      <c r="T20" s="702" t="s">
        <v>14</v>
      </c>
      <c r="U20" s="703">
        <f>H20</f>
        <v>100</v>
      </c>
      <c r="V20" s="702" t="s">
        <v>14</v>
      </c>
      <c r="W20" s="703">
        <f>J20</f>
        <v>100</v>
      </c>
      <c r="X20" s="1352"/>
      <c r="Y20" s="3713"/>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13"/>
      <c r="Q21" s="1349"/>
      <c r="R21" s="702"/>
      <c r="S21" s="703"/>
      <c r="T21" s="702"/>
      <c r="U21" s="703"/>
      <c r="V21" s="702"/>
      <c r="W21" s="703"/>
      <c r="X21" s="1352"/>
      <c r="Y21" s="3713"/>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3"/>
      <c r="Q22" s="1349" t="str">
        <f>B22</f>
        <v>楼层</v>
      </c>
      <c r="R22" s="702" t="s">
        <v>14</v>
      </c>
      <c r="S22" s="703">
        <f>F22</f>
        <v>100</v>
      </c>
      <c r="T22" s="702" t="s">
        <v>14</v>
      </c>
      <c r="U22" s="703">
        <f>H22</f>
        <v>100</v>
      </c>
      <c r="V22" s="702" t="s">
        <v>14</v>
      </c>
      <c r="W22" s="703">
        <f>J22</f>
        <v>100</v>
      </c>
      <c r="X22" s="1352"/>
      <c r="Y22" s="3713"/>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3"/>
      <c r="Q23" s="1349">
        <f>B23</f>
        <v>111</v>
      </c>
      <c r="R23" s="702" t="s">
        <v>14</v>
      </c>
      <c r="S23" s="703">
        <f>F23</f>
        <v>100</v>
      </c>
      <c r="T23" s="702" t="s">
        <v>14</v>
      </c>
      <c r="U23" s="703">
        <f>H23</f>
        <v>100</v>
      </c>
      <c r="V23" s="702" t="s">
        <v>14</v>
      </c>
      <c r="W23" s="703">
        <f>J23</f>
        <v>100</v>
      </c>
      <c r="X23" s="1352"/>
      <c r="Y23" s="3713"/>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3"/>
      <c r="Q24" s="1349">
        <f t="shared" ref="Q24:Q36" si="11">B24</f>
        <v>111</v>
      </c>
      <c r="R24" s="702" t="s">
        <v>14</v>
      </c>
      <c r="S24" s="703">
        <f>F24</f>
        <v>100</v>
      </c>
      <c r="T24" s="702" t="s">
        <v>14</v>
      </c>
      <c r="U24" s="703">
        <f>H24</f>
        <v>100</v>
      </c>
      <c r="V24" s="702" t="s">
        <v>14</v>
      </c>
      <c r="W24" s="703">
        <f>J24</f>
        <v>100</v>
      </c>
      <c r="X24" s="1352"/>
      <c r="Y24" s="3713"/>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3"/>
      <c r="Q25" s="1340">
        <f t="shared" si="11"/>
        <v>111</v>
      </c>
      <c r="R25" s="698" t="s">
        <v>14</v>
      </c>
      <c r="S25" s="699">
        <f>F25</f>
        <v>100</v>
      </c>
      <c r="T25" s="698" t="s">
        <v>14</v>
      </c>
      <c r="U25" s="699">
        <f>H25</f>
        <v>100</v>
      </c>
      <c r="V25" s="698" t="s">
        <v>14</v>
      </c>
      <c r="W25" s="699">
        <f>J25</f>
        <v>100</v>
      </c>
      <c r="X25" s="700"/>
      <c r="Y25" s="3713"/>
      <c r="Z25" s="52">
        <f>Q25</f>
        <v>111</v>
      </c>
      <c r="AA25" s="1350">
        <f>D25/F25</f>
        <v>1</v>
      </c>
      <c r="AB25" s="1350">
        <f>D25/H25</f>
        <v>1</v>
      </c>
      <c r="AC25" s="1350">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3"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17"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7"/>
      <c r="Q27" s="704" t="str">
        <f t="shared" si="11"/>
        <v>项目停车位配比</v>
      </c>
      <c r="R27" s="705" t="s">
        <v>14</v>
      </c>
      <c r="S27" s="706">
        <f t="shared" si="12"/>
        <v>100</v>
      </c>
      <c r="T27" s="705" t="s">
        <v>14</v>
      </c>
      <c r="U27" s="706">
        <f t="shared" si="13"/>
        <v>100</v>
      </c>
      <c r="V27" s="705" t="s">
        <v>14</v>
      </c>
      <c r="W27" s="706">
        <f t="shared" si="14"/>
        <v>100</v>
      </c>
      <c r="X27" s="707"/>
      <c r="Y27" s="3717"/>
      <c r="Z27" s="708"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7"/>
      <c r="Q28" s="1349" t="str">
        <f t="shared" si="11"/>
        <v>公共部分装修</v>
      </c>
      <c r="R28" s="702" t="s">
        <v>14</v>
      </c>
      <c r="S28" s="703">
        <f t="shared" si="12"/>
        <v>100</v>
      </c>
      <c r="T28" s="702" t="s">
        <v>14</v>
      </c>
      <c r="U28" s="703">
        <f t="shared" si="13"/>
        <v>100</v>
      </c>
      <c r="V28" s="702" t="s">
        <v>14</v>
      </c>
      <c r="W28" s="703">
        <f t="shared" si="14"/>
        <v>100</v>
      </c>
      <c r="X28" s="1352"/>
      <c r="Y28" s="3717"/>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7"/>
      <c r="Q29" s="1349" t="str">
        <f t="shared" si="11"/>
        <v>成新率</v>
      </c>
      <c r="R29" s="702" t="s">
        <v>14</v>
      </c>
      <c r="S29" s="703" t="e">
        <f t="shared" si="12"/>
        <v>#N/A</v>
      </c>
      <c r="T29" s="702" t="s">
        <v>14</v>
      </c>
      <c r="U29" s="703" t="e">
        <f t="shared" si="13"/>
        <v>#N/A</v>
      </c>
      <c r="V29" s="702" t="s">
        <v>14</v>
      </c>
      <c r="W29" s="703" t="e">
        <f t="shared" si="14"/>
        <v>#N/A</v>
      </c>
      <c r="X29" s="1352"/>
      <c r="Y29" s="3717"/>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7"/>
      <c r="Q30" s="1349" t="str">
        <f t="shared" si="11"/>
        <v>物业等级</v>
      </c>
      <c r="R30" s="702" t="s">
        <v>14</v>
      </c>
      <c r="S30" s="703">
        <f t="shared" si="12"/>
        <v>100</v>
      </c>
      <c r="T30" s="702" t="s">
        <v>14</v>
      </c>
      <c r="U30" s="703">
        <f t="shared" si="13"/>
        <v>100</v>
      </c>
      <c r="V30" s="702" t="s">
        <v>14</v>
      </c>
      <c r="W30" s="703">
        <f t="shared" si="14"/>
        <v>100</v>
      </c>
      <c r="X30" s="1352"/>
      <c r="Y30" s="3717"/>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7"/>
      <c r="Q31" s="1340" t="str">
        <f t="shared" si="11"/>
        <v>停车位面积</v>
      </c>
      <c r="R31" s="698" t="s">
        <v>14</v>
      </c>
      <c r="S31" s="699" t="e">
        <f t="shared" si="12"/>
        <v>#N/A</v>
      </c>
      <c r="T31" s="698" t="s">
        <v>14</v>
      </c>
      <c r="U31" s="699" t="e">
        <f t="shared" si="13"/>
        <v>#N/A</v>
      </c>
      <c r="V31" s="698" t="s">
        <v>14</v>
      </c>
      <c r="W31" s="699" t="e">
        <f t="shared" si="14"/>
        <v>#N/A</v>
      </c>
      <c r="X31" s="700"/>
      <c r="Y31" s="3717"/>
      <c r="Z31" s="52" t="str">
        <f t="shared" si="15"/>
        <v>停车位面积</v>
      </c>
      <c r="AA31" s="701" t="e">
        <f t="shared" si="3"/>
        <v>#N/A</v>
      </c>
      <c r="AB31" s="701" t="e">
        <f t="shared" si="4"/>
        <v>#N/A</v>
      </c>
      <c r="AC31" s="701"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7" t="s">
        <v>1696</v>
      </c>
      <c r="Q32" s="1349" t="str">
        <f t="shared" si="11"/>
        <v>车位类型</v>
      </c>
      <c r="R32" s="702" t="s">
        <v>14</v>
      </c>
      <c r="S32" s="703">
        <f t="shared" si="12"/>
        <v>100</v>
      </c>
      <c r="T32" s="702" t="s">
        <v>14</v>
      </c>
      <c r="U32" s="703">
        <f t="shared" si="13"/>
        <v>100</v>
      </c>
      <c r="V32" s="702" t="s">
        <v>14</v>
      </c>
      <c r="W32" s="703">
        <f t="shared" si="14"/>
        <v>100</v>
      </c>
      <c r="X32" s="1352"/>
      <c r="Y32" s="3717"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7"/>
      <c r="Q33" s="1349" t="str">
        <f t="shared" si="11"/>
        <v>是否直接入户</v>
      </c>
      <c r="R33" s="702" t="s">
        <v>14</v>
      </c>
      <c r="S33" s="703">
        <f t="shared" si="12"/>
        <v>100</v>
      </c>
      <c r="T33" s="702" t="s">
        <v>14</v>
      </c>
      <c r="U33" s="703">
        <f t="shared" si="13"/>
        <v>100</v>
      </c>
      <c r="V33" s="702" t="s">
        <v>14</v>
      </c>
      <c r="W33" s="703">
        <f t="shared" si="14"/>
        <v>100</v>
      </c>
      <c r="X33" s="1352"/>
      <c r="Y33" s="3717"/>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7"/>
      <c r="Q34" s="1349">
        <f t="shared" si="11"/>
        <v>111</v>
      </c>
      <c r="R34" s="702" t="s">
        <v>14</v>
      </c>
      <c r="S34" s="703">
        <f t="shared" si="12"/>
        <v>100</v>
      </c>
      <c r="T34" s="702" t="s">
        <v>14</v>
      </c>
      <c r="U34" s="703">
        <f t="shared" si="13"/>
        <v>100</v>
      </c>
      <c r="V34" s="702" t="s">
        <v>14</v>
      </c>
      <c r="W34" s="703">
        <f t="shared" si="14"/>
        <v>100</v>
      </c>
      <c r="X34" s="1352"/>
      <c r="Y34" s="3717"/>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7"/>
      <c r="Q35" s="704">
        <f t="shared" si="11"/>
        <v>111</v>
      </c>
      <c r="R35" s="705" t="s">
        <v>14</v>
      </c>
      <c r="S35" s="706">
        <f t="shared" si="12"/>
        <v>100</v>
      </c>
      <c r="T35" s="705" t="s">
        <v>14</v>
      </c>
      <c r="U35" s="706">
        <f t="shared" si="13"/>
        <v>100</v>
      </c>
      <c r="V35" s="705" t="s">
        <v>14</v>
      </c>
      <c r="W35" s="706">
        <f t="shared" si="14"/>
        <v>100</v>
      </c>
      <c r="X35" s="707"/>
      <c r="Y35" s="3717"/>
      <c r="Z35" s="708">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7"/>
      <c r="Q36" s="1349">
        <f t="shared" si="11"/>
        <v>111</v>
      </c>
      <c r="R36" s="702" t="s">
        <v>14</v>
      </c>
      <c r="S36" s="703">
        <f t="shared" si="12"/>
        <v>100</v>
      </c>
      <c r="T36" s="702" t="s">
        <v>14</v>
      </c>
      <c r="U36" s="703">
        <f t="shared" si="13"/>
        <v>100</v>
      </c>
      <c r="V36" s="702" t="s">
        <v>14</v>
      </c>
      <c r="W36" s="703">
        <f t="shared" si="14"/>
        <v>100</v>
      </c>
      <c r="X36" s="1352"/>
      <c r="Y36" s="3717"/>
      <c r="Z36" s="1353">
        <f t="shared" si="15"/>
        <v>111</v>
      </c>
      <c r="AA36" s="1350">
        <f t="shared" si="3"/>
        <v>1</v>
      </c>
      <c r="AB36" s="1350">
        <f t="shared" si="4"/>
        <v>1</v>
      </c>
      <c r="AC36" s="1350">
        <f t="shared" si="5"/>
        <v>1</v>
      </c>
    </row>
    <row r="37" spans="1:29" ht="15">
      <c r="A37" s="430" t="s">
        <v>1844</v>
      </c>
      <c r="B37" s="1969" t="s">
        <v>3355</v>
      </c>
      <c r="C37" s="1151" t="s">
        <v>0</v>
      </c>
      <c r="D37" s="1152"/>
      <c r="E37" s="1153"/>
      <c r="F37" s="1154"/>
      <c r="G37" s="1155"/>
      <c r="H37" s="1156"/>
      <c r="I37" s="1153"/>
      <c r="J37" s="1156"/>
      <c r="K37" s="568"/>
      <c r="L37" s="2720"/>
      <c r="M37" s="2721"/>
      <c r="N37" s="2712"/>
      <c r="O37" s="2721"/>
      <c r="P37" s="3710" t="str">
        <f>A37</f>
        <v>成交单价</v>
      </c>
      <c r="Q37" s="3710"/>
      <c r="R37" s="3711">
        <f>E37</f>
        <v>0</v>
      </c>
      <c r="S37" s="3711"/>
      <c r="T37" s="3711">
        <f>G37</f>
        <v>0</v>
      </c>
      <c r="U37" s="3711"/>
      <c r="V37" s="3711">
        <f>I37</f>
        <v>0</v>
      </c>
      <c r="W37" s="3711"/>
      <c r="X37" s="687"/>
      <c r="Y37" s="709"/>
      <c r="Z37" s="687"/>
      <c r="AA37" s="687"/>
      <c r="AB37" s="687"/>
      <c r="AC37" s="687"/>
    </row>
    <row r="38" spans="1:29" ht="15.75" thickBot="1">
      <c r="A38" s="437" t="s">
        <v>1845</v>
      </c>
      <c r="B38" s="438" t="str">
        <f>B37</f>
        <v>元/平方米</v>
      </c>
      <c r="C38" s="1157" t="e">
        <f>R39</f>
        <v>#DIV/0!</v>
      </c>
      <c r="D38" s="2313" t="s">
        <v>2137</v>
      </c>
      <c r="E38" s="1158" t="e">
        <f>R38</f>
        <v>#DIV/0!</v>
      </c>
      <c r="F38" s="2314"/>
      <c r="G38" s="1157" t="e">
        <f>T38</f>
        <v>#DIV/0!</v>
      </c>
      <c r="H38" s="2314"/>
      <c r="I38" s="1158" t="e">
        <f>V38</f>
        <v>#DIV/0!</v>
      </c>
      <c r="J38" s="2314"/>
      <c r="K38" s="2316">
        <f>F38+H38+J38</f>
        <v>0</v>
      </c>
      <c r="L38" s="2720"/>
      <c r="M38" s="2721"/>
      <c r="N38" s="2721"/>
      <c r="O38" s="2721"/>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9"/>
      <c r="L39" s="2720"/>
      <c r="M39" s="2721"/>
      <c r="N39" s="2721"/>
      <c r="O39" s="2721"/>
      <c r="P39" s="3707" t="str">
        <f>A39</f>
        <v>估价对象XX用房的比较价值（楼面单价，元/平方米）</v>
      </c>
      <c r="Q39" s="3708"/>
      <c r="R39" s="3754" t="e">
        <f>IF(F1="售价",ROUND(IF(D38="简单平均",AVERAGE(R38:W38),R38*F38+T38*H38+V38*J38),0),ROUND(IF(D38="简单平均",AVERAGE(R38:V38),R38*F38+T38*H38+V38*J38),1))</f>
        <v>#DIV/0!</v>
      </c>
      <c r="S39" s="3754"/>
      <c r="T39" s="3754"/>
      <c r="U39" s="3754"/>
      <c r="V39" s="3754"/>
      <c r="W39" s="3754"/>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1" priority="18" stopIfTrue="1" operator="containsText" text="超过">
      <formula>NOT(ISERROR(SEARCH("超过",F42)))</formula>
    </cfRule>
  </conditionalFormatting>
  <conditionalFormatting sqref="J44">
    <cfRule type="containsText" dxfId="110" priority="17" stopIfTrue="1" operator="containsText" text="超过">
      <formula>NOT(ISERROR(SEARCH("超过",J44)))</formula>
    </cfRule>
  </conditionalFormatting>
  <conditionalFormatting sqref="H44">
    <cfRule type="containsText" dxfId="109" priority="16" stopIfTrue="1" operator="containsText" text="超过">
      <formula>NOT(ISERROR(SEARCH("超过",H44)))</formula>
    </cfRule>
  </conditionalFormatting>
  <conditionalFormatting sqref="F44">
    <cfRule type="containsText" dxfId="108" priority="15" stopIfTrue="1" operator="containsText" text="超过">
      <formula>NOT(ISERROR(SEARCH("超过",F44)))</formula>
    </cfRule>
  </conditionalFormatting>
  <conditionalFormatting sqref="F43 H43 J43">
    <cfRule type="containsText" dxfId="107" priority="14" stopIfTrue="1" operator="containsText" text="超过">
      <formula>NOT(ISERROR(SEARCH("超过",F43)))</formula>
    </cfRule>
  </conditionalFormatting>
  <conditionalFormatting sqref="E42">
    <cfRule type="expression" dxfId="106" priority="13" stopIfTrue="1">
      <formula>$F$42="超过30%"</formula>
    </cfRule>
  </conditionalFormatting>
  <conditionalFormatting sqref="G44">
    <cfRule type="expression" dxfId="105" priority="12" stopIfTrue="1">
      <formula>$H$54+$H$44="超过30%"</formula>
    </cfRule>
  </conditionalFormatting>
  <conditionalFormatting sqref="E43">
    <cfRule type="expression" dxfId="104" priority="11" stopIfTrue="1">
      <formula>$F$43="超过20%"</formula>
    </cfRule>
  </conditionalFormatting>
  <conditionalFormatting sqref="E44">
    <cfRule type="expression" dxfId="103" priority="10" stopIfTrue="1">
      <formula>$F$44="超过30%"</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I42">
    <cfRule type="expression" dxfId="100" priority="7" stopIfTrue="1">
      <formula>$J$52+$J$42="超过30%"</formula>
    </cfRule>
  </conditionalFormatting>
  <conditionalFormatting sqref="I43">
    <cfRule type="expression" dxfId="99" priority="6" stopIfTrue="1">
      <formula>$J$53+$J$43="超过20%"</formula>
    </cfRule>
  </conditionalFormatting>
  <conditionalFormatting sqref="I44">
    <cfRule type="expression" dxfId="98" priority="5" stopIfTrue="1">
      <formula>$J$44="超过30%"</formula>
    </cfRule>
  </conditionalFormatting>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F7:F36 H7:H36 J7:J36">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46" t="s">
        <v>1680</v>
      </c>
      <c r="Q7" s="3748"/>
      <c r="R7" s="698" t="s">
        <v>14</v>
      </c>
      <c r="S7" s="699">
        <f t="shared" ref="S7:S14" si="0">F7</f>
        <v>0</v>
      </c>
      <c r="T7" s="698" t="s">
        <v>14</v>
      </c>
      <c r="U7" s="699">
        <f t="shared" ref="U7:U14" si="1">H7</f>
        <v>0</v>
      </c>
      <c r="V7" s="698" t="s">
        <v>14</v>
      </c>
      <c r="W7" s="699">
        <f t="shared" ref="W7:W14" si="2">J7</f>
        <v>0</v>
      </c>
      <c r="X7" s="700"/>
      <c r="Y7" s="3746" t="s">
        <v>1680</v>
      </c>
      <c r="Z7" s="3747"/>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6" t="s">
        <v>1683</v>
      </c>
      <c r="Q8" s="3747"/>
      <c r="R8" s="698" t="s">
        <v>14</v>
      </c>
      <c r="S8" s="699">
        <f t="shared" si="0"/>
        <v>100</v>
      </c>
      <c r="T8" s="698" t="s">
        <v>14</v>
      </c>
      <c r="U8" s="699">
        <f t="shared" si="1"/>
        <v>100</v>
      </c>
      <c r="V8" s="698" t="s">
        <v>14</v>
      </c>
      <c r="W8" s="699">
        <f t="shared" si="2"/>
        <v>100</v>
      </c>
      <c r="X8" s="700"/>
      <c r="Y8" s="3746" t="s">
        <v>1683</v>
      </c>
      <c r="Z8" s="3747"/>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0" t="s">
        <v>1686</v>
      </c>
      <c r="Q9" s="1340" t="str">
        <f t="shared" ref="Q9:Q14" si="6">B9</f>
        <v>用途</v>
      </c>
      <c r="R9" s="698" t="s">
        <v>14</v>
      </c>
      <c r="S9" s="699">
        <f t="shared" si="0"/>
        <v>100</v>
      </c>
      <c r="T9" s="698" t="s">
        <v>14</v>
      </c>
      <c r="U9" s="699">
        <f t="shared" si="1"/>
        <v>100</v>
      </c>
      <c r="V9" s="698" t="s">
        <v>14</v>
      </c>
      <c r="W9" s="699">
        <f t="shared" si="2"/>
        <v>100</v>
      </c>
      <c r="X9" s="700"/>
      <c r="Y9" s="3560" t="s">
        <v>1687</v>
      </c>
      <c r="Z9" s="52" t="str">
        <f t="shared" ref="Z9:Z14" si="7">Q9</f>
        <v>用途</v>
      </c>
      <c r="AA9" s="701">
        <f t="shared" si="3"/>
        <v>1</v>
      </c>
      <c r="AB9" s="701">
        <f t="shared" si="4"/>
        <v>1</v>
      </c>
      <c r="AC9" s="701">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0"/>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701">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0"/>
      <c r="Q11" s="1340">
        <f t="shared" si="6"/>
        <v>111</v>
      </c>
      <c r="R11" s="698" t="s">
        <v>14</v>
      </c>
      <c r="S11" s="699">
        <f t="shared" si="0"/>
        <v>100</v>
      </c>
      <c r="T11" s="698" t="s">
        <v>14</v>
      </c>
      <c r="U11" s="699">
        <f t="shared" si="1"/>
        <v>100</v>
      </c>
      <c r="V11" s="698" t="s">
        <v>14</v>
      </c>
      <c r="W11" s="699">
        <f t="shared" si="2"/>
        <v>100</v>
      </c>
      <c r="X11" s="700"/>
      <c r="Y11" s="3560"/>
      <c r="Z11" s="52">
        <f t="shared" si="7"/>
        <v>111</v>
      </c>
      <c r="AA11" s="701">
        <f t="shared" si="3"/>
        <v>1</v>
      </c>
      <c r="AB11" s="701">
        <f t="shared" si="4"/>
        <v>1</v>
      </c>
      <c r="AC11" s="701">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0"/>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2" t="s">
        <v>1691</v>
      </c>
      <c r="Q14" s="1349" t="str">
        <f t="shared" si="6"/>
        <v>交通便捷度</v>
      </c>
      <c r="R14" s="702" t="s">
        <v>14</v>
      </c>
      <c r="S14" s="703">
        <f t="shared" si="0"/>
        <v>100</v>
      </c>
      <c r="T14" s="702" t="s">
        <v>14</v>
      </c>
      <c r="U14" s="703">
        <f t="shared" si="1"/>
        <v>100</v>
      </c>
      <c r="V14" s="702" t="s">
        <v>14</v>
      </c>
      <c r="W14" s="703">
        <f t="shared" si="2"/>
        <v>100</v>
      </c>
      <c r="X14" s="1352"/>
      <c r="Y14" s="3712"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13"/>
      <c r="Q15" s="1349"/>
      <c r="R15" s="702"/>
      <c r="S15" s="703"/>
      <c r="T15" s="702"/>
      <c r="U15" s="703"/>
      <c r="V15" s="702"/>
      <c r="W15" s="703"/>
      <c r="X15" s="1352"/>
      <c r="Y15" s="3713"/>
      <c r="Z15" s="1353"/>
      <c r="AA15" s="1350">
        <v>1</v>
      </c>
      <c r="AB15" s="1350">
        <v>1</v>
      </c>
      <c r="AC15" s="1350">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3"/>
      <c r="Q16" s="1349" t="str">
        <f>B16</f>
        <v>公共配套设施</v>
      </c>
      <c r="R16" s="702" t="s">
        <v>14</v>
      </c>
      <c r="S16" s="703">
        <f>F16</f>
        <v>100</v>
      </c>
      <c r="T16" s="702" t="s">
        <v>14</v>
      </c>
      <c r="U16" s="703">
        <f>H16</f>
        <v>100</v>
      </c>
      <c r="V16" s="702" t="s">
        <v>14</v>
      </c>
      <c r="W16" s="703">
        <f>J16</f>
        <v>100</v>
      </c>
      <c r="X16" s="1352"/>
      <c r="Y16" s="3713"/>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8"/>
      <c r="M17" s="2712"/>
      <c r="N17" s="2712"/>
      <c r="O17" s="2770"/>
      <c r="P17" s="3713"/>
      <c r="Q17" s="1349"/>
      <c r="R17" s="702"/>
      <c r="S17" s="703"/>
      <c r="T17" s="702"/>
      <c r="U17" s="703"/>
      <c r="V17" s="702"/>
      <c r="W17" s="703"/>
      <c r="X17" s="1352"/>
      <c r="Y17" s="3713"/>
      <c r="Z17" s="1353"/>
      <c r="AA17" s="1350">
        <v>1</v>
      </c>
      <c r="AB17" s="1350">
        <v>1</v>
      </c>
      <c r="AC17" s="1350">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3"/>
      <c r="Q18" s="1349" t="str">
        <f>B18</f>
        <v>基础设施水平</v>
      </c>
      <c r="R18" s="702" t="s">
        <v>14</v>
      </c>
      <c r="S18" s="703">
        <f>F18</f>
        <v>100</v>
      </c>
      <c r="T18" s="702" t="s">
        <v>14</v>
      </c>
      <c r="U18" s="703">
        <f>H18</f>
        <v>100</v>
      </c>
      <c r="V18" s="702" t="s">
        <v>14</v>
      </c>
      <c r="W18" s="703">
        <f>J18</f>
        <v>100</v>
      </c>
      <c r="X18" s="1352"/>
      <c r="Y18" s="3713"/>
      <c r="Z18" s="1353" t="str">
        <f>Q18</f>
        <v>基础设施水平</v>
      </c>
      <c r="AA18" s="1350">
        <f t="shared" ref="AA18" si="8">D18/F18</f>
        <v>1</v>
      </c>
      <c r="AB18" s="1350">
        <f t="shared" ref="AB18" si="9">D18/H18</f>
        <v>1</v>
      </c>
      <c r="AC18" s="1350">
        <f t="shared" ref="AC18" si="10">D18/J18</f>
        <v>1</v>
      </c>
    </row>
    <row r="19" spans="1:29" ht="15">
      <c r="A19" s="379"/>
      <c r="B19" s="1128"/>
      <c r="C19" s="1897"/>
      <c r="D19" s="401"/>
      <c r="E19" s="1897"/>
      <c r="F19" s="404"/>
      <c r="G19" s="1897"/>
      <c r="H19" s="399"/>
      <c r="I19" s="398"/>
      <c r="J19" s="399"/>
      <c r="K19" s="1127"/>
      <c r="L19" s="2718"/>
      <c r="M19" s="2712"/>
      <c r="N19" s="2712"/>
      <c r="O19" s="2770"/>
      <c r="P19" s="3713"/>
      <c r="Q19" s="1349"/>
      <c r="R19" s="702"/>
      <c r="S19" s="703"/>
      <c r="T19" s="702"/>
      <c r="U19" s="703"/>
      <c r="V19" s="702"/>
      <c r="W19" s="703"/>
      <c r="X19" s="1352"/>
      <c r="Y19" s="3713"/>
      <c r="Z19" s="1353"/>
      <c r="AA19" s="1350">
        <v>1</v>
      </c>
      <c r="AB19" s="1350">
        <v>1</v>
      </c>
      <c r="AC19" s="1350">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3"/>
      <c r="Q20" s="1349" t="str">
        <f>B20</f>
        <v>自然及人文环境</v>
      </c>
      <c r="R20" s="702" t="s">
        <v>14</v>
      </c>
      <c r="S20" s="703">
        <f>F20</f>
        <v>100</v>
      </c>
      <c r="T20" s="702" t="s">
        <v>14</v>
      </c>
      <c r="U20" s="703">
        <f>H20</f>
        <v>100</v>
      </c>
      <c r="V20" s="702" t="s">
        <v>14</v>
      </c>
      <c r="W20" s="703">
        <f>J20</f>
        <v>100</v>
      </c>
      <c r="X20" s="1352"/>
      <c r="Y20" s="371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13"/>
      <c r="Q21" s="1349"/>
      <c r="R21" s="702"/>
      <c r="S21" s="703"/>
      <c r="T21" s="702"/>
      <c r="U21" s="703"/>
      <c r="V21" s="702"/>
      <c r="W21" s="703"/>
      <c r="X21" s="1352"/>
      <c r="Y21" s="3713"/>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3"/>
      <c r="Q22" s="1349" t="str">
        <f>B22</f>
        <v>楼层</v>
      </c>
      <c r="R22" s="702" t="s">
        <v>14</v>
      </c>
      <c r="S22" s="703">
        <f>F22</f>
        <v>100</v>
      </c>
      <c r="T22" s="702" t="s">
        <v>14</v>
      </c>
      <c r="U22" s="703">
        <f>H22</f>
        <v>100</v>
      </c>
      <c r="V22" s="702" t="s">
        <v>14</v>
      </c>
      <c r="W22" s="703">
        <f>J22</f>
        <v>100</v>
      </c>
      <c r="X22" s="1352"/>
      <c r="Y22" s="3713"/>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3"/>
      <c r="Q23" s="1349">
        <f>B23</f>
        <v>111</v>
      </c>
      <c r="R23" s="702" t="s">
        <v>14</v>
      </c>
      <c r="S23" s="703">
        <f>F23</f>
        <v>100</v>
      </c>
      <c r="T23" s="702" t="s">
        <v>14</v>
      </c>
      <c r="U23" s="703">
        <f>H23</f>
        <v>100</v>
      </c>
      <c r="V23" s="702" t="s">
        <v>14</v>
      </c>
      <c r="W23" s="703">
        <f>J23</f>
        <v>100</v>
      </c>
      <c r="X23" s="1352"/>
      <c r="Y23" s="3713"/>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3"/>
      <c r="Q24" s="1349">
        <f t="shared" ref="Q24:Q34" si="11">B24</f>
        <v>111</v>
      </c>
      <c r="R24" s="702" t="s">
        <v>14</v>
      </c>
      <c r="S24" s="703">
        <f>F24</f>
        <v>100</v>
      </c>
      <c r="T24" s="702" t="s">
        <v>14</v>
      </c>
      <c r="U24" s="703">
        <f>H24</f>
        <v>100</v>
      </c>
      <c r="V24" s="702" t="s">
        <v>14</v>
      </c>
      <c r="W24" s="703">
        <f>J24</f>
        <v>100</v>
      </c>
      <c r="X24" s="1352"/>
      <c r="Y24" s="3713"/>
      <c r="Z24" s="1353">
        <f>Q24</f>
        <v>111</v>
      </c>
      <c r="AA24" s="1350">
        <f t="shared" si="3"/>
        <v>1</v>
      </c>
      <c r="AB24" s="1350">
        <f t="shared" si="4"/>
        <v>1</v>
      </c>
      <c r="AC24" s="1350">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13"/>
      <c r="Q25" s="1340">
        <f t="shared" si="11"/>
        <v>111</v>
      </c>
      <c r="R25" s="698" t="s">
        <v>14</v>
      </c>
      <c r="S25" s="699">
        <f>F25</f>
        <v>100</v>
      </c>
      <c r="T25" s="698" t="s">
        <v>14</v>
      </c>
      <c r="U25" s="699">
        <f>H25</f>
        <v>100</v>
      </c>
      <c r="V25" s="698" t="s">
        <v>14</v>
      </c>
      <c r="W25" s="699">
        <f>J25</f>
        <v>100</v>
      </c>
      <c r="X25" s="700"/>
      <c r="Y25" s="3713"/>
      <c r="Z25" s="52">
        <f>Q25</f>
        <v>111</v>
      </c>
      <c r="AA25" s="1350">
        <f>D25/F25</f>
        <v>1</v>
      </c>
      <c r="AB25" s="1350">
        <f>D25/H25</f>
        <v>1</v>
      </c>
      <c r="AC25" s="1350">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53"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17"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7"/>
      <c r="Q27" s="704" t="str">
        <f t="shared" si="11"/>
        <v>成新率</v>
      </c>
      <c r="R27" s="705" t="s">
        <v>14</v>
      </c>
      <c r="S27" s="706" t="e">
        <f t="shared" si="12"/>
        <v>#N/A</v>
      </c>
      <c r="T27" s="705" t="s">
        <v>14</v>
      </c>
      <c r="U27" s="706" t="e">
        <f t="shared" si="13"/>
        <v>#N/A</v>
      </c>
      <c r="V27" s="705" t="s">
        <v>14</v>
      </c>
      <c r="W27" s="706" t="e">
        <f t="shared" si="14"/>
        <v>#N/A</v>
      </c>
      <c r="X27" s="707"/>
      <c r="Y27" s="3717"/>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7"/>
      <c r="Q28" s="1349" t="str">
        <f t="shared" si="11"/>
        <v>物业等级</v>
      </c>
      <c r="R28" s="702" t="s">
        <v>14</v>
      </c>
      <c r="S28" s="703">
        <f t="shared" si="12"/>
        <v>100</v>
      </c>
      <c r="T28" s="702" t="s">
        <v>14</v>
      </c>
      <c r="U28" s="703">
        <f t="shared" si="13"/>
        <v>100</v>
      </c>
      <c r="V28" s="702" t="s">
        <v>14</v>
      </c>
      <c r="W28" s="703">
        <f t="shared" si="14"/>
        <v>100</v>
      </c>
      <c r="X28" s="1352"/>
      <c r="Y28" s="3717"/>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7"/>
      <c r="Q29" s="1349" t="str">
        <f t="shared" si="11"/>
        <v>有无电梯</v>
      </c>
      <c r="R29" s="702" t="s">
        <v>14</v>
      </c>
      <c r="S29" s="703">
        <f t="shared" si="12"/>
        <v>100</v>
      </c>
      <c r="T29" s="702" t="s">
        <v>14</v>
      </c>
      <c r="U29" s="703">
        <f t="shared" si="13"/>
        <v>100</v>
      </c>
      <c r="V29" s="702" t="s">
        <v>14</v>
      </c>
      <c r="W29" s="703">
        <f t="shared" si="14"/>
        <v>100</v>
      </c>
      <c r="X29" s="1352"/>
      <c r="Y29" s="3717"/>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7"/>
      <c r="Q30" s="1349" t="str">
        <f t="shared" si="11"/>
        <v>建筑面积</v>
      </c>
      <c r="R30" s="702" t="s">
        <v>14</v>
      </c>
      <c r="S30" s="703" t="e">
        <f t="shared" si="12"/>
        <v>#N/A</v>
      </c>
      <c r="T30" s="702" t="s">
        <v>14</v>
      </c>
      <c r="U30" s="703" t="e">
        <f t="shared" si="13"/>
        <v>#N/A</v>
      </c>
      <c r="V30" s="702" t="s">
        <v>14</v>
      </c>
      <c r="W30" s="703" t="e">
        <f t="shared" si="14"/>
        <v>#N/A</v>
      </c>
      <c r="X30" s="1352"/>
      <c r="Y30" s="3717"/>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7"/>
      <c r="Q31" s="1340" t="str">
        <f t="shared" si="11"/>
        <v>是否封闭</v>
      </c>
      <c r="R31" s="698" t="s">
        <v>14</v>
      </c>
      <c r="S31" s="699">
        <f t="shared" si="12"/>
        <v>100</v>
      </c>
      <c r="T31" s="698" t="s">
        <v>14</v>
      </c>
      <c r="U31" s="699">
        <f t="shared" si="13"/>
        <v>100</v>
      </c>
      <c r="V31" s="698" t="s">
        <v>14</v>
      </c>
      <c r="W31" s="699">
        <f t="shared" si="14"/>
        <v>100</v>
      </c>
      <c r="X31" s="700"/>
      <c r="Y31" s="3717"/>
      <c r="Z31" s="52" t="str">
        <f t="shared" si="15"/>
        <v>是否封闭</v>
      </c>
      <c r="AA31" s="701">
        <f t="shared" si="3"/>
        <v>1</v>
      </c>
      <c r="AB31" s="701">
        <f t="shared" si="4"/>
        <v>1</v>
      </c>
      <c r="AC31" s="701">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7" t="s">
        <v>1696</v>
      </c>
      <c r="Q32" s="1349">
        <f t="shared" si="11"/>
        <v>111</v>
      </c>
      <c r="R32" s="702" t="s">
        <v>14</v>
      </c>
      <c r="S32" s="703">
        <f t="shared" si="12"/>
        <v>100</v>
      </c>
      <c r="T32" s="702" t="s">
        <v>14</v>
      </c>
      <c r="U32" s="703">
        <f t="shared" si="13"/>
        <v>100</v>
      </c>
      <c r="V32" s="702" t="s">
        <v>14</v>
      </c>
      <c r="W32" s="703">
        <f t="shared" si="14"/>
        <v>100</v>
      </c>
      <c r="X32" s="1352"/>
      <c r="Y32" s="3717" t="s">
        <v>1696</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7"/>
      <c r="Q33" s="1349">
        <f t="shared" si="11"/>
        <v>111</v>
      </c>
      <c r="R33" s="702" t="s">
        <v>14</v>
      </c>
      <c r="S33" s="703">
        <f t="shared" si="12"/>
        <v>100</v>
      </c>
      <c r="T33" s="702" t="s">
        <v>14</v>
      </c>
      <c r="U33" s="703">
        <f t="shared" si="13"/>
        <v>100</v>
      </c>
      <c r="V33" s="702" t="s">
        <v>14</v>
      </c>
      <c r="W33" s="703">
        <f t="shared" si="14"/>
        <v>100</v>
      </c>
      <c r="X33" s="1352"/>
      <c r="Y33" s="3717"/>
      <c r="Z33" s="1353">
        <f t="shared" si="15"/>
        <v>111</v>
      </c>
      <c r="AA33" s="1350">
        <f t="shared" si="3"/>
        <v>1</v>
      </c>
      <c r="AB33" s="1350">
        <f t="shared" si="4"/>
        <v>1</v>
      </c>
      <c r="AC33" s="1350">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7"/>
      <c r="Q34" s="1349">
        <f t="shared" si="11"/>
        <v>111</v>
      </c>
      <c r="R34" s="702" t="s">
        <v>14</v>
      </c>
      <c r="S34" s="703">
        <f t="shared" si="12"/>
        <v>100</v>
      </c>
      <c r="T34" s="702" t="s">
        <v>14</v>
      </c>
      <c r="U34" s="703">
        <f t="shared" si="13"/>
        <v>100</v>
      </c>
      <c r="V34" s="702" t="s">
        <v>14</v>
      </c>
      <c r="W34" s="703">
        <f t="shared" si="14"/>
        <v>100</v>
      </c>
      <c r="X34" s="1352"/>
      <c r="Y34" s="3717"/>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20"/>
      <c r="M35" s="2721"/>
      <c r="N35" s="2712"/>
      <c r="O35" s="2721"/>
      <c r="P35" s="3710" t="str">
        <f>A35</f>
        <v>成交单价（元/平方米）</v>
      </c>
      <c r="Q35" s="3710"/>
      <c r="R35" s="3711">
        <f>E35</f>
        <v>0</v>
      </c>
      <c r="S35" s="3711"/>
      <c r="T35" s="3711">
        <f>G35</f>
        <v>0</v>
      </c>
      <c r="U35" s="3711"/>
      <c r="V35" s="3711">
        <f>I35</f>
        <v>0</v>
      </c>
      <c r="W35" s="3711"/>
      <c r="X35" s="687"/>
      <c r="Y35" s="709"/>
      <c r="Z35" s="687"/>
      <c r="AA35" s="687"/>
      <c r="AB35" s="687"/>
      <c r="AC35" s="687"/>
    </row>
    <row r="36" spans="1:30" ht="15.75" thickBot="1">
      <c r="A36" s="437" t="s">
        <v>1793</v>
      </c>
      <c r="B36" s="438"/>
      <c r="C36" s="1157" t="e">
        <f>R37</f>
        <v>#DIV/0!</v>
      </c>
      <c r="D36" s="2313" t="s">
        <v>2137</v>
      </c>
      <c r="E36" s="1158" t="e">
        <f>R36</f>
        <v>#DIV/0!</v>
      </c>
      <c r="F36" s="2314"/>
      <c r="G36" s="1157" t="e">
        <f>T36</f>
        <v>#DIV/0!</v>
      </c>
      <c r="H36" s="2314"/>
      <c r="I36" s="1158" t="e">
        <f>V36</f>
        <v>#DIV/0!</v>
      </c>
      <c r="J36" s="2314"/>
      <c r="K36" s="2316">
        <f>F36+H36+J36</f>
        <v>0</v>
      </c>
      <c r="L36" s="2720"/>
      <c r="M36" s="2721"/>
      <c r="N36" s="2712"/>
      <c r="O36" s="2721"/>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20"/>
      <c r="M37" s="2721"/>
      <c r="N37" s="2721"/>
      <c r="O37" s="2721"/>
      <c r="P37" s="3707" t="str">
        <f>A37</f>
        <v>估价对象XX用房的比较价值（楼面单价，元/平方米）</v>
      </c>
      <c r="Q37" s="3708"/>
      <c r="R37" s="3754" t="e">
        <f>IF(F1="售价",ROUND(IF(D36="简单平均",AVERAGE(R36:W36),R36*F36+T36*H36+V36*J36),0),ROUND(IF(D36="简单平均",AVERAGE(R36:V36),R36*F36+T36*H36+V36*J36),1))</f>
        <v>#DIV/0!</v>
      </c>
      <c r="S37" s="3754"/>
      <c r="T37" s="3754"/>
      <c r="U37" s="3754"/>
      <c r="V37" s="3754"/>
      <c r="W37" s="3754"/>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3" priority="18" stopIfTrue="1" operator="containsText" text="超过">
      <formula>NOT(ISERROR(SEARCH("超过",F40)))</formula>
    </cfRule>
  </conditionalFormatting>
  <conditionalFormatting sqref="J42">
    <cfRule type="containsText" dxfId="92" priority="17" stopIfTrue="1" operator="containsText" text="超过">
      <formula>NOT(ISERROR(SEARCH("超过",J42)))</formula>
    </cfRule>
  </conditionalFormatting>
  <conditionalFormatting sqref="H42">
    <cfRule type="containsText" dxfId="91" priority="16" stopIfTrue="1" operator="containsText" text="超过">
      <formula>NOT(ISERROR(SEARCH("超过",H42)))</formula>
    </cfRule>
  </conditionalFormatting>
  <conditionalFormatting sqref="F42">
    <cfRule type="containsText" dxfId="90" priority="15" stopIfTrue="1" operator="containsText" text="超过">
      <formula>NOT(ISERROR(SEARCH("超过",F42)))</formula>
    </cfRule>
  </conditionalFormatting>
  <conditionalFormatting sqref="F41 H41 J41">
    <cfRule type="containsText" dxfId="89" priority="14" stopIfTrue="1" operator="containsText" text="超过">
      <formula>NOT(ISERROR(SEARCH("超过",F41)))</formula>
    </cfRule>
  </conditionalFormatting>
  <conditionalFormatting sqref="E40">
    <cfRule type="expression" dxfId="88" priority="13" stopIfTrue="1">
      <formula>$F$40="超过30%"</formula>
    </cfRule>
  </conditionalFormatting>
  <conditionalFormatting sqref="G42">
    <cfRule type="expression" dxfId="87" priority="12" stopIfTrue="1">
      <formula>$H$54+$H$42="超过30%"</formula>
    </cfRule>
  </conditionalFormatting>
  <conditionalFormatting sqref="E41">
    <cfRule type="expression" dxfId="86" priority="11" stopIfTrue="1">
      <formula>$F$41="超过20%"</formula>
    </cfRule>
  </conditionalFormatting>
  <conditionalFormatting sqref="E42">
    <cfRule type="expression" dxfId="85" priority="10" stopIfTrue="1">
      <formula>$F$42="超过30%"</formula>
    </cfRule>
  </conditionalFormatting>
  <conditionalFormatting sqref="G40">
    <cfRule type="expression" dxfId="84" priority="9" stopIfTrue="1">
      <formula>$H$52+$H$40="超过30%"</formula>
    </cfRule>
  </conditionalFormatting>
  <conditionalFormatting sqref="G41">
    <cfRule type="expression" dxfId="83" priority="8" stopIfTrue="1">
      <formula>$H$53+$H$41="超过20%"</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F7:F34 H7:H34 J7:J34">
    <cfRule type="cellIs" dxfId="7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9"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30"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23"/>
      <c r="AC5" s="3723"/>
    </row>
    <row r="6" spans="1:30" ht="15.75" thickBot="1">
      <c r="A6" s="360"/>
      <c r="B6" s="361"/>
      <c r="C6" s="3742" t="s">
        <v>1677</v>
      </c>
      <c r="D6" s="3743"/>
      <c r="E6" s="3749" t="s">
        <v>1677</v>
      </c>
      <c r="F6" s="3750"/>
      <c r="G6" s="3742" t="s">
        <v>1677</v>
      </c>
      <c r="H6" s="3743"/>
      <c r="I6" s="3742" t="s">
        <v>1677</v>
      </c>
      <c r="J6" s="3743"/>
      <c r="K6" s="559" t="s">
        <v>1678</v>
      </c>
      <c r="L6" s="2711"/>
      <c r="M6" s="2712"/>
      <c r="N6" s="2712"/>
      <c r="O6" s="2712"/>
      <c r="P6" s="3733"/>
      <c r="Q6" s="3734"/>
      <c r="R6" s="3737"/>
      <c r="S6" s="3738"/>
      <c r="T6" s="3739"/>
      <c r="U6" s="3740"/>
      <c r="V6" s="3741"/>
      <c r="W6" s="3741"/>
      <c r="X6" s="1352"/>
      <c r="Y6" s="3739"/>
      <c r="Z6" s="3740"/>
      <c r="AA6" s="3724"/>
      <c r="AB6" s="3724"/>
      <c r="AC6" s="3724"/>
    </row>
    <row r="7" spans="1:30" s="108" customFormat="1" ht="15.75" thickBot="1">
      <c r="A7" s="362" t="s">
        <v>1679</v>
      </c>
      <c r="B7" s="363"/>
      <c r="C7" s="364">
        <f>'数据-取费表'!B2</f>
        <v>45483</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46" t="s">
        <v>1680</v>
      </c>
      <c r="Q7" s="3748"/>
      <c r="R7" s="698" t="s">
        <v>14</v>
      </c>
      <c r="S7" s="699">
        <f t="shared" ref="S7:S15" si="0">F7</f>
        <v>0</v>
      </c>
      <c r="T7" s="698" t="s">
        <v>14</v>
      </c>
      <c r="U7" s="699">
        <f t="shared" ref="U7:U15" si="1">H7</f>
        <v>0</v>
      </c>
      <c r="V7" s="698" t="s">
        <v>14</v>
      </c>
      <c r="W7" s="699">
        <f t="shared" ref="W7:W15" si="2">J7</f>
        <v>0</v>
      </c>
      <c r="X7" s="700"/>
      <c r="Y7" s="3746" t="s">
        <v>1680</v>
      </c>
      <c r="Z7" s="3747"/>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6" t="s">
        <v>1683</v>
      </c>
      <c r="Q8" s="3747"/>
      <c r="R8" s="698" t="s">
        <v>14</v>
      </c>
      <c r="S8" s="699">
        <f t="shared" si="0"/>
        <v>0</v>
      </c>
      <c r="T8" s="698" t="s">
        <v>14</v>
      </c>
      <c r="U8" s="699">
        <f t="shared" si="1"/>
        <v>0</v>
      </c>
      <c r="V8" s="698" t="s">
        <v>14</v>
      </c>
      <c r="W8" s="699">
        <f t="shared" si="2"/>
        <v>0</v>
      </c>
      <c r="X8" s="700"/>
      <c r="Y8" s="3746" t="s">
        <v>1683</v>
      </c>
      <c r="Z8" s="3747"/>
      <c r="AA8" s="701" t="e">
        <f t="shared" ref="AA8:AA45" si="3">D8/F8</f>
        <v>#DIV/0!</v>
      </c>
      <c r="AB8" s="701" t="e">
        <f t="shared" ref="AB8:AB45" si="4">D8/H8</f>
        <v>#DIV/0!</v>
      </c>
      <c r="AC8" s="701"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0"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5"/>
      <c r="M10" s="2716"/>
      <c r="N10" s="2716"/>
      <c r="O10" s="2769"/>
      <c r="P10" s="3710"/>
      <c r="Q10" s="1340" t="str">
        <f t="shared" si="6"/>
        <v>土地使用年限（年）</v>
      </c>
      <c r="R10" s="698" t="s">
        <v>14</v>
      </c>
      <c r="S10" s="699">
        <f t="shared" si="0"/>
        <v>141</v>
      </c>
      <c r="T10" s="698" t="s">
        <v>14</v>
      </c>
      <c r="U10" s="699">
        <f t="shared" si="1"/>
        <v>141</v>
      </c>
      <c r="V10" s="698" t="s">
        <v>14</v>
      </c>
      <c r="W10" s="699">
        <f t="shared" si="2"/>
        <v>141</v>
      </c>
      <c r="X10" s="700"/>
      <c r="Y10" s="3560"/>
      <c r="Z10" s="52" t="str">
        <f t="shared" si="7"/>
        <v>土地使用年限（年）</v>
      </c>
      <c r="AA10" s="701">
        <f t="shared" si="3"/>
        <v>0.70921985815602839</v>
      </c>
      <c r="AB10" s="701">
        <f t="shared" si="4"/>
        <v>0.70921985815602839</v>
      </c>
      <c r="AC10" s="701">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0"/>
      <c r="Q11" s="1340" t="str">
        <f t="shared" si="6"/>
        <v>容积率</v>
      </c>
      <c r="R11" s="698" t="s">
        <v>14</v>
      </c>
      <c r="S11" s="699" t="e">
        <f t="shared" si="0"/>
        <v>#N/A</v>
      </c>
      <c r="T11" s="698" t="s">
        <v>14</v>
      </c>
      <c r="U11" s="699" t="e">
        <f t="shared" si="1"/>
        <v>#N/A</v>
      </c>
      <c r="V11" s="698" t="s">
        <v>14</v>
      </c>
      <c r="W11" s="699" t="e">
        <f t="shared" si="2"/>
        <v>#N/A</v>
      </c>
      <c r="X11" s="700"/>
      <c r="Y11" s="3560"/>
      <c r="Z11" s="52" t="str">
        <f t="shared" si="7"/>
        <v>容积率</v>
      </c>
      <c r="AA11" s="701" t="e">
        <f t="shared" si="3"/>
        <v>#N/A</v>
      </c>
      <c r="AB11" s="701" t="e">
        <f t="shared" si="4"/>
        <v>#N/A</v>
      </c>
      <c r="AC11" s="701"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0"/>
      <c r="Q12" s="1340" t="str">
        <f t="shared" si="6"/>
        <v>配建</v>
      </c>
      <c r="R12" s="698" t="s">
        <v>14</v>
      </c>
      <c r="S12" s="699">
        <f t="shared" si="0"/>
        <v>100</v>
      </c>
      <c r="T12" s="698" t="s">
        <v>14</v>
      </c>
      <c r="U12" s="699">
        <f t="shared" si="1"/>
        <v>100</v>
      </c>
      <c r="V12" s="698" t="s">
        <v>14</v>
      </c>
      <c r="W12" s="699">
        <f t="shared" si="2"/>
        <v>100</v>
      </c>
      <c r="X12" s="700"/>
      <c r="Y12" s="3560"/>
      <c r="Z12" s="52" t="str">
        <f t="shared" si="7"/>
        <v>配建</v>
      </c>
      <c r="AA12" s="701">
        <f>D12/F12</f>
        <v>1</v>
      </c>
      <c r="AB12" s="701">
        <f>D12/H12</f>
        <v>1</v>
      </c>
      <c r="AC12" s="701">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D13/F13</f>
        <v>1</v>
      </c>
      <c r="AB13" s="701">
        <f>D13/H13</f>
        <v>1</v>
      </c>
      <c r="AC13" s="701">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0"/>
      <c r="Q14" s="1340">
        <f t="shared" si="6"/>
        <v>111</v>
      </c>
      <c r="R14" s="698" t="s">
        <v>14</v>
      </c>
      <c r="S14" s="699">
        <f t="shared" si="0"/>
        <v>100</v>
      </c>
      <c r="T14" s="698" t="s">
        <v>14</v>
      </c>
      <c r="U14" s="699">
        <f t="shared" si="1"/>
        <v>100</v>
      </c>
      <c r="V14" s="698" t="s">
        <v>14</v>
      </c>
      <c r="W14" s="699">
        <f t="shared" si="2"/>
        <v>100</v>
      </c>
      <c r="X14" s="700"/>
      <c r="Y14" s="3560"/>
      <c r="Z14" s="52">
        <f t="shared" si="7"/>
        <v>111</v>
      </c>
      <c r="AA14" s="701">
        <f>D14/F14</f>
        <v>1</v>
      </c>
      <c r="AB14" s="701">
        <f>D14/H14</f>
        <v>1</v>
      </c>
      <c r="AC14" s="701">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2" t="s">
        <v>1691</v>
      </c>
      <c r="Q15" s="1349" t="str">
        <f t="shared" si="6"/>
        <v>居住社区成熟度</v>
      </c>
      <c r="R15" s="702" t="s">
        <v>14</v>
      </c>
      <c r="S15" s="703">
        <f t="shared" si="0"/>
        <v>100</v>
      </c>
      <c r="T15" s="702" t="s">
        <v>14</v>
      </c>
      <c r="U15" s="703">
        <f t="shared" si="1"/>
        <v>100</v>
      </c>
      <c r="V15" s="702" t="s">
        <v>14</v>
      </c>
      <c r="W15" s="703">
        <f t="shared" si="2"/>
        <v>100</v>
      </c>
      <c r="X15" s="1352"/>
      <c r="Y15" s="3712" t="s">
        <v>1691</v>
      </c>
      <c r="Z15" s="1353" t="str">
        <f t="shared" si="7"/>
        <v>居住社区成熟度</v>
      </c>
      <c r="AA15" s="1350">
        <f t="shared" si="3"/>
        <v>1</v>
      </c>
      <c r="AB15" s="1350">
        <f t="shared" si="4"/>
        <v>1</v>
      </c>
      <c r="AC15" s="1350">
        <f t="shared" si="5"/>
        <v>1</v>
      </c>
    </row>
    <row r="16" spans="1:30" ht="15">
      <c r="A16" s="379"/>
      <c r="B16" s="397"/>
      <c r="C16" s="398"/>
      <c r="D16" s="399"/>
      <c r="E16" s="1894"/>
      <c r="F16" s="399"/>
      <c r="G16" s="1894"/>
      <c r="H16" s="401"/>
      <c r="I16" s="1893"/>
      <c r="J16" s="399"/>
      <c r="K16" s="620"/>
      <c r="L16" s="2718"/>
      <c r="M16" s="2712"/>
      <c r="N16" s="2712"/>
      <c r="O16" s="2770"/>
      <c r="P16" s="3713"/>
      <c r="Q16" s="1349"/>
      <c r="R16" s="702"/>
      <c r="S16" s="703"/>
      <c r="T16" s="702"/>
      <c r="U16" s="703"/>
      <c r="V16" s="702"/>
      <c r="W16" s="703"/>
      <c r="X16" s="1352"/>
      <c r="Y16" s="3713"/>
      <c r="Z16" s="1353"/>
      <c r="AA16" s="1350">
        <v>1</v>
      </c>
      <c r="AB16" s="1350">
        <v>1</v>
      </c>
      <c r="AC16" s="1350">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13"/>
      <c r="Q17" s="1349" t="str">
        <f>B17</f>
        <v>商业繁华度</v>
      </c>
      <c r="R17" s="702" t="s">
        <v>14</v>
      </c>
      <c r="S17" s="703">
        <f>F17</f>
        <v>100</v>
      </c>
      <c r="T17" s="702" t="s">
        <v>14</v>
      </c>
      <c r="U17" s="703">
        <f>H17</f>
        <v>100</v>
      </c>
      <c r="V17" s="702" t="s">
        <v>14</v>
      </c>
      <c r="W17" s="703">
        <f>J17</f>
        <v>100</v>
      </c>
      <c r="X17" s="1352"/>
      <c r="Y17" s="3713"/>
      <c r="Z17" s="1353" t="str">
        <f>Q17</f>
        <v>商业繁华度</v>
      </c>
      <c r="AA17" s="1350">
        <f t="shared" si="3"/>
        <v>1</v>
      </c>
      <c r="AB17" s="1350">
        <f t="shared" si="4"/>
        <v>1</v>
      </c>
      <c r="AC17" s="1350">
        <f t="shared" si="5"/>
        <v>1</v>
      </c>
    </row>
    <row r="18" spans="1:29" ht="15">
      <c r="A18" s="379"/>
      <c r="B18" s="407"/>
      <c r="C18" s="1897"/>
      <c r="D18" s="401"/>
      <c r="E18" s="1899"/>
      <c r="F18" s="401"/>
      <c r="G18" s="1899"/>
      <c r="H18" s="399"/>
      <c r="I18" s="1898"/>
      <c r="J18" s="399"/>
      <c r="K18" s="620"/>
      <c r="L18" s="2718"/>
      <c r="M18" s="2712"/>
      <c r="N18" s="2712"/>
      <c r="O18" s="2770"/>
      <c r="P18" s="3713"/>
      <c r="Q18" s="1349"/>
      <c r="R18" s="702"/>
      <c r="S18" s="703"/>
      <c r="T18" s="702"/>
      <c r="U18" s="703"/>
      <c r="V18" s="702"/>
      <c r="W18" s="703"/>
      <c r="X18" s="1352"/>
      <c r="Y18" s="3713"/>
      <c r="Z18" s="1353"/>
      <c r="AA18" s="1350">
        <v>1</v>
      </c>
      <c r="AB18" s="1350">
        <v>1</v>
      </c>
      <c r="AC18" s="1350">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13"/>
      <c r="Q19" s="1349" t="str">
        <f>B19</f>
        <v>办公集聚程度</v>
      </c>
      <c r="R19" s="702" t="s">
        <v>14</v>
      </c>
      <c r="S19" s="703">
        <f>F19</f>
        <v>100</v>
      </c>
      <c r="T19" s="702" t="s">
        <v>14</v>
      </c>
      <c r="U19" s="703">
        <f>H19</f>
        <v>100</v>
      </c>
      <c r="V19" s="702" t="s">
        <v>14</v>
      </c>
      <c r="W19" s="703">
        <f>J19</f>
        <v>100</v>
      </c>
      <c r="X19" s="1352"/>
      <c r="Y19" s="3713"/>
      <c r="Z19" s="1353" t="str">
        <f>Q19</f>
        <v>办公集聚程度</v>
      </c>
      <c r="AA19" s="1350">
        <f t="shared" si="3"/>
        <v>1</v>
      </c>
      <c r="AB19" s="1350">
        <f t="shared" si="4"/>
        <v>1</v>
      </c>
      <c r="AC19" s="1350">
        <f t="shared" si="5"/>
        <v>1</v>
      </c>
    </row>
    <row r="20" spans="1:29" ht="15">
      <c r="A20" s="379"/>
      <c r="B20" s="407"/>
      <c r="C20" s="398"/>
      <c r="D20" s="399"/>
      <c r="E20" s="1894"/>
      <c r="F20" s="399"/>
      <c r="G20" s="1894"/>
      <c r="H20" s="399"/>
      <c r="I20" s="1893"/>
      <c r="J20" s="399"/>
      <c r="K20" s="620"/>
      <c r="L20" s="2718"/>
      <c r="M20" s="2712"/>
      <c r="N20" s="2712"/>
      <c r="O20" s="2770"/>
      <c r="P20" s="3713"/>
      <c r="Q20" s="1349"/>
      <c r="R20" s="702"/>
      <c r="S20" s="703"/>
      <c r="T20" s="702"/>
      <c r="U20" s="703"/>
      <c r="V20" s="702"/>
      <c r="W20" s="703"/>
      <c r="X20" s="1352"/>
      <c r="Y20" s="3713"/>
      <c r="Z20" s="1353"/>
      <c r="AA20" s="1350">
        <v>1</v>
      </c>
      <c r="AB20" s="1350">
        <v>1</v>
      </c>
      <c r="AC20" s="1350">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13"/>
      <c r="Q21" s="1349" t="str">
        <f>B21</f>
        <v>交通便捷度</v>
      </c>
      <c r="R21" s="702" t="s">
        <v>14</v>
      </c>
      <c r="S21" s="703">
        <f>F21</f>
        <v>100</v>
      </c>
      <c r="T21" s="702" t="s">
        <v>14</v>
      </c>
      <c r="U21" s="703">
        <f>H21</f>
        <v>100</v>
      </c>
      <c r="V21" s="702" t="s">
        <v>14</v>
      </c>
      <c r="W21" s="703">
        <f>J21</f>
        <v>100</v>
      </c>
      <c r="X21" s="1352"/>
      <c r="Y21" s="3713"/>
      <c r="Z21" s="1353" t="str">
        <f>Q21</f>
        <v>交通便捷度</v>
      </c>
      <c r="AA21" s="1350">
        <f t="shared" si="3"/>
        <v>1</v>
      </c>
      <c r="AB21" s="1350">
        <f t="shared" si="4"/>
        <v>1</v>
      </c>
      <c r="AC21" s="1350">
        <f t="shared" si="5"/>
        <v>1</v>
      </c>
    </row>
    <row r="22" spans="1:29" ht="15">
      <c r="A22" s="379"/>
      <c r="B22" s="1128"/>
      <c r="C22" s="398"/>
      <c r="D22" s="401"/>
      <c r="E22" s="1894"/>
      <c r="F22" s="399"/>
      <c r="G22" s="1894"/>
      <c r="H22" s="399"/>
      <c r="I22" s="1893"/>
      <c r="J22" s="399"/>
      <c r="K22" s="620"/>
      <c r="L22" s="2718"/>
      <c r="M22" s="2712"/>
      <c r="N22" s="2712"/>
      <c r="O22" s="2770"/>
      <c r="P22" s="3713"/>
      <c r="Q22" s="1349"/>
      <c r="R22" s="702"/>
      <c r="S22" s="703"/>
      <c r="T22" s="702"/>
      <c r="U22" s="703"/>
      <c r="V22" s="702"/>
      <c r="W22" s="703"/>
      <c r="X22" s="1352"/>
      <c r="Y22" s="3713"/>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13"/>
      <c r="Q23" s="1349" t="str">
        <f t="shared" ref="Q23:Q37" si="8">B23</f>
        <v>区域土地利用方向</v>
      </c>
      <c r="R23" s="702" t="s">
        <v>14</v>
      </c>
      <c r="S23" s="703">
        <f>F23</f>
        <v>100</v>
      </c>
      <c r="T23" s="702" t="s">
        <v>14</v>
      </c>
      <c r="U23" s="703">
        <f>H23</f>
        <v>100</v>
      </c>
      <c r="V23" s="702" t="s">
        <v>14</v>
      </c>
      <c r="W23" s="703">
        <f>J23</f>
        <v>100</v>
      </c>
      <c r="X23" s="1352"/>
      <c r="Y23" s="3713"/>
      <c r="Z23" s="1353" t="str">
        <f>Q23</f>
        <v>区域土地利用方向</v>
      </c>
      <c r="AA23" s="1350">
        <f t="shared" si="3"/>
        <v>1</v>
      </c>
      <c r="AB23" s="1350">
        <f t="shared" si="4"/>
        <v>1</v>
      </c>
      <c r="AC23" s="1350">
        <f t="shared" si="5"/>
        <v>1</v>
      </c>
    </row>
    <row r="24" spans="1:29" ht="15">
      <c r="A24" s="358"/>
      <c r="B24" s="407"/>
      <c r="C24" s="565"/>
      <c r="D24" s="399"/>
      <c r="E24" s="1894"/>
      <c r="F24" s="399"/>
      <c r="G24" s="1893"/>
      <c r="H24" s="399"/>
      <c r="I24" s="1893"/>
      <c r="J24" s="399"/>
      <c r="K24" s="737"/>
      <c r="L24" s="2718"/>
      <c r="M24" s="2712"/>
      <c r="N24" s="2712"/>
      <c r="O24" s="2770"/>
      <c r="P24" s="3713"/>
      <c r="Q24" s="1349"/>
      <c r="R24" s="702"/>
      <c r="S24" s="703"/>
      <c r="T24" s="702"/>
      <c r="U24" s="703"/>
      <c r="V24" s="702"/>
      <c r="W24" s="703"/>
      <c r="X24" s="1352"/>
      <c r="Y24" s="3713"/>
      <c r="Z24" s="1353"/>
      <c r="AA24" s="1350"/>
      <c r="AB24" s="1350"/>
      <c r="AC24" s="1350"/>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13"/>
      <c r="Q25" s="1349" t="str">
        <f t="shared" si="8"/>
        <v>自然及人文环境状况</v>
      </c>
      <c r="R25" s="702" t="s">
        <v>14</v>
      </c>
      <c r="S25" s="703">
        <f>F25</f>
        <v>100</v>
      </c>
      <c r="T25" s="702" t="s">
        <v>14</v>
      </c>
      <c r="U25" s="703">
        <f>H25</f>
        <v>100</v>
      </c>
      <c r="V25" s="702" t="s">
        <v>14</v>
      </c>
      <c r="W25" s="703">
        <f>J25</f>
        <v>100</v>
      </c>
      <c r="X25" s="1352"/>
      <c r="Y25" s="3713"/>
      <c r="Z25" s="1353" t="str">
        <f>Q25</f>
        <v>自然及人文环境状况</v>
      </c>
      <c r="AA25" s="1350">
        <f t="shared" si="3"/>
        <v>1</v>
      </c>
      <c r="AB25" s="1350">
        <f t="shared" si="4"/>
        <v>1</v>
      </c>
      <c r="AC25" s="1350">
        <f t="shared" si="5"/>
        <v>1</v>
      </c>
    </row>
    <row r="26" spans="1:29" ht="15">
      <c r="A26" s="358"/>
      <c r="B26" s="407"/>
      <c r="C26" s="398"/>
      <c r="D26" s="399"/>
      <c r="E26" s="1900"/>
      <c r="F26" s="399"/>
      <c r="G26" s="1900"/>
      <c r="H26" s="399"/>
      <c r="I26" s="398"/>
      <c r="J26" s="399"/>
      <c r="K26" s="620"/>
      <c r="L26" s="2718"/>
      <c r="M26" s="2712"/>
      <c r="N26" s="2712"/>
      <c r="O26" s="2770"/>
      <c r="P26" s="3713"/>
      <c r="Q26" s="1349"/>
      <c r="R26" s="702"/>
      <c r="S26" s="703"/>
      <c r="T26" s="702"/>
      <c r="U26" s="703"/>
      <c r="V26" s="702"/>
      <c r="W26" s="703"/>
      <c r="X26" s="1352"/>
      <c r="Y26" s="3713"/>
      <c r="Z26" s="1353"/>
      <c r="AA26" s="1350">
        <v>1</v>
      </c>
      <c r="AB26" s="1350">
        <v>1</v>
      </c>
      <c r="AC26" s="1350">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13"/>
      <c r="Q27" s="1340" t="str">
        <f t="shared" si="8"/>
        <v>公共配套设施</v>
      </c>
      <c r="R27" s="698" t="s">
        <v>14</v>
      </c>
      <c r="S27" s="699">
        <f>F27</f>
        <v>100</v>
      </c>
      <c r="T27" s="698" t="s">
        <v>14</v>
      </c>
      <c r="U27" s="699">
        <f>H27</f>
        <v>100</v>
      </c>
      <c r="V27" s="698" t="s">
        <v>14</v>
      </c>
      <c r="W27" s="699">
        <f>J27</f>
        <v>100</v>
      </c>
      <c r="X27" s="700"/>
      <c r="Y27" s="3713"/>
      <c r="Z27" s="52" t="str">
        <f>Q27</f>
        <v>公共配套设施</v>
      </c>
      <c r="AA27" s="1350">
        <f>D27/F27</f>
        <v>1</v>
      </c>
      <c r="AB27" s="1350">
        <f>D27/H27</f>
        <v>1</v>
      </c>
      <c r="AC27" s="1350">
        <f>D27/J27</f>
        <v>1</v>
      </c>
    </row>
    <row r="28" spans="1:29" s="108" customFormat="1" ht="15">
      <c r="A28" s="597"/>
      <c r="B28" s="407"/>
      <c r="C28" s="1974"/>
      <c r="D28" s="399"/>
      <c r="E28" s="1900"/>
      <c r="F28" s="399"/>
      <c r="G28" s="1900"/>
      <c r="H28" s="399"/>
      <c r="I28" s="398"/>
      <c r="J28" s="399"/>
      <c r="K28" s="620"/>
      <c r="L28" s="2713"/>
      <c r="M28" s="2714"/>
      <c r="N28" s="2714"/>
      <c r="O28" s="2768"/>
      <c r="P28" s="3713"/>
      <c r="Q28" s="1340"/>
      <c r="R28" s="698"/>
      <c r="S28" s="699"/>
      <c r="T28" s="698"/>
      <c r="U28" s="699"/>
      <c r="V28" s="698"/>
      <c r="W28" s="699"/>
      <c r="X28" s="700"/>
      <c r="Y28" s="3713"/>
      <c r="Z28" s="52"/>
      <c r="AA28" s="1350">
        <v>1</v>
      </c>
      <c r="AB28" s="1350">
        <v>1</v>
      </c>
      <c r="AC28" s="1350">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13"/>
      <c r="Q29" s="1340" t="str">
        <f t="shared" ref="Q29" si="9">B29</f>
        <v>基础设施水平</v>
      </c>
      <c r="R29" s="698" t="s">
        <v>14</v>
      </c>
      <c r="S29" s="699">
        <f>F29</f>
        <v>100</v>
      </c>
      <c r="T29" s="698" t="s">
        <v>14</v>
      </c>
      <c r="U29" s="699">
        <f>H29</f>
        <v>100</v>
      </c>
      <c r="V29" s="698" t="s">
        <v>14</v>
      </c>
      <c r="W29" s="699">
        <f>J29</f>
        <v>100</v>
      </c>
      <c r="X29" s="700"/>
      <c r="Y29" s="3713"/>
      <c r="Z29" s="52" t="str">
        <f>Q29</f>
        <v>基础设施水平</v>
      </c>
      <c r="AA29" s="1350">
        <f>D29/F29</f>
        <v>1</v>
      </c>
      <c r="AB29" s="1350">
        <f>D29/H29</f>
        <v>1</v>
      </c>
      <c r="AC29" s="1350">
        <f>D29/J29</f>
        <v>1</v>
      </c>
    </row>
    <row r="30" spans="1:29" s="108" customFormat="1" ht="15">
      <c r="A30" s="597"/>
      <c r="B30" s="407"/>
      <c r="C30" s="1974"/>
      <c r="D30" s="399"/>
      <c r="E30" s="1975"/>
      <c r="F30" s="399"/>
      <c r="G30" s="1975"/>
      <c r="H30" s="399"/>
      <c r="I30" s="1975"/>
      <c r="J30" s="399"/>
      <c r="K30" s="620"/>
      <c r="L30" s="2713"/>
      <c r="M30" s="2714"/>
      <c r="N30" s="2714"/>
      <c r="O30" s="2768"/>
      <c r="P30" s="3713"/>
      <c r="Q30" s="1340"/>
      <c r="R30" s="698"/>
      <c r="S30" s="699"/>
      <c r="T30" s="698"/>
      <c r="U30" s="699"/>
      <c r="V30" s="698"/>
      <c r="W30" s="699"/>
      <c r="X30" s="700"/>
      <c r="Y30" s="3713"/>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13"/>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13"/>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13"/>
      <c r="Q32" s="1349" t="str">
        <f t="shared" si="8"/>
        <v>毗邻道路的类型与等级</v>
      </c>
      <c r="R32" s="702" t="s">
        <v>14</v>
      </c>
      <c r="S32" s="703">
        <f t="shared" si="10"/>
        <v>100</v>
      </c>
      <c r="T32" s="702" t="s">
        <v>14</v>
      </c>
      <c r="U32" s="703">
        <f t="shared" si="11"/>
        <v>100</v>
      </c>
      <c r="V32" s="702" t="s">
        <v>14</v>
      </c>
      <c r="W32" s="703">
        <f t="shared" si="12"/>
        <v>100</v>
      </c>
      <c r="X32" s="1352"/>
      <c r="Y32" s="3713"/>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8"/>
      <c r="M33" s="2712"/>
      <c r="N33" s="2712"/>
      <c r="O33" s="2770"/>
      <c r="P33" s="3713"/>
      <c r="Q33" s="1349"/>
      <c r="R33" s="702"/>
      <c r="S33" s="703"/>
      <c r="T33" s="702"/>
      <c r="U33" s="703"/>
      <c r="V33" s="702"/>
      <c r="W33" s="703"/>
      <c r="X33" s="1352"/>
      <c r="Y33" s="3713"/>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13"/>
      <c r="Q34" s="1349" t="str">
        <f t="shared" si="8"/>
        <v>土地级别</v>
      </c>
      <c r="R34" s="702" t="s">
        <v>14</v>
      </c>
      <c r="S34" s="703">
        <f t="shared" si="10"/>
        <v>100</v>
      </c>
      <c r="T34" s="702" t="s">
        <v>14</v>
      </c>
      <c r="U34" s="703">
        <f t="shared" si="11"/>
        <v>100</v>
      </c>
      <c r="V34" s="702" t="s">
        <v>14</v>
      </c>
      <c r="W34" s="703">
        <f t="shared" si="12"/>
        <v>100</v>
      </c>
      <c r="X34" s="1352"/>
      <c r="Y34" s="3713"/>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3"/>
      <c r="Q35" s="1349">
        <f t="shared" si="8"/>
        <v>111</v>
      </c>
      <c r="R35" s="702" t="s">
        <v>14</v>
      </c>
      <c r="S35" s="703">
        <f t="shared" si="10"/>
        <v>100</v>
      </c>
      <c r="T35" s="702" t="s">
        <v>14</v>
      </c>
      <c r="U35" s="703">
        <f t="shared" si="11"/>
        <v>100</v>
      </c>
      <c r="V35" s="702" t="s">
        <v>14</v>
      </c>
      <c r="W35" s="703">
        <f t="shared" si="12"/>
        <v>100</v>
      </c>
      <c r="X35" s="1352"/>
      <c r="Y35" s="3713"/>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53" t="s">
        <v>1696</v>
      </c>
      <c r="Q36" s="1349">
        <f t="shared" si="8"/>
        <v>111</v>
      </c>
      <c r="R36" s="702" t="s">
        <v>14</v>
      </c>
      <c r="S36" s="703">
        <f t="shared" si="10"/>
        <v>100</v>
      </c>
      <c r="T36" s="702" t="s">
        <v>14</v>
      </c>
      <c r="U36" s="703">
        <f t="shared" si="11"/>
        <v>100</v>
      </c>
      <c r="V36" s="702" t="s">
        <v>14</v>
      </c>
      <c r="W36" s="703">
        <f t="shared" si="12"/>
        <v>100</v>
      </c>
      <c r="X36" s="1352"/>
      <c r="Y36" s="3717"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7"/>
      <c r="Q37" s="1349">
        <f t="shared" si="8"/>
        <v>111</v>
      </c>
      <c r="R37" s="705" t="s">
        <v>14</v>
      </c>
      <c r="S37" s="706">
        <f t="shared" si="10"/>
        <v>100</v>
      </c>
      <c r="T37" s="705" t="s">
        <v>14</v>
      </c>
      <c r="U37" s="706">
        <f t="shared" si="11"/>
        <v>100</v>
      </c>
      <c r="V37" s="705" t="s">
        <v>14</v>
      </c>
      <c r="W37" s="706">
        <f t="shared" si="12"/>
        <v>100</v>
      </c>
      <c r="X37" s="707"/>
      <c r="Y37" s="3717"/>
      <c r="Z37" s="708">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17"/>
      <c r="Q38" s="1349" t="str">
        <f>B38</f>
        <v>宗地面积</v>
      </c>
      <c r="R38" s="702" t="s">
        <v>14</v>
      </c>
      <c r="S38" s="703" t="e">
        <f t="shared" si="10"/>
        <v>#N/A</v>
      </c>
      <c r="T38" s="702" t="s">
        <v>14</v>
      </c>
      <c r="U38" s="703" t="e">
        <f t="shared" si="11"/>
        <v>#N/A</v>
      </c>
      <c r="V38" s="702" t="s">
        <v>14</v>
      </c>
      <c r="W38" s="703" t="e">
        <f t="shared" si="12"/>
        <v>#N/A</v>
      </c>
      <c r="X38" s="1352"/>
      <c r="Y38" s="3717"/>
      <c r="Z38" s="1353" t="str">
        <f t="shared" si="13"/>
        <v>宗地面积</v>
      </c>
      <c r="AA38" s="1350" t="e">
        <f t="shared" si="3"/>
        <v>#N/A</v>
      </c>
      <c r="AB38" s="1350" t="e">
        <f t="shared" si="4"/>
        <v>#N/A</v>
      </c>
      <c r="AC38" s="1350"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17"/>
      <c r="Q39" s="1349" t="str">
        <f t="shared" ref="Q39:Q45" si="14">B39</f>
        <v>宗地形状</v>
      </c>
      <c r="R39" s="702" t="s">
        <v>14</v>
      </c>
      <c r="S39" s="703">
        <f t="shared" si="10"/>
        <v>100</v>
      </c>
      <c r="T39" s="702" t="s">
        <v>14</v>
      </c>
      <c r="U39" s="703">
        <f t="shared" si="11"/>
        <v>100</v>
      </c>
      <c r="V39" s="702" t="s">
        <v>14</v>
      </c>
      <c r="W39" s="703">
        <f t="shared" si="12"/>
        <v>100</v>
      </c>
      <c r="X39" s="1352"/>
      <c r="Y39" s="3717"/>
      <c r="Z39" s="1353" t="str">
        <f t="shared" si="13"/>
        <v>宗地形状</v>
      </c>
      <c r="AA39" s="1350">
        <f t="shared" si="3"/>
        <v>1</v>
      </c>
      <c r="AB39" s="1350">
        <f t="shared" si="4"/>
        <v>1</v>
      </c>
      <c r="AC39" s="1350">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17"/>
      <c r="Q40" s="1349" t="str">
        <f t="shared" si="14"/>
        <v>临街宽度及深度</v>
      </c>
      <c r="R40" s="702" t="s">
        <v>14</v>
      </c>
      <c r="S40" s="703">
        <f t="shared" si="10"/>
        <v>100</v>
      </c>
      <c r="T40" s="702" t="s">
        <v>14</v>
      </c>
      <c r="U40" s="703">
        <f t="shared" si="11"/>
        <v>100</v>
      </c>
      <c r="V40" s="702" t="s">
        <v>14</v>
      </c>
      <c r="W40" s="703">
        <f t="shared" si="12"/>
        <v>100</v>
      </c>
      <c r="X40" s="1352"/>
      <c r="Y40" s="3717"/>
      <c r="Z40" s="1353" t="str">
        <f t="shared" si="13"/>
        <v>临街宽度及深度</v>
      </c>
      <c r="AA40" s="1350">
        <f t="shared" si="3"/>
        <v>1</v>
      </c>
      <c r="AB40" s="1350">
        <f t="shared" si="4"/>
        <v>1</v>
      </c>
      <c r="AC40" s="1350">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17"/>
      <c r="Q41" s="1349" t="str">
        <f t="shared" si="14"/>
        <v>宗地开发程度</v>
      </c>
      <c r="R41" s="698" t="s">
        <v>14</v>
      </c>
      <c r="S41" s="699">
        <f t="shared" si="10"/>
        <v>100</v>
      </c>
      <c r="T41" s="698" t="s">
        <v>14</v>
      </c>
      <c r="U41" s="699">
        <f t="shared" si="11"/>
        <v>100</v>
      </c>
      <c r="V41" s="698" t="s">
        <v>14</v>
      </c>
      <c r="W41" s="699">
        <f t="shared" si="12"/>
        <v>100</v>
      </c>
      <c r="X41" s="700"/>
      <c r="Y41" s="3717"/>
      <c r="Z41" s="52" t="str">
        <f t="shared" si="13"/>
        <v>宗地开发程度</v>
      </c>
      <c r="AA41" s="701">
        <f t="shared" si="3"/>
        <v>1</v>
      </c>
      <c r="AB41" s="701">
        <f t="shared" si="4"/>
        <v>1</v>
      </c>
      <c r="AC41" s="701">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17" t="s">
        <v>1696</v>
      </c>
      <c r="Q42" s="1349" t="str">
        <f t="shared" si="14"/>
        <v>工程地质条件</v>
      </c>
      <c r="R42" s="702" t="s">
        <v>14</v>
      </c>
      <c r="S42" s="703">
        <f t="shared" si="10"/>
        <v>100</v>
      </c>
      <c r="T42" s="702" t="s">
        <v>14</v>
      </c>
      <c r="U42" s="703">
        <f t="shared" si="11"/>
        <v>100</v>
      </c>
      <c r="V42" s="702" t="s">
        <v>14</v>
      </c>
      <c r="W42" s="703">
        <f t="shared" si="12"/>
        <v>100</v>
      </c>
      <c r="X42" s="1352"/>
      <c r="Y42" s="3717"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7"/>
      <c r="Q43" s="1349">
        <f t="shared" si="14"/>
        <v>111</v>
      </c>
      <c r="R43" s="702" t="s">
        <v>14</v>
      </c>
      <c r="S43" s="703">
        <f t="shared" si="10"/>
        <v>100</v>
      </c>
      <c r="T43" s="702" t="s">
        <v>14</v>
      </c>
      <c r="U43" s="703">
        <f t="shared" si="11"/>
        <v>100</v>
      </c>
      <c r="V43" s="702" t="s">
        <v>14</v>
      </c>
      <c r="W43" s="703">
        <f t="shared" si="12"/>
        <v>100</v>
      </c>
      <c r="X43" s="1352"/>
      <c r="Y43" s="3717"/>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7"/>
      <c r="Q44" s="1349">
        <f t="shared" si="14"/>
        <v>111</v>
      </c>
      <c r="R44" s="702" t="s">
        <v>14</v>
      </c>
      <c r="S44" s="703">
        <f t="shared" si="10"/>
        <v>100</v>
      </c>
      <c r="T44" s="702" t="s">
        <v>14</v>
      </c>
      <c r="U44" s="703">
        <f t="shared" si="11"/>
        <v>100</v>
      </c>
      <c r="V44" s="702" t="s">
        <v>14</v>
      </c>
      <c r="W44" s="703">
        <f t="shared" si="12"/>
        <v>100</v>
      </c>
      <c r="X44" s="1352"/>
      <c r="Y44" s="3717"/>
      <c r="Z44" s="1353">
        <f t="shared" si="13"/>
        <v>111</v>
      </c>
      <c r="AA44" s="1350">
        <f t="shared" si="3"/>
        <v>1</v>
      </c>
      <c r="AB44" s="1350">
        <f t="shared" si="4"/>
        <v>1</v>
      </c>
      <c r="AC44" s="1350">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7"/>
      <c r="Q45" s="1349">
        <f t="shared" si="14"/>
        <v>111</v>
      </c>
      <c r="R45" s="705" t="s">
        <v>14</v>
      </c>
      <c r="S45" s="706">
        <f t="shared" si="10"/>
        <v>100</v>
      </c>
      <c r="T45" s="705" t="s">
        <v>14</v>
      </c>
      <c r="U45" s="706">
        <f t="shared" si="11"/>
        <v>100</v>
      </c>
      <c r="V45" s="705" t="s">
        <v>14</v>
      </c>
      <c r="W45" s="706">
        <f t="shared" si="12"/>
        <v>100</v>
      </c>
      <c r="X45" s="707"/>
      <c r="Y45" s="3717"/>
      <c r="Z45" s="708">
        <f t="shared" si="13"/>
        <v>111</v>
      </c>
      <c r="AA45" s="1350">
        <f t="shared" si="3"/>
        <v>1</v>
      </c>
      <c r="AB45" s="1350">
        <f t="shared" si="4"/>
        <v>1</v>
      </c>
      <c r="AC45" s="1350">
        <f t="shared" si="5"/>
        <v>1</v>
      </c>
    </row>
    <row r="46" spans="1:29" ht="15">
      <c r="A46" s="430" t="s">
        <v>1844</v>
      </c>
      <c r="B46" s="1978" t="s">
        <v>1879</v>
      </c>
      <c r="C46" s="630" t="s">
        <v>0</v>
      </c>
      <c r="D46" s="432"/>
      <c r="E46" s="433"/>
      <c r="F46" s="434"/>
      <c r="G46" s="435"/>
      <c r="H46" s="436"/>
      <c r="I46" s="433"/>
      <c r="J46" s="436"/>
      <c r="K46" s="711"/>
      <c r="L46" s="2720"/>
      <c r="M46" s="2721"/>
      <c r="N46" s="2712"/>
      <c r="O46" s="2721"/>
      <c r="P46" s="3710" t="str">
        <f>A46</f>
        <v>成交单价</v>
      </c>
      <c r="Q46" s="3710"/>
      <c r="R46" s="3741">
        <f>E46</f>
        <v>0</v>
      </c>
      <c r="S46" s="3741"/>
      <c r="T46" s="3741">
        <f>G46</f>
        <v>0</v>
      </c>
      <c r="U46" s="3741"/>
      <c r="V46" s="3741">
        <f>I46</f>
        <v>0</v>
      </c>
      <c r="W46" s="3741"/>
      <c r="X46" s="687"/>
      <c r="Y46" s="709"/>
      <c r="Z46" s="687"/>
      <c r="AA46" s="687"/>
      <c r="AB46" s="687"/>
      <c r="AC46" s="687"/>
    </row>
    <row r="47" spans="1:29" ht="15.75" thickBot="1">
      <c r="A47" s="437" t="s">
        <v>1793</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710" t="str">
        <f>A47</f>
        <v>比较价值（元/平方米）</v>
      </c>
      <c r="Q47" s="3710"/>
      <c r="R47" s="3755" t="e">
        <f>ROUND(PRODUCT(R46,AA7:AA45),0)</f>
        <v>#DIV/0!</v>
      </c>
      <c r="S47" s="3755"/>
      <c r="T47" s="3755" t="e">
        <f>ROUND(PRODUCT(T46,AB7:AB45),0)</f>
        <v>#DIV/0!</v>
      </c>
      <c r="U47" s="3755"/>
      <c r="V47" s="3755" t="e">
        <f>ROUND(PRODUCT(V46,AC7:AC45),0)</f>
        <v>#DIV/0!</v>
      </c>
      <c r="W47" s="3755"/>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20"/>
      <c r="M48" s="2721"/>
      <c r="N48" s="2721"/>
      <c r="O48" s="2721"/>
      <c r="P48" s="3707" t="str">
        <f>A48</f>
        <v>估价对象XX用房的比较价值（楼面单价，元/平方米）</v>
      </c>
      <c r="Q48" s="3708"/>
      <c r="R48" s="3756" t="e">
        <f>ROUND(IF(D47="简单平均",AVERAGE(R47:W47),R47*F47+T47*H47+V47*J47),0)</f>
        <v>#DIV/0!</v>
      </c>
      <c r="S48" s="3756"/>
      <c r="T48" s="3756"/>
      <c r="U48" s="3756"/>
      <c r="V48" s="3756"/>
      <c r="W48" s="3756"/>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25" t="s">
        <v>1887</v>
      </c>
      <c r="H55" s="3757"/>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1">
        <v>1</v>
      </c>
      <c r="E56" s="638">
        <f>'数据-汇总表'!E8+'数据-汇总表'!E9</f>
        <v>2625.54</v>
      </c>
      <c r="F56" s="883" t="e">
        <f t="shared" ref="F56:F64" si="15">ROUND(B56*E56/10000,0)</f>
        <v>#DIV/0!</v>
      </c>
      <c r="G56" s="3721"/>
      <c r="H56" s="3710"/>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0.5</v>
      </c>
      <c r="D57" s="942">
        <v>0.25</v>
      </c>
      <c r="E57" s="642"/>
      <c r="F57" s="883" t="e">
        <f t="shared" si="15"/>
        <v>#DIV/0!</v>
      </c>
      <c r="G57" s="3002" t="s">
        <v>1892</v>
      </c>
      <c r="H57" s="884" t="str">
        <f>项目基本情况!B37</f>
        <v>八级</v>
      </c>
      <c r="I57" s="888">
        <f>SUMIF(修正!A57:A68,H57,修正!B57:B68)</f>
        <v>0.5</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0.2</v>
      </c>
      <c r="D58" s="942">
        <v>0.25</v>
      </c>
      <c r="E58" s="642"/>
      <c r="F58" s="883" t="e">
        <f t="shared" si="15"/>
        <v>#DIV/0!</v>
      </c>
      <c r="G58" s="3003"/>
      <c r="H58" s="884" t="str">
        <f>项目基本情况!B37</f>
        <v>八级</v>
      </c>
      <c r="I58" s="888">
        <f>SUMIF(修正!A57:A68,H58,修正!C57:C68)</f>
        <v>0.2</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v>
      </c>
      <c r="D59" s="942">
        <v>0.25</v>
      </c>
      <c r="E59" s="642"/>
      <c r="F59" s="883" t="e">
        <f t="shared" si="15"/>
        <v>#DIV/0!</v>
      </c>
      <c r="G59" s="3003"/>
      <c r="H59" s="884" t="str">
        <f>项目基本情况!B37</f>
        <v>八级</v>
      </c>
      <c r="I59" s="888">
        <f>SUMIF(修正!A57:A68,H59,修正!D57:D68)</f>
        <v>0.2</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2">
        <v>0.25</v>
      </c>
      <c r="E60" s="217">
        <f>'数据-汇总表'!E11</f>
        <v>0</v>
      </c>
      <c r="F60" s="883" t="e">
        <f t="shared" si="15"/>
        <v>#DIV/0!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v>
      </c>
      <c r="D63" s="942">
        <v>0.25</v>
      </c>
      <c r="E63" s="217">
        <f>'数据-汇总表'!E14</f>
        <v>0</v>
      </c>
      <c r="F63" s="883" t="e">
        <f t="shared" si="15"/>
        <v>#DIV/0!</v>
      </c>
      <c r="G63" s="1983" t="s">
        <v>1892</v>
      </c>
      <c r="H63" s="884" t="str">
        <f>项目基本情况!B37</f>
        <v>八级</v>
      </c>
      <c r="I63" s="888">
        <f>SUMIF(修正!A57:A68,H63,修正!G57:G68)</f>
        <v>0.1</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2">
        <v>0.25</v>
      </c>
      <c r="E64" s="217">
        <f>'数据-汇总表'!E15</f>
        <v>0</v>
      </c>
      <c r="F64" s="883" t="e">
        <f t="shared" si="15"/>
        <v>#DIV/0!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2625.54</v>
      </c>
      <c r="F65" s="645"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2024-7-1</v>
      </c>
      <c r="D67" s="689">
        <f>EDATE(C67,-3)</f>
        <v>45383</v>
      </c>
      <c r="E67" s="689">
        <f>EDATE(D67,-3)</f>
        <v>45292</v>
      </c>
      <c r="F67" s="689">
        <f t="shared" ref="F67:O67" si="18">EDATE(E67,-3)</f>
        <v>45200</v>
      </c>
      <c r="G67" s="689">
        <f t="shared" si="18"/>
        <v>45108</v>
      </c>
      <c r="H67" s="689">
        <f t="shared" si="18"/>
        <v>45017</v>
      </c>
      <c r="I67" s="689">
        <f t="shared" si="18"/>
        <v>44927</v>
      </c>
      <c r="J67" s="689">
        <f t="shared" si="18"/>
        <v>44835</v>
      </c>
      <c r="K67" s="689">
        <f t="shared" si="18"/>
        <v>44743</v>
      </c>
      <c r="L67" s="689">
        <f t="shared" si="18"/>
        <v>44652</v>
      </c>
      <c r="M67" s="689">
        <f t="shared" si="18"/>
        <v>44562</v>
      </c>
      <c r="N67" s="689">
        <f t="shared" si="18"/>
        <v>44470</v>
      </c>
      <c r="O67" s="689">
        <f t="shared" si="18"/>
        <v>44378</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5" priority="18" stopIfTrue="1" operator="containsText" text="超过">
      <formula>NOT(ISERROR(SEARCH("超过",F51)))</formula>
    </cfRule>
  </conditionalFormatting>
  <conditionalFormatting sqref="J53">
    <cfRule type="containsText" dxfId="74" priority="17" stopIfTrue="1" operator="containsText" text="超过">
      <formula>NOT(ISERROR(SEARCH("超过",J53)))</formula>
    </cfRule>
  </conditionalFormatting>
  <conditionalFormatting sqref="H53">
    <cfRule type="containsText" dxfId="73" priority="16" stopIfTrue="1" operator="containsText" text="超过">
      <formula>NOT(ISERROR(SEARCH("超过",H53)))</formula>
    </cfRule>
  </conditionalFormatting>
  <conditionalFormatting sqref="F53">
    <cfRule type="containsText" dxfId="72" priority="15" stopIfTrue="1" operator="containsText" text="超过">
      <formula>NOT(ISERROR(SEARCH("超过",F53)))</formula>
    </cfRule>
  </conditionalFormatting>
  <conditionalFormatting sqref="F52 H52 J52">
    <cfRule type="containsText" dxfId="71" priority="14" stopIfTrue="1" operator="containsText" text="超过">
      <formula>NOT(ISERROR(SEARCH("超过",F52)))</formula>
    </cfRule>
  </conditionalFormatting>
  <conditionalFormatting sqref="E51">
    <cfRule type="expression" dxfId="70" priority="13" stopIfTrue="1">
      <formula>$F$51="超过30%"</formula>
    </cfRule>
  </conditionalFormatting>
  <conditionalFormatting sqref="G53">
    <cfRule type="expression" dxfId="69" priority="12" stopIfTrue="1">
      <formula>$H$53="超过30%"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G51">
    <cfRule type="expression" dxfId="66" priority="9" stopIfTrue="1">
      <formula>$H$53+$H$51="超过30%"</formula>
    </cfRule>
  </conditionalFormatting>
  <conditionalFormatting sqref="G52">
    <cfRule type="expression" dxfId="65" priority="8" stopIfTrue="1">
      <formula>$H$52="超过20%"</formula>
    </cfRule>
  </conditionalFormatting>
  <conditionalFormatting sqref="I51">
    <cfRule type="expression" dxfId="64" priority="7" stopIfTrue="1">
      <formula>$J$51="超过30%"</formula>
    </cfRule>
  </conditionalFormatting>
  <conditionalFormatting sqref="I52">
    <cfRule type="expression" dxfId="63" priority="6" stopIfTrue="1">
      <formula>$J$52="超过20%"</formula>
    </cfRule>
  </conditionalFormatting>
  <conditionalFormatting sqref="I53">
    <cfRule type="expression" dxfId="62" priority="5" stopIfTrue="1">
      <formula>$J$53="超过30%"</formula>
    </cfRule>
  </conditionalFormatting>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F7:F45 H7:H45 J7:J45">
    <cfRule type="cellIs" dxfId="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9"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35" t="s">
        <v>1771</v>
      </c>
      <c r="S4" s="3736"/>
      <c r="T4" s="3735" t="s">
        <v>1772</v>
      </c>
      <c r="U4" s="3736"/>
      <c r="V4" s="3741" t="s">
        <v>1773</v>
      </c>
      <c r="W4" s="3741"/>
      <c r="X4" s="1352"/>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1"/>
      <c r="M5" s="2712"/>
      <c r="N5" s="2712"/>
      <c r="O5" s="2712"/>
      <c r="P5" s="3731"/>
      <c r="Q5" s="3732"/>
      <c r="R5" s="3737"/>
      <c r="S5" s="3738"/>
      <c r="T5" s="3737"/>
      <c r="U5" s="3738"/>
      <c r="V5" s="3741"/>
      <c r="W5" s="3741"/>
      <c r="X5" s="1352"/>
      <c r="Y5" s="3737"/>
      <c r="Z5" s="3738"/>
      <c r="AA5" s="3723"/>
      <c r="AB5" s="3723"/>
      <c r="AC5" s="3723"/>
    </row>
    <row r="6" spans="1:29" ht="15.75" thickBot="1">
      <c r="A6" s="360"/>
      <c r="B6" s="361"/>
      <c r="C6" s="3758" t="s">
        <v>1919</v>
      </c>
      <c r="D6" s="3759"/>
      <c r="E6" s="3760" t="s">
        <v>1919</v>
      </c>
      <c r="F6" s="3761"/>
      <c r="G6" s="3758" t="s">
        <v>1919</v>
      </c>
      <c r="H6" s="3759"/>
      <c r="I6" s="3758" t="s">
        <v>1919</v>
      </c>
      <c r="J6" s="3759"/>
      <c r="K6" s="559" t="s">
        <v>1678</v>
      </c>
      <c r="L6" s="2711"/>
      <c r="M6" s="2712"/>
      <c r="N6" s="2712"/>
      <c r="O6" s="2712"/>
      <c r="P6" s="3733"/>
      <c r="Q6" s="3734"/>
      <c r="R6" s="3737"/>
      <c r="S6" s="3738"/>
      <c r="T6" s="3739"/>
      <c r="U6" s="3740"/>
      <c r="V6" s="3741"/>
      <c r="W6" s="3741"/>
      <c r="X6" s="1352"/>
      <c r="Y6" s="3739"/>
      <c r="Z6" s="3740"/>
      <c r="AA6" s="3724"/>
      <c r="AB6" s="3724"/>
      <c r="AC6" s="3724"/>
    </row>
    <row r="7" spans="1:29" s="108" customFormat="1" ht="15.75" thickBot="1">
      <c r="A7" s="362" t="s">
        <v>1679</v>
      </c>
      <c r="B7" s="363"/>
      <c r="C7" s="364">
        <f>'数据-取费表'!B2</f>
        <v>45483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46" t="s">
        <v>1680</v>
      </c>
      <c r="Q7" s="3748"/>
      <c r="R7" s="698" t="s">
        <v>14</v>
      </c>
      <c r="S7" s="699">
        <f t="shared" ref="S7:S15" si="0">F7</f>
        <v>0</v>
      </c>
      <c r="T7" s="698" t="s">
        <v>14</v>
      </c>
      <c r="U7" s="699">
        <f t="shared" ref="U7:U15" si="1">H7</f>
        <v>0</v>
      </c>
      <c r="V7" s="698" t="s">
        <v>14</v>
      </c>
      <c r="W7" s="699">
        <f t="shared" ref="W7:W15" si="2">J7</f>
        <v>0</v>
      </c>
      <c r="X7" s="700"/>
      <c r="Y7" s="3746" t="s">
        <v>1680</v>
      </c>
      <c r="Z7" s="3747"/>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46" t="s">
        <v>1683</v>
      </c>
      <c r="Q8" s="3747"/>
      <c r="R8" s="698" t="s">
        <v>14</v>
      </c>
      <c r="S8" s="699">
        <f t="shared" si="0"/>
        <v>0</v>
      </c>
      <c r="T8" s="698" t="s">
        <v>14</v>
      </c>
      <c r="U8" s="699">
        <f t="shared" si="1"/>
        <v>0</v>
      </c>
      <c r="V8" s="698" t="s">
        <v>14</v>
      </c>
      <c r="W8" s="699">
        <f t="shared" si="2"/>
        <v>0</v>
      </c>
      <c r="X8" s="700"/>
      <c r="Y8" s="3746" t="s">
        <v>1683</v>
      </c>
      <c r="Z8" s="3747"/>
      <c r="AA8" s="701" t="e">
        <f t="shared" ref="AA8:AA40" si="3">D8/F8</f>
        <v>#DIV/0!</v>
      </c>
      <c r="AB8" s="701" t="e">
        <f t="shared" ref="AB8:AB40" si="4">D8/H8</f>
        <v>#DIV/0!</v>
      </c>
      <c r="AC8" s="701"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0"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5"/>
      <c r="M10" s="2716"/>
      <c r="N10" s="2716"/>
      <c r="O10" s="2769"/>
      <c r="P10" s="3710"/>
      <c r="Q10" s="1340" t="str">
        <f t="shared" si="6"/>
        <v>土地使用年限（年）</v>
      </c>
      <c r="R10" s="698" t="s">
        <v>14</v>
      </c>
      <c r="S10" s="699">
        <f t="shared" si="0"/>
        <v>141</v>
      </c>
      <c r="T10" s="698" t="s">
        <v>14</v>
      </c>
      <c r="U10" s="699">
        <f t="shared" si="1"/>
        <v>141</v>
      </c>
      <c r="V10" s="698" t="s">
        <v>14</v>
      </c>
      <c r="W10" s="699">
        <f t="shared" si="2"/>
        <v>141</v>
      </c>
      <c r="X10" s="700"/>
      <c r="Y10" s="3560"/>
      <c r="Z10" s="52" t="str">
        <f t="shared" si="7"/>
        <v>土地使用年限（年）</v>
      </c>
      <c r="AA10" s="701">
        <f t="shared" si="3"/>
        <v>0.70921985815602839</v>
      </c>
      <c r="AB10" s="701">
        <f t="shared" si="4"/>
        <v>0.70921985815602839</v>
      </c>
      <c r="AC10" s="701">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0"/>
      <c r="Q11" s="1340" t="str">
        <f t="shared" si="6"/>
        <v>容积率</v>
      </c>
      <c r="R11" s="698" t="s">
        <v>14</v>
      </c>
      <c r="S11" s="699" t="e">
        <f t="shared" si="0"/>
        <v>#N/A</v>
      </c>
      <c r="T11" s="698" t="s">
        <v>14</v>
      </c>
      <c r="U11" s="699" t="e">
        <f t="shared" si="1"/>
        <v>#N/A</v>
      </c>
      <c r="V11" s="698" t="s">
        <v>14</v>
      </c>
      <c r="W11" s="699" t="e">
        <f t="shared" si="2"/>
        <v>#N/A</v>
      </c>
      <c r="X11" s="700"/>
      <c r="Y11" s="3560"/>
      <c r="Z11" s="52" t="str">
        <f t="shared" si="7"/>
        <v>容积率</v>
      </c>
      <c r="AA11" s="701" t="e">
        <f t="shared" si="3"/>
        <v>#N/A</v>
      </c>
      <c r="AB11" s="701" t="e">
        <f t="shared" si="4"/>
        <v>#N/A</v>
      </c>
      <c r="AC11" s="701"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0"/>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701">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0"/>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701">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0"/>
      <c r="Q14" s="1340">
        <f t="shared" si="6"/>
        <v>111</v>
      </c>
      <c r="R14" s="698" t="s">
        <v>14</v>
      </c>
      <c r="S14" s="699">
        <f t="shared" si="0"/>
        <v>100</v>
      </c>
      <c r="T14" s="698" t="s">
        <v>14</v>
      </c>
      <c r="U14" s="699">
        <f t="shared" si="1"/>
        <v>100</v>
      </c>
      <c r="V14" s="698" t="s">
        <v>14</v>
      </c>
      <c r="W14" s="699">
        <f t="shared" si="2"/>
        <v>100</v>
      </c>
      <c r="X14" s="700"/>
      <c r="Y14" s="3560"/>
      <c r="Z14" s="52">
        <f t="shared" si="7"/>
        <v>111</v>
      </c>
      <c r="AA14" s="701">
        <f t="shared" si="3"/>
        <v>1</v>
      </c>
      <c r="AB14" s="701">
        <f t="shared" si="4"/>
        <v>1</v>
      </c>
      <c r="AC14" s="701">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2" t="s">
        <v>1691</v>
      </c>
      <c r="Q15" s="1349" t="str">
        <f t="shared" si="6"/>
        <v>产业集聚程度</v>
      </c>
      <c r="R15" s="702" t="s">
        <v>14</v>
      </c>
      <c r="S15" s="703">
        <f t="shared" si="0"/>
        <v>100</v>
      </c>
      <c r="T15" s="702" t="s">
        <v>14</v>
      </c>
      <c r="U15" s="703">
        <f t="shared" si="1"/>
        <v>100</v>
      </c>
      <c r="V15" s="702" t="s">
        <v>14</v>
      </c>
      <c r="W15" s="703">
        <f t="shared" si="2"/>
        <v>100</v>
      </c>
      <c r="X15" s="1352"/>
      <c r="Y15" s="3712" t="s">
        <v>1691</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8"/>
      <c r="M16" s="2712"/>
      <c r="N16" s="2712"/>
      <c r="O16" s="2770"/>
      <c r="P16" s="3713"/>
      <c r="Q16" s="1349"/>
      <c r="R16" s="702"/>
      <c r="S16" s="703"/>
      <c r="T16" s="702"/>
      <c r="U16" s="703"/>
      <c r="V16" s="702"/>
      <c r="W16" s="703"/>
      <c r="X16" s="1352"/>
      <c r="Y16" s="3713"/>
      <c r="Z16" s="1353"/>
      <c r="AA16" s="1350">
        <v>1</v>
      </c>
      <c r="AB16" s="1350">
        <v>1</v>
      </c>
      <c r="AC16" s="1350">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3"/>
      <c r="Q17" s="1349" t="str">
        <f>B17</f>
        <v>交通便捷度</v>
      </c>
      <c r="R17" s="702" t="s">
        <v>14</v>
      </c>
      <c r="S17" s="703">
        <f>F17</f>
        <v>100</v>
      </c>
      <c r="T17" s="702" t="s">
        <v>14</v>
      </c>
      <c r="U17" s="703">
        <f>H17</f>
        <v>100</v>
      </c>
      <c r="V17" s="702" t="s">
        <v>14</v>
      </c>
      <c r="W17" s="703">
        <f>J17</f>
        <v>100</v>
      </c>
      <c r="X17" s="1352"/>
      <c r="Y17" s="3713"/>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8"/>
      <c r="M18" s="2712"/>
      <c r="N18" s="2712"/>
      <c r="O18" s="2770"/>
      <c r="P18" s="3713"/>
      <c r="Q18" s="1349"/>
      <c r="R18" s="702"/>
      <c r="S18" s="703"/>
      <c r="T18" s="702"/>
      <c r="U18" s="703"/>
      <c r="V18" s="702"/>
      <c r="W18" s="703"/>
      <c r="X18" s="1352"/>
      <c r="Y18" s="3713"/>
      <c r="Z18" s="1353"/>
      <c r="AA18" s="1350">
        <v>1</v>
      </c>
      <c r="AB18" s="1350">
        <v>1</v>
      </c>
      <c r="AC18" s="1350">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3"/>
      <c r="Q19" s="1349" t="str">
        <f t="shared" ref="Q19:Q33" si="8">B19</f>
        <v>区域土地利用方向</v>
      </c>
      <c r="R19" s="702" t="s">
        <v>14</v>
      </c>
      <c r="S19" s="703">
        <f>F19</f>
        <v>100</v>
      </c>
      <c r="T19" s="702" t="s">
        <v>14</v>
      </c>
      <c r="U19" s="703">
        <f>H19</f>
        <v>100</v>
      </c>
      <c r="V19" s="702" t="s">
        <v>14</v>
      </c>
      <c r="W19" s="703">
        <f>J19</f>
        <v>100</v>
      </c>
      <c r="X19" s="1352"/>
      <c r="Y19" s="3713"/>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7"/>
      <c r="L20" s="2718"/>
      <c r="M20" s="2712"/>
      <c r="N20" s="2712"/>
      <c r="O20" s="2770"/>
      <c r="P20" s="3713"/>
      <c r="Q20" s="1349"/>
      <c r="R20" s="702"/>
      <c r="S20" s="703"/>
      <c r="T20" s="702"/>
      <c r="U20" s="703"/>
      <c r="V20" s="702"/>
      <c r="W20" s="703"/>
      <c r="X20" s="1352"/>
      <c r="Y20" s="3713"/>
      <c r="Z20" s="1353"/>
      <c r="AA20" s="1350"/>
      <c r="AB20" s="1350"/>
      <c r="AC20" s="1350"/>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3"/>
      <c r="Q21" s="1349" t="str">
        <f t="shared" si="8"/>
        <v>环境状况</v>
      </c>
      <c r="R21" s="702" t="s">
        <v>14</v>
      </c>
      <c r="S21" s="703">
        <f>F21</f>
        <v>100</v>
      </c>
      <c r="T21" s="702" t="s">
        <v>14</v>
      </c>
      <c r="U21" s="703">
        <f>H21</f>
        <v>100</v>
      </c>
      <c r="V21" s="702" t="s">
        <v>14</v>
      </c>
      <c r="W21" s="703">
        <f>J21</f>
        <v>100</v>
      </c>
      <c r="X21" s="1352"/>
      <c r="Y21" s="3713"/>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8"/>
      <c r="M22" s="2712"/>
      <c r="N22" s="2712"/>
      <c r="O22" s="2770"/>
      <c r="P22" s="3713"/>
      <c r="Q22" s="1349"/>
      <c r="R22" s="702"/>
      <c r="S22" s="703"/>
      <c r="T22" s="702"/>
      <c r="U22" s="703"/>
      <c r="V22" s="702"/>
      <c r="W22" s="703"/>
      <c r="X22" s="1352"/>
      <c r="Y22" s="3713"/>
      <c r="Z22" s="1353"/>
      <c r="AA22" s="1350">
        <v>1</v>
      </c>
      <c r="AB22" s="1350">
        <v>1</v>
      </c>
      <c r="AC22" s="1350">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3"/>
      <c r="Q23" s="1340" t="str">
        <f t="shared" si="8"/>
        <v>公共配套设施</v>
      </c>
      <c r="R23" s="698" t="s">
        <v>14</v>
      </c>
      <c r="S23" s="699">
        <f>F23</f>
        <v>100</v>
      </c>
      <c r="T23" s="698" t="s">
        <v>14</v>
      </c>
      <c r="U23" s="699">
        <f>H23</f>
        <v>100</v>
      </c>
      <c r="V23" s="698" t="s">
        <v>14</v>
      </c>
      <c r="W23" s="699">
        <f>J23</f>
        <v>100</v>
      </c>
      <c r="X23" s="700"/>
      <c r="Y23" s="3713"/>
      <c r="Z23" s="52" t="str">
        <f>Q23</f>
        <v>公共配套设施</v>
      </c>
      <c r="AA23" s="1350">
        <f>D23/F23</f>
        <v>1</v>
      </c>
      <c r="AB23" s="1350">
        <f>D23/H23</f>
        <v>1</v>
      </c>
      <c r="AC23" s="1350">
        <f>D23/J23</f>
        <v>1</v>
      </c>
    </row>
    <row r="24" spans="1:29" s="108" customFormat="1" ht="15">
      <c r="A24" s="597"/>
      <c r="B24" s="580"/>
      <c r="C24" s="1974"/>
      <c r="D24" s="399"/>
      <c r="E24" s="1900"/>
      <c r="F24" s="399"/>
      <c r="G24" s="1900"/>
      <c r="H24" s="399"/>
      <c r="I24" s="398"/>
      <c r="J24" s="399"/>
      <c r="K24" s="620"/>
      <c r="L24" s="2713"/>
      <c r="M24" s="2714"/>
      <c r="N24" s="2714"/>
      <c r="O24" s="2768"/>
      <c r="P24" s="3713"/>
      <c r="Q24" s="1340"/>
      <c r="R24" s="698"/>
      <c r="S24" s="699"/>
      <c r="T24" s="698"/>
      <c r="U24" s="699"/>
      <c r="V24" s="698"/>
      <c r="W24" s="699"/>
      <c r="X24" s="700"/>
      <c r="Y24" s="3713"/>
      <c r="Z24" s="52"/>
      <c r="AA24" s="701">
        <v>1</v>
      </c>
      <c r="AB24" s="701">
        <v>1</v>
      </c>
      <c r="AC24" s="701">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3"/>
      <c r="Q25" s="1340" t="str">
        <f t="shared" ref="Q25" si="9">B25</f>
        <v>基础设施水平</v>
      </c>
      <c r="R25" s="698" t="s">
        <v>14</v>
      </c>
      <c r="S25" s="699">
        <f>F25</f>
        <v>100</v>
      </c>
      <c r="T25" s="698" t="s">
        <v>14</v>
      </c>
      <c r="U25" s="699">
        <f>H25</f>
        <v>100</v>
      </c>
      <c r="V25" s="698" t="s">
        <v>14</v>
      </c>
      <c r="W25" s="699">
        <f>J25</f>
        <v>100</v>
      </c>
      <c r="X25" s="700"/>
      <c r="Y25" s="3713"/>
      <c r="Z25" s="52" t="str">
        <f>Q25</f>
        <v>基础设施水平</v>
      </c>
      <c r="AA25" s="1350">
        <f>D25/F25</f>
        <v>1</v>
      </c>
      <c r="AB25" s="1350">
        <f>D25/H25</f>
        <v>1</v>
      </c>
      <c r="AC25" s="1350">
        <f>D25/J25</f>
        <v>1</v>
      </c>
    </row>
    <row r="26" spans="1:29" s="108" customFormat="1" ht="15">
      <c r="A26" s="597"/>
      <c r="B26" s="580"/>
      <c r="C26" s="1974"/>
      <c r="D26" s="399"/>
      <c r="E26" s="1975"/>
      <c r="F26" s="399"/>
      <c r="G26" s="1975"/>
      <c r="H26" s="399"/>
      <c r="I26" s="1975"/>
      <c r="J26" s="399"/>
      <c r="K26" s="620"/>
      <c r="L26" s="2713"/>
      <c r="M26" s="2714"/>
      <c r="N26" s="2714"/>
      <c r="O26" s="2768"/>
      <c r="P26" s="3713"/>
      <c r="Q26" s="1340"/>
      <c r="R26" s="698"/>
      <c r="S26" s="699"/>
      <c r="T26" s="698"/>
      <c r="U26" s="699"/>
      <c r="V26" s="698"/>
      <c r="W26" s="699"/>
      <c r="X26" s="700"/>
      <c r="Y26" s="3713"/>
      <c r="Z26" s="52"/>
      <c r="AA26" s="701">
        <v>1</v>
      </c>
      <c r="AB26" s="701">
        <v>1</v>
      </c>
      <c r="AC26" s="701">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3"/>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13"/>
      <c r="Z27" s="1353" t="str">
        <f t="shared" ref="Z27:Z40" si="13">Q27</f>
        <v>临街状况</v>
      </c>
      <c r="AA27" s="1350">
        <f t="shared" si="3"/>
        <v>1</v>
      </c>
      <c r="AB27" s="1350">
        <f t="shared" si="4"/>
        <v>1</v>
      </c>
      <c r="AC27" s="1350">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3"/>
      <c r="Q28" s="1349" t="str">
        <f t="shared" si="8"/>
        <v>毗邻道路的类型与等级</v>
      </c>
      <c r="R28" s="702" t="s">
        <v>14</v>
      </c>
      <c r="S28" s="703">
        <f t="shared" si="10"/>
        <v>100</v>
      </c>
      <c r="T28" s="702" t="s">
        <v>14</v>
      </c>
      <c r="U28" s="703">
        <f t="shared" si="11"/>
        <v>100</v>
      </c>
      <c r="V28" s="702" t="s">
        <v>14</v>
      </c>
      <c r="W28" s="703">
        <f t="shared" si="12"/>
        <v>100</v>
      </c>
      <c r="X28" s="1352"/>
      <c r="Y28" s="3713"/>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8"/>
      <c r="M29" s="2712"/>
      <c r="N29" s="2712"/>
      <c r="O29" s="2770"/>
      <c r="P29" s="3713"/>
      <c r="Q29" s="1349"/>
      <c r="R29" s="702"/>
      <c r="S29" s="703"/>
      <c r="T29" s="702"/>
      <c r="U29" s="703"/>
      <c r="V29" s="702"/>
      <c r="W29" s="703"/>
      <c r="X29" s="1352"/>
      <c r="Y29" s="3713"/>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3"/>
      <c r="Q30" s="1349" t="str">
        <f t="shared" si="8"/>
        <v>土地级别</v>
      </c>
      <c r="R30" s="702" t="s">
        <v>14</v>
      </c>
      <c r="S30" s="703">
        <f t="shared" si="10"/>
        <v>100</v>
      </c>
      <c r="T30" s="702" t="s">
        <v>14</v>
      </c>
      <c r="U30" s="703">
        <f t="shared" si="11"/>
        <v>100</v>
      </c>
      <c r="V30" s="702" t="s">
        <v>14</v>
      </c>
      <c r="W30" s="703">
        <f t="shared" si="12"/>
        <v>100</v>
      </c>
      <c r="X30" s="1352"/>
      <c r="Y30" s="3713"/>
      <c r="Z30" s="1353" t="str">
        <f t="shared" si="13"/>
        <v>土地级别</v>
      </c>
      <c r="AA30" s="1350">
        <f t="shared" si="3"/>
        <v>1</v>
      </c>
      <c r="AB30" s="1350">
        <f t="shared" si="4"/>
        <v>1</v>
      </c>
      <c r="AC30" s="1350">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3"/>
      <c r="Q31" s="1349">
        <f t="shared" si="8"/>
        <v>111</v>
      </c>
      <c r="R31" s="702" t="s">
        <v>14</v>
      </c>
      <c r="S31" s="703">
        <f t="shared" si="10"/>
        <v>100</v>
      </c>
      <c r="T31" s="702" t="s">
        <v>14</v>
      </c>
      <c r="U31" s="703">
        <f t="shared" si="11"/>
        <v>100</v>
      </c>
      <c r="V31" s="702" t="s">
        <v>14</v>
      </c>
      <c r="W31" s="703">
        <f t="shared" si="12"/>
        <v>100</v>
      </c>
      <c r="X31" s="1352"/>
      <c r="Y31" s="3713"/>
      <c r="Z31" s="1353">
        <f t="shared" si="13"/>
        <v>111</v>
      </c>
      <c r="AA31" s="1350">
        <f t="shared" si="3"/>
        <v>1</v>
      </c>
      <c r="AB31" s="1350">
        <f t="shared" si="4"/>
        <v>1</v>
      </c>
      <c r="AC31" s="1350">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53" t="s">
        <v>1696</v>
      </c>
      <c r="Q32" s="1349">
        <f t="shared" si="8"/>
        <v>111</v>
      </c>
      <c r="R32" s="702" t="s">
        <v>14</v>
      </c>
      <c r="S32" s="703">
        <f t="shared" si="10"/>
        <v>100</v>
      </c>
      <c r="T32" s="702" t="s">
        <v>14</v>
      </c>
      <c r="U32" s="703">
        <f t="shared" si="11"/>
        <v>100</v>
      </c>
      <c r="V32" s="702" t="s">
        <v>14</v>
      </c>
      <c r="W32" s="703">
        <f t="shared" si="12"/>
        <v>100</v>
      </c>
      <c r="X32" s="1352"/>
      <c r="Y32" s="3717" t="s">
        <v>1696</v>
      </c>
      <c r="Z32" s="1353">
        <f t="shared" si="13"/>
        <v>111</v>
      </c>
      <c r="AA32" s="1350">
        <f t="shared" si="3"/>
        <v>1</v>
      </c>
      <c r="AB32" s="1350">
        <f t="shared" si="4"/>
        <v>1</v>
      </c>
      <c r="AC32" s="1350">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7"/>
      <c r="Q33" s="1349">
        <f t="shared" si="8"/>
        <v>111</v>
      </c>
      <c r="R33" s="705" t="s">
        <v>14</v>
      </c>
      <c r="S33" s="706">
        <f t="shared" si="10"/>
        <v>100</v>
      </c>
      <c r="T33" s="705" t="s">
        <v>14</v>
      </c>
      <c r="U33" s="706">
        <f t="shared" si="11"/>
        <v>100</v>
      </c>
      <c r="V33" s="705" t="s">
        <v>14</v>
      </c>
      <c r="W33" s="706">
        <f t="shared" si="12"/>
        <v>100</v>
      </c>
      <c r="X33" s="707"/>
      <c r="Y33" s="3717"/>
      <c r="Z33" s="708">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7"/>
      <c r="Q34" s="1349" t="str">
        <f>B34</f>
        <v>宗地面积</v>
      </c>
      <c r="R34" s="702" t="s">
        <v>14</v>
      </c>
      <c r="S34" s="703" t="e">
        <f t="shared" si="10"/>
        <v>#N/A</v>
      </c>
      <c r="T34" s="702" t="s">
        <v>14</v>
      </c>
      <c r="U34" s="703" t="e">
        <f t="shared" si="11"/>
        <v>#N/A</v>
      </c>
      <c r="V34" s="702" t="s">
        <v>14</v>
      </c>
      <c r="W34" s="703" t="e">
        <f t="shared" si="12"/>
        <v>#N/A</v>
      </c>
      <c r="X34" s="1352"/>
      <c r="Y34" s="3717"/>
      <c r="Z34" s="1353" t="str">
        <f t="shared" si="13"/>
        <v>宗地面积</v>
      </c>
      <c r="AA34" s="1350" t="e">
        <f t="shared" si="3"/>
        <v>#N/A</v>
      </c>
      <c r="AB34" s="1350" t="e">
        <f t="shared" si="4"/>
        <v>#N/A</v>
      </c>
      <c r="AC34" s="1350"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7"/>
      <c r="Q35" s="1349" t="str">
        <f t="shared" ref="Q35:Q40" si="14">B35</f>
        <v>宗地形状</v>
      </c>
      <c r="R35" s="702" t="s">
        <v>14</v>
      </c>
      <c r="S35" s="703">
        <f t="shared" si="10"/>
        <v>100</v>
      </c>
      <c r="T35" s="702" t="s">
        <v>14</v>
      </c>
      <c r="U35" s="703">
        <f t="shared" si="11"/>
        <v>100</v>
      </c>
      <c r="V35" s="702" t="s">
        <v>14</v>
      </c>
      <c r="W35" s="703">
        <f t="shared" si="12"/>
        <v>100</v>
      </c>
      <c r="X35" s="1352"/>
      <c r="Y35" s="3717"/>
      <c r="Z35" s="1353" t="str">
        <f t="shared" si="13"/>
        <v>宗地形状</v>
      </c>
      <c r="AA35" s="1350">
        <f t="shared" si="3"/>
        <v>1</v>
      </c>
      <c r="AB35" s="1350">
        <f t="shared" si="4"/>
        <v>1</v>
      </c>
      <c r="AC35" s="1350">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7"/>
      <c r="Q36" s="1349" t="str">
        <f t="shared" si="14"/>
        <v>宗地开发程度</v>
      </c>
      <c r="R36" s="698" t="s">
        <v>14</v>
      </c>
      <c r="S36" s="699">
        <f t="shared" si="10"/>
        <v>100</v>
      </c>
      <c r="T36" s="698" t="s">
        <v>14</v>
      </c>
      <c r="U36" s="699">
        <f t="shared" si="11"/>
        <v>100</v>
      </c>
      <c r="V36" s="698" t="s">
        <v>14</v>
      </c>
      <c r="W36" s="699">
        <f t="shared" si="12"/>
        <v>100</v>
      </c>
      <c r="X36" s="700"/>
      <c r="Y36" s="3717"/>
      <c r="Z36" s="52" t="str">
        <f t="shared" si="13"/>
        <v>宗地开发程度</v>
      </c>
      <c r="AA36" s="701">
        <f t="shared" si="3"/>
        <v>1</v>
      </c>
      <c r="AB36" s="701">
        <f t="shared" si="4"/>
        <v>1</v>
      </c>
      <c r="AC36" s="701">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7" t="s">
        <v>1696</v>
      </c>
      <c r="Q37" s="1349" t="str">
        <f t="shared" si="14"/>
        <v>工程地质条件</v>
      </c>
      <c r="R37" s="702" t="s">
        <v>14</v>
      </c>
      <c r="S37" s="703">
        <f t="shared" si="10"/>
        <v>100</v>
      </c>
      <c r="T37" s="702" t="s">
        <v>14</v>
      </c>
      <c r="U37" s="703">
        <f t="shared" si="11"/>
        <v>100</v>
      </c>
      <c r="V37" s="702" t="s">
        <v>14</v>
      </c>
      <c r="W37" s="703">
        <f t="shared" si="12"/>
        <v>100</v>
      </c>
      <c r="X37" s="1352"/>
      <c r="Y37" s="3717"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7"/>
      <c r="Q38" s="1349">
        <f t="shared" si="14"/>
        <v>111</v>
      </c>
      <c r="R38" s="702" t="s">
        <v>14</v>
      </c>
      <c r="S38" s="703">
        <f t="shared" si="10"/>
        <v>100</v>
      </c>
      <c r="T38" s="702" t="s">
        <v>14</v>
      </c>
      <c r="U38" s="703">
        <f t="shared" si="11"/>
        <v>100</v>
      </c>
      <c r="V38" s="702" t="s">
        <v>14</v>
      </c>
      <c r="W38" s="703">
        <f t="shared" si="12"/>
        <v>100</v>
      </c>
      <c r="X38" s="1352"/>
      <c r="Y38" s="3717"/>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7"/>
      <c r="Q39" s="1349">
        <f t="shared" si="14"/>
        <v>111</v>
      </c>
      <c r="R39" s="702" t="s">
        <v>14</v>
      </c>
      <c r="S39" s="703">
        <f t="shared" si="10"/>
        <v>100</v>
      </c>
      <c r="T39" s="702" t="s">
        <v>14</v>
      </c>
      <c r="U39" s="703">
        <f t="shared" si="11"/>
        <v>100</v>
      </c>
      <c r="V39" s="702" t="s">
        <v>14</v>
      </c>
      <c r="W39" s="703">
        <f t="shared" si="12"/>
        <v>100</v>
      </c>
      <c r="X39" s="1352"/>
      <c r="Y39" s="3717"/>
      <c r="Z39" s="1353">
        <f t="shared" si="13"/>
        <v>111</v>
      </c>
      <c r="AA39" s="1350">
        <f t="shared" si="3"/>
        <v>1</v>
      </c>
      <c r="AB39" s="1350">
        <f t="shared" si="4"/>
        <v>1</v>
      </c>
      <c r="AC39" s="1350">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7"/>
      <c r="Q40" s="1349">
        <f t="shared" si="14"/>
        <v>111</v>
      </c>
      <c r="R40" s="705" t="s">
        <v>14</v>
      </c>
      <c r="S40" s="706">
        <f t="shared" si="10"/>
        <v>100</v>
      </c>
      <c r="T40" s="705" t="s">
        <v>14</v>
      </c>
      <c r="U40" s="706">
        <f t="shared" si="11"/>
        <v>100</v>
      </c>
      <c r="V40" s="705" t="s">
        <v>14</v>
      </c>
      <c r="W40" s="706">
        <f t="shared" si="12"/>
        <v>100</v>
      </c>
      <c r="X40" s="707"/>
      <c r="Y40" s="3717"/>
      <c r="Z40" s="708">
        <f t="shared" si="13"/>
        <v>111</v>
      </c>
      <c r="AA40" s="1350">
        <f t="shared" si="3"/>
        <v>1</v>
      </c>
      <c r="AB40" s="1350">
        <f t="shared" si="4"/>
        <v>1</v>
      </c>
      <c r="AC40" s="1350">
        <f t="shared" si="5"/>
        <v>1</v>
      </c>
    </row>
    <row r="41" spans="1:31" ht="15">
      <c r="A41" s="430" t="s">
        <v>1844</v>
      </c>
      <c r="B41" s="1978" t="s">
        <v>1922</v>
      </c>
      <c r="C41" s="630" t="s">
        <v>0</v>
      </c>
      <c r="D41" s="432"/>
      <c r="E41" s="433"/>
      <c r="F41" s="434"/>
      <c r="G41" s="435"/>
      <c r="H41" s="436"/>
      <c r="I41" s="433"/>
      <c r="J41" s="436"/>
      <c r="K41" s="711"/>
      <c r="L41" s="2720"/>
      <c r="M41" s="2712"/>
      <c r="N41" s="2712"/>
      <c r="O41" s="2721"/>
      <c r="P41" s="3710" t="str">
        <f>A41</f>
        <v>成交单价</v>
      </c>
      <c r="Q41" s="3710"/>
      <c r="R41" s="3741">
        <f>E41</f>
        <v>0</v>
      </c>
      <c r="S41" s="3741"/>
      <c r="T41" s="3741">
        <f>G41</f>
        <v>0</v>
      </c>
      <c r="U41" s="3741"/>
      <c r="V41" s="3741">
        <f>I41</f>
        <v>0</v>
      </c>
      <c r="W41" s="3741"/>
      <c r="X41" s="687"/>
      <c r="Y41" s="709"/>
      <c r="Z41" s="687"/>
      <c r="AA41" s="687"/>
      <c r="AB41" s="687"/>
      <c r="AC41" s="687"/>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10" t="str">
        <f>A42</f>
        <v>比较价值（元/平方米）</v>
      </c>
      <c r="Q42" s="3710"/>
      <c r="R42" s="3755" t="e">
        <f>ROUND(PRODUCT(R41,AA7:AA40),0)</f>
        <v>#DIV/0!</v>
      </c>
      <c r="S42" s="3755"/>
      <c r="T42" s="3755" t="e">
        <f>ROUND(PRODUCT(T41,AB7:AB40),0)</f>
        <v>#DIV/0!</v>
      </c>
      <c r="U42" s="3755"/>
      <c r="V42" s="3755" t="e">
        <f>ROUND(PRODUCT(V41,AC7:AC40),0)</f>
        <v>#DIV/0!</v>
      </c>
      <c r="W42" s="3755"/>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20"/>
      <c r="M43" s="2712"/>
      <c r="N43" s="2712"/>
      <c r="O43" s="2721"/>
      <c r="P43" s="3707" t="str">
        <f>A43</f>
        <v>估价对象XX用房的比较价值（楼面单价，元/平方米）</v>
      </c>
      <c r="Q43" s="3708"/>
      <c r="R43" s="3756" t="e">
        <f>ROUND(IF(D42="简单平均",AVERAGE(R42:W42),R42*F42+T42*H42+V42*J42),0)</f>
        <v>#DIV/0!</v>
      </c>
      <c r="S43" s="3756"/>
      <c r="T43" s="3756"/>
      <c r="U43" s="3756"/>
      <c r="V43" s="3756"/>
      <c r="W43" s="3756"/>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5" t="s">
        <v>1887</v>
      </c>
      <c r="H50" s="3757"/>
      <c r="I50" s="1353" t="s">
        <v>1923</v>
      </c>
      <c r="J50" s="1353">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2625.54</v>
      </c>
      <c r="F51" s="639" t="e">
        <f t="shared" ref="F51:F60" si="15">ROUND(B51*E51/10000,0)</f>
        <v>#DIV/0!</v>
      </c>
      <c r="G51" s="3721"/>
      <c r="H51" s="3710"/>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0.5</v>
      </c>
      <c r="D52" s="942">
        <v>0.25</v>
      </c>
      <c r="E52" s="642"/>
      <c r="F52" s="639" t="e">
        <f t="shared" si="15"/>
        <v>#DIV/0!</v>
      </c>
      <c r="G52" s="3002" t="s">
        <v>1892</v>
      </c>
      <c r="H52" s="884" t="str">
        <f>项目基本情况!B37</f>
        <v>八级</v>
      </c>
      <c r="I52" s="770">
        <f>SUMIF(修正!A57:A68,H52,修正!B57:B68)</f>
        <v>0.5</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0.2</v>
      </c>
      <c r="D53" s="942">
        <v>0.25</v>
      </c>
      <c r="E53" s="642"/>
      <c r="F53" s="639" t="e">
        <f t="shared" si="15"/>
        <v>#DIV/0!</v>
      </c>
      <c r="G53" s="3003"/>
      <c r="H53" s="884" t="str">
        <f>项目基本情况!B37</f>
        <v>八级</v>
      </c>
      <c r="I53" s="770">
        <f>SUMIF(修正!A57:A68,H53,修正!C57:C68)</f>
        <v>0.2</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v>
      </c>
      <c r="D54" s="942">
        <v>0.25</v>
      </c>
      <c r="E54" s="642"/>
      <c r="F54" s="639" t="e">
        <f t="shared" si="15"/>
        <v>#DIV/0!</v>
      </c>
      <c r="G54" s="3003"/>
      <c r="H54" s="884" t="str">
        <f>项目基本情况!B37</f>
        <v>八级</v>
      </c>
      <c r="I54" s="770">
        <f>SUMIF(修正!A57:A68,H54,修正!D57:D68)</f>
        <v>0.2</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v>
      </c>
      <c r="D59" s="942">
        <v>0.25</v>
      </c>
      <c r="E59" s="217">
        <f>'数据-汇总表'!E14</f>
        <v>0</v>
      </c>
      <c r="F59" s="639" t="e">
        <f t="shared" si="15"/>
        <v>#DIV/0!</v>
      </c>
      <c r="G59" s="1983" t="s">
        <v>1892</v>
      </c>
      <c r="H59" s="884" t="str">
        <f>项目基本情况!B37</f>
        <v>八级</v>
      </c>
      <c r="I59" s="770">
        <f>SUMIF(修正!A57:A68,H59,修正!G57:G68)</f>
        <v>0.1</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0</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3870</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2024-7-1</v>
      </c>
      <c r="D63" s="689">
        <f>EDATE(C63,-3)</f>
        <v>45383</v>
      </c>
      <c r="E63" s="689">
        <f>EDATE(D63,-3)</f>
        <v>45292</v>
      </c>
      <c r="F63" s="689">
        <f t="shared" ref="F63:O63" si="18">EDATE(E63,-3)</f>
        <v>45200</v>
      </c>
      <c r="G63" s="689">
        <f t="shared" si="18"/>
        <v>45108</v>
      </c>
      <c r="H63" s="689">
        <f t="shared" si="18"/>
        <v>45017</v>
      </c>
      <c r="I63" s="689">
        <f t="shared" si="18"/>
        <v>44927</v>
      </c>
      <c r="J63" s="689">
        <f t="shared" si="18"/>
        <v>44835</v>
      </c>
      <c r="K63" s="689">
        <f t="shared" si="18"/>
        <v>44743</v>
      </c>
      <c r="L63" s="689">
        <f t="shared" si="18"/>
        <v>44652</v>
      </c>
      <c r="M63" s="689">
        <f t="shared" si="18"/>
        <v>44562</v>
      </c>
      <c r="N63" s="689">
        <f t="shared" si="18"/>
        <v>44470</v>
      </c>
      <c r="O63" s="689">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7" priority="18" stopIfTrue="1" operator="containsText" text="超过">
      <formula>NOT(ISERROR(SEARCH("超过",F46)))</formula>
    </cfRule>
  </conditionalFormatting>
  <conditionalFormatting sqref="J48">
    <cfRule type="containsText" dxfId="56" priority="17" stopIfTrue="1" operator="containsText" text="超过">
      <formula>NOT(ISERROR(SEARCH("超过",J48)))</formula>
    </cfRule>
  </conditionalFormatting>
  <conditionalFormatting sqref="H48">
    <cfRule type="containsText" dxfId="55" priority="16" stopIfTrue="1" operator="containsText" text="超过">
      <formula>NOT(ISERROR(SEARCH("超过",H48)))</formula>
    </cfRule>
  </conditionalFormatting>
  <conditionalFormatting sqref="F48">
    <cfRule type="containsText" dxfId="54" priority="15" stopIfTrue="1" operator="containsText" text="超过">
      <formula>NOT(ISERROR(SEARCH("超过",F48)))</formula>
    </cfRule>
  </conditionalFormatting>
  <conditionalFormatting sqref="F47 H47 J47">
    <cfRule type="containsText" dxfId="53" priority="14" stopIfTrue="1" operator="containsText" text="超过">
      <formula>NOT(ISERROR(SEARCH("超过",F47)))</formula>
    </cfRule>
  </conditionalFormatting>
  <conditionalFormatting sqref="E46">
    <cfRule type="expression" dxfId="52" priority="13" stopIfTrue="1">
      <formula>$F$46="超过30%"</formula>
    </cfRule>
  </conditionalFormatting>
  <conditionalFormatting sqref="G48">
    <cfRule type="expression" dxfId="51" priority="12" stopIfTrue="1">
      <formula>$H$48="超过30%"</formula>
    </cfRule>
  </conditionalFormatting>
  <conditionalFormatting sqref="E48">
    <cfRule type="expression" dxfId="50" priority="10" stopIfTrue="1">
      <formula>$F$48="超过30%"</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E47">
    <cfRule type="expression" dxfId="44" priority="53" stopIfTrue="1">
      <formula>#REF!+$F$47="超过20%"</formula>
    </cfRule>
  </conditionalFormatting>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F7:F40 H7:H40 J7:J40">
    <cfRule type="cellIs" dxfId="4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1526</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1526</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71" t="s">
        <v>2610</v>
      </c>
      <c r="B20" s="3766" t="s">
        <v>2631</v>
      </c>
      <c r="C20" s="3099" t="s">
        <v>2442</v>
      </c>
      <c r="D20" s="3100"/>
      <c r="E20" s="3101">
        <v>1</v>
      </c>
      <c r="F20" s="3102" t="s">
        <v>2443</v>
      </c>
      <c r="G20" s="3102"/>
    </row>
    <row r="21" spans="1:13" ht="19.5" customHeight="1">
      <c r="A21" s="3772"/>
      <c r="B21" s="3765"/>
      <c r="C21" s="3103" t="s">
        <v>2444</v>
      </c>
      <c r="D21" s="3104"/>
      <c r="E21" s="3105">
        <v>1</v>
      </c>
      <c r="F21" s="3102" t="s">
        <v>2445</v>
      </c>
      <c r="G21" s="3102"/>
    </row>
    <row r="22" spans="1:13" ht="19.5" customHeight="1">
      <c r="A22" s="3772"/>
      <c r="B22" s="3765"/>
      <c r="C22" s="3103" t="s">
        <v>2446</v>
      </c>
      <c r="D22" s="3104"/>
      <c r="E22" s="3105">
        <v>0.9</v>
      </c>
      <c r="F22" s="3102" t="s">
        <v>2447</v>
      </c>
      <c r="G22" s="3102"/>
    </row>
    <row r="23" spans="1:13" ht="19.5" customHeight="1">
      <c r="A23" s="3772"/>
      <c r="B23" s="3765"/>
      <c r="C23" s="3103" t="s">
        <v>2448</v>
      </c>
      <c r="D23" s="3104"/>
      <c r="E23" s="3105">
        <v>0.9</v>
      </c>
      <c r="F23" s="3102" t="s">
        <v>2449</v>
      </c>
      <c r="G23" s="3102"/>
    </row>
    <row r="24" spans="1:13" ht="19.5" customHeight="1">
      <c r="A24" s="3772"/>
      <c r="B24" s="3765"/>
      <c r="C24" s="3103" t="s">
        <v>2450</v>
      </c>
      <c r="D24" s="3104"/>
      <c r="E24" s="3105">
        <v>0.8</v>
      </c>
      <c r="F24" s="3102" t="s">
        <v>2451</v>
      </c>
      <c r="G24" s="3102"/>
    </row>
    <row r="25" spans="1:13" ht="19.5" customHeight="1" thickBot="1">
      <c r="A25" s="3773"/>
      <c r="B25" s="3767"/>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68" t="s">
        <v>2634</v>
      </c>
      <c r="B27" s="3766" t="s">
        <v>2615</v>
      </c>
      <c r="C27" s="3099" t="s">
        <v>2455</v>
      </c>
      <c r="D27" s="3100"/>
      <c r="E27" s="3101">
        <v>1</v>
      </c>
      <c r="F27" s="3102" t="s">
        <v>2456</v>
      </c>
      <c r="G27" s="3102"/>
    </row>
    <row r="28" spans="1:13" ht="19.5" customHeight="1">
      <c r="A28" s="3769"/>
      <c r="B28" s="3765"/>
      <c r="C28" s="3103" t="s">
        <v>2457</v>
      </c>
      <c r="D28" s="3104"/>
      <c r="E28" s="3105">
        <v>1</v>
      </c>
      <c r="F28" s="3102" t="s">
        <v>2458</v>
      </c>
      <c r="G28" s="3102"/>
    </row>
    <row r="29" spans="1:13" ht="19.5" customHeight="1">
      <c r="A29" s="3769"/>
      <c r="B29" s="3765"/>
      <c r="C29" s="3103" t="s">
        <v>2459</v>
      </c>
      <c r="D29" s="3104"/>
      <c r="E29" s="3105">
        <v>0.8</v>
      </c>
      <c r="F29" s="3102" t="s">
        <v>2460</v>
      </c>
      <c r="G29" s="3102"/>
    </row>
    <row r="30" spans="1:13" ht="19.5" customHeight="1">
      <c r="A30" s="3769"/>
      <c r="B30" s="3765"/>
      <c r="C30" s="3103" t="s">
        <v>2461</v>
      </c>
      <c r="D30" s="3104"/>
      <c r="E30" s="3105">
        <v>0.8</v>
      </c>
      <c r="F30" s="3102" t="s">
        <v>2462</v>
      </c>
      <c r="G30" s="3102"/>
    </row>
    <row r="31" spans="1:13" ht="19.5" customHeight="1">
      <c r="A31" s="3769"/>
      <c r="B31" s="3765"/>
      <c r="C31" s="3103" t="s">
        <v>2463</v>
      </c>
      <c r="D31" s="3104"/>
      <c r="E31" s="3105">
        <v>0.8</v>
      </c>
      <c r="F31" s="3102" t="s">
        <v>2464</v>
      </c>
      <c r="G31" s="3102"/>
    </row>
    <row r="32" spans="1:13" ht="19.5" customHeight="1">
      <c r="A32" s="3769"/>
      <c r="B32" s="3765"/>
      <c r="C32" s="3103" t="s">
        <v>2465</v>
      </c>
      <c r="D32" s="3104"/>
      <c r="E32" s="3105">
        <v>0.7</v>
      </c>
      <c r="F32" s="3102" t="s">
        <v>2466</v>
      </c>
      <c r="G32" s="3102"/>
    </row>
    <row r="33" spans="1:7" ht="19.5" customHeight="1">
      <c r="A33" s="3769"/>
      <c r="B33" s="3765"/>
      <c r="C33" s="3103" t="s">
        <v>2467</v>
      </c>
      <c r="D33" s="3104"/>
      <c r="E33" s="3105">
        <v>0.8</v>
      </c>
      <c r="F33" s="3102" t="s">
        <v>2468</v>
      </c>
      <c r="G33" s="3102"/>
    </row>
    <row r="34" spans="1:7" ht="19.5" customHeight="1">
      <c r="A34" s="3769"/>
      <c r="B34" s="3765"/>
      <c r="C34" s="3103" t="s">
        <v>2469</v>
      </c>
      <c r="D34" s="3104"/>
      <c r="E34" s="3105">
        <v>0.6</v>
      </c>
      <c r="F34" s="3102" t="s">
        <v>2470</v>
      </c>
      <c r="G34" s="3102"/>
    </row>
    <row r="35" spans="1:7" ht="19.5" customHeight="1">
      <c r="A35" s="3769"/>
      <c r="B35" s="3765"/>
      <c r="C35" s="3103" t="s">
        <v>2471</v>
      </c>
      <c r="D35" s="3104"/>
      <c r="E35" s="3105">
        <v>0.2</v>
      </c>
      <c r="F35" s="3102" t="s">
        <v>2472</v>
      </c>
      <c r="G35" s="3102"/>
    </row>
    <row r="36" spans="1:7" ht="19.5" customHeight="1">
      <c r="A36" s="3769"/>
      <c r="B36" s="3765"/>
      <c r="C36" s="3103" t="s">
        <v>2473</v>
      </c>
      <c r="D36" s="3104"/>
      <c r="E36" s="3105">
        <v>0.2</v>
      </c>
      <c r="F36" s="3102" t="s">
        <v>2474</v>
      </c>
      <c r="G36" s="3102"/>
    </row>
    <row r="37" spans="1:7" ht="19.5" customHeight="1">
      <c r="A37" s="3769"/>
      <c r="B37" s="3763" t="s">
        <v>2635</v>
      </c>
      <c r="C37" s="3103" t="s">
        <v>2475</v>
      </c>
      <c r="D37" s="3104"/>
      <c r="E37" s="3105">
        <v>0.6</v>
      </c>
      <c r="F37" s="3102" t="s">
        <v>2476</v>
      </c>
      <c r="G37" s="3102"/>
    </row>
    <row r="38" spans="1:7" ht="19.5" customHeight="1">
      <c r="A38" s="3769"/>
      <c r="B38" s="3765"/>
      <c r="C38" s="3103" t="s">
        <v>2477</v>
      </c>
      <c r="D38" s="3104"/>
      <c r="E38" s="3105">
        <v>0.6</v>
      </c>
      <c r="F38" s="3102" t="s">
        <v>2478</v>
      </c>
      <c r="G38" s="3102"/>
    </row>
    <row r="39" spans="1:7" ht="19.5" customHeight="1" thickBot="1">
      <c r="A39" s="3770"/>
      <c r="B39" s="3767"/>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71" t="s">
        <v>2613</v>
      </c>
      <c r="B41" s="3766" t="s">
        <v>2637</v>
      </c>
      <c r="C41" s="3099" t="s">
        <v>2482</v>
      </c>
      <c r="D41" s="3100"/>
      <c r="E41" s="3101">
        <v>1</v>
      </c>
      <c r="F41" s="3102" t="s">
        <v>2483</v>
      </c>
      <c r="G41" s="3102"/>
    </row>
    <row r="42" spans="1:7" ht="19.5" customHeight="1">
      <c r="A42" s="3772"/>
      <c r="B42" s="3765"/>
      <c r="C42" s="3103" t="s">
        <v>2484</v>
      </c>
      <c r="D42" s="3104"/>
      <c r="E42" s="3105">
        <v>1</v>
      </c>
      <c r="F42" s="3102" t="s">
        <v>2485</v>
      </c>
      <c r="G42" s="3102"/>
    </row>
    <row r="43" spans="1:7" ht="19.5" customHeight="1">
      <c r="A43" s="3772"/>
      <c r="B43" s="3764"/>
      <c r="C43" s="3103" t="s">
        <v>2486</v>
      </c>
      <c r="D43" s="3104"/>
      <c r="E43" s="3105">
        <v>1.5</v>
      </c>
      <c r="F43" s="3102" t="s">
        <v>2487</v>
      </c>
      <c r="G43" s="3102"/>
    </row>
    <row r="44" spans="1:7" ht="19.5" customHeight="1">
      <c r="A44" s="3772"/>
      <c r="B44" s="3114" t="s">
        <v>2638</v>
      </c>
      <c r="C44" s="3103" t="s">
        <v>2639</v>
      </c>
      <c r="D44" s="3104"/>
      <c r="E44" s="3105">
        <v>2</v>
      </c>
      <c r="F44" s="3102" t="s">
        <v>2488</v>
      </c>
      <c r="G44" s="3102"/>
    </row>
    <row r="45" spans="1:7" ht="19.5" customHeight="1">
      <c r="A45" s="3772"/>
      <c r="B45" s="3763" t="s">
        <v>2640</v>
      </c>
      <c r="C45" s="3103" t="s">
        <v>2489</v>
      </c>
      <c r="D45" s="3104"/>
      <c r="E45" s="3105">
        <v>1</v>
      </c>
      <c r="F45" s="3102" t="s">
        <v>2490</v>
      </c>
      <c r="G45" s="3102"/>
    </row>
    <row r="46" spans="1:7" ht="19.5" customHeight="1">
      <c r="A46" s="3772"/>
      <c r="B46" s="3765"/>
      <c r="C46" s="3103" t="s">
        <v>2491</v>
      </c>
      <c r="D46" s="3104"/>
      <c r="E46" s="3105">
        <v>1</v>
      </c>
      <c r="F46" s="3102" t="s">
        <v>2492</v>
      </c>
      <c r="G46" s="3102"/>
    </row>
    <row r="47" spans="1:7" ht="19.5" customHeight="1">
      <c r="A47" s="3772"/>
      <c r="B47" s="3765"/>
      <c r="C47" s="3103" t="s">
        <v>2493</v>
      </c>
      <c r="D47" s="3104"/>
      <c r="E47" s="3105">
        <v>1</v>
      </c>
      <c r="F47" s="3102" t="s">
        <v>2494</v>
      </c>
      <c r="G47" s="3102"/>
    </row>
    <row r="48" spans="1:7" ht="19.5" customHeight="1">
      <c r="A48" s="3772"/>
      <c r="B48" s="3765"/>
      <c r="C48" s="3103" t="s">
        <v>2495</v>
      </c>
      <c r="D48" s="3104"/>
      <c r="E48" s="3105">
        <v>1</v>
      </c>
      <c r="F48" s="3102" t="s">
        <v>2496</v>
      </c>
      <c r="G48" s="3102"/>
    </row>
    <row r="49" spans="1:7" ht="19.5" customHeight="1">
      <c r="A49" s="3772"/>
      <c r="B49" s="3765"/>
      <c r="C49" s="3103" t="s">
        <v>2497</v>
      </c>
      <c r="D49" s="3104"/>
      <c r="E49" s="3105">
        <v>1</v>
      </c>
      <c r="F49" s="3102" t="s">
        <v>2498</v>
      </c>
      <c r="G49" s="3102"/>
    </row>
    <row r="50" spans="1:7" ht="19.5" customHeight="1">
      <c r="A50" s="3772"/>
      <c r="B50" s="3765"/>
      <c r="C50" s="3103" t="s">
        <v>2499</v>
      </c>
      <c r="D50" s="3104"/>
      <c r="E50" s="3105">
        <v>1</v>
      </c>
      <c r="F50" s="3102" t="s">
        <v>2500</v>
      </c>
      <c r="G50" s="3102"/>
    </row>
    <row r="51" spans="1:7" ht="19.5" customHeight="1" thickBot="1">
      <c r="A51" s="3773"/>
      <c r="B51" s="3767"/>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63" t="s">
        <v>2654</v>
      </c>
      <c r="C73" s="3088" t="s">
        <v>2655</v>
      </c>
      <c r="D73" s="3088" t="s">
        <v>2656</v>
      </c>
      <c r="E73" s="3114">
        <v>0.2</v>
      </c>
      <c r="F73" s="3114">
        <v>25</v>
      </c>
    </row>
    <row r="74" spans="1:7" ht="24">
      <c r="A74" s="3114">
        <v>2</v>
      </c>
      <c r="B74" s="3765"/>
      <c r="C74" s="3088" t="s">
        <v>2657</v>
      </c>
      <c r="D74" s="3088" t="s">
        <v>2658</v>
      </c>
      <c r="E74" s="3114">
        <v>0.2</v>
      </c>
      <c r="F74" s="3114">
        <v>25</v>
      </c>
    </row>
    <row r="75" spans="1:7" ht="24">
      <c r="A75" s="3114">
        <v>3</v>
      </c>
      <c r="B75" s="3765"/>
      <c r="C75" s="3088" t="s">
        <v>2659</v>
      </c>
      <c r="D75" s="3088" t="s">
        <v>2660</v>
      </c>
      <c r="E75" s="3114">
        <v>0.2</v>
      </c>
      <c r="F75" s="3114">
        <v>25</v>
      </c>
    </row>
    <row r="76" spans="1:7" ht="13.5">
      <c r="A76" s="3114">
        <v>4</v>
      </c>
      <c r="B76" s="3765"/>
      <c r="C76" s="3088" t="s">
        <v>2661</v>
      </c>
      <c r="D76" s="3088" t="s">
        <v>2662</v>
      </c>
      <c r="E76" s="3114">
        <v>0.15</v>
      </c>
      <c r="F76" s="3114">
        <v>20</v>
      </c>
    </row>
    <row r="77" spans="1:7" ht="24">
      <c r="A77" s="3114">
        <v>5</v>
      </c>
      <c r="B77" s="3765"/>
      <c r="C77" s="3088" t="s">
        <v>2663</v>
      </c>
      <c r="D77" s="3088" t="s">
        <v>2664</v>
      </c>
      <c r="E77" s="3114">
        <v>0.15</v>
      </c>
      <c r="F77" s="3114">
        <v>20</v>
      </c>
    </row>
    <row r="78" spans="1:7" ht="24">
      <c r="A78" s="3114">
        <v>6</v>
      </c>
      <c r="B78" s="3765"/>
      <c r="C78" s="3088" t="s">
        <v>2665</v>
      </c>
      <c r="D78" s="3088" t="s">
        <v>2666</v>
      </c>
      <c r="E78" s="3114">
        <v>0.15</v>
      </c>
      <c r="F78" s="3114">
        <v>20</v>
      </c>
    </row>
    <row r="79" spans="1:7" ht="24">
      <c r="A79" s="3114">
        <v>7</v>
      </c>
      <c r="B79" s="3765"/>
      <c r="C79" s="3088" t="s">
        <v>2667</v>
      </c>
      <c r="D79" s="3088" t="s">
        <v>2668</v>
      </c>
      <c r="E79" s="3114">
        <v>0.15</v>
      </c>
      <c r="F79" s="3114">
        <v>20</v>
      </c>
    </row>
    <row r="80" spans="1:7" ht="24">
      <c r="A80" s="3114">
        <v>8</v>
      </c>
      <c r="B80" s="3765"/>
      <c r="C80" s="3088" t="s">
        <v>2669</v>
      </c>
      <c r="D80" s="3088" t="s">
        <v>2670</v>
      </c>
      <c r="E80" s="3114">
        <v>0.1</v>
      </c>
      <c r="F80" s="3114">
        <v>15</v>
      </c>
    </row>
    <row r="81" spans="1:6" ht="24">
      <c r="A81" s="3114">
        <v>9</v>
      </c>
      <c r="B81" s="3765"/>
      <c r="C81" s="3088" t="s">
        <v>2671</v>
      </c>
      <c r="D81" s="3088" t="s">
        <v>2672</v>
      </c>
      <c r="E81" s="3114">
        <v>0.1</v>
      </c>
      <c r="F81" s="3114">
        <v>15</v>
      </c>
    </row>
    <row r="82" spans="1:6" ht="24">
      <c r="A82" s="3114">
        <v>10</v>
      </c>
      <c r="B82" s="3765"/>
      <c r="C82" s="3088" t="s">
        <v>2673</v>
      </c>
      <c r="D82" s="3088" t="s">
        <v>2674</v>
      </c>
      <c r="E82" s="3114">
        <v>0.1</v>
      </c>
      <c r="F82" s="3114">
        <v>15</v>
      </c>
    </row>
    <row r="83" spans="1:6" ht="24">
      <c r="A83" s="3114">
        <v>11</v>
      </c>
      <c r="B83" s="3765"/>
      <c r="C83" s="3088" t="s">
        <v>2675</v>
      </c>
      <c r="D83" s="3088" t="s">
        <v>2676</v>
      </c>
      <c r="E83" s="3114">
        <v>0.1</v>
      </c>
      <c r="F83" s="3114">
        <v>15</v>
      </c>
    </row>
    <row r="84" spans="1:6" ht="24">
      <c r="A84" s="3114">
        <v>12</v>
      </c>
      <c r="B84" s="3765"/>
      <c r="C84" s="3088" t="s">
        <v>2677</v>
      </c>
      <c r="D84" s="3088" t="s">
        <v>2678</v>
      </c>
      <c r="E84" s="3114">
        <v>0.1</v>
      </c>
      <c r="F84" s="3114">
        <v>15</v>
      </c>
    </row>
    <row r="85" spans="1:6" ht="13.5">
      <c r="A85" s="3114">
        <v>13</v>
      </c>
      <c r="B85" s="3765"/>
      <c r="C85" s="3088" t="s">
        <v>2679</v>
      </c>
      <c r="D85" s="3088" t="s">
        <v>2680</v>
      </c>
      <c r="E85" s="3114">
        <v>0.1</v>
      </c>
      <c r="F85" s="3114">
        <v>15</v>
      </c>
    </row>
    <row r="86" spans="1:6" ht="13.5">
      <c r="A86" s="3114">
        <v>14</v>
      </c>
      <c r="B86" s="3765"/>
      <c r="C86" s="3088" t="s">
        <v>2681</v>
      </c>
      <c r="D86" s="3088" t="s">
        <v>2682</v>
      </c>
      <c r="E86" s="3114">
        <v>0.1</v>
      </c>
      <c r="F86" s="3114">
        <v>15</v>
      </c>
    </row>
    <row r="87" spans="1:6" ht="13.5">
      <c r="A87" s="3114">
        <v>15</v>
      </c>
      <c r="B87" s="3765"/>
      <c r="C87" s="3088" t="s">
        <v>2683</v>
      </c>
      <c r="D87" s="3088" t="s">
        <v>2684</v>
      </c>
      <c r="E87" s="3114">
        <v>0.1</v>
      </c>
      <c r="F87" s="3114">
        <v>15</v>
      </c>
    </row>
    <row r="88" spans="1:6" ht="24">
      <c r="A88" s="3114">
        <v>16</v>
      </c>
      <c r="B88" s="3765"/>
      <c r="C88" s="3088" t="s">
        <v>2685</v>
      </c>
      <c r="D88" s="3088" t="s">
        <v>2686</v>
      </c>
      <c r="E88" s="3114">
        <v>0.1</v>
      </c>
      <c r="F88" s="3114">
        <v>15</v>
      </c>
    </row>
    <row r="89" spans="1:6" ht="24">
      <c r="A89" s="3114">
        <v>17</v>
      </c>
      <c r="B89" s="3764"/>
      <c r="C89" s="3088" t="s">
        <v>2687</v>
      </c>
      <c r="D89" s="3088" t="s">
        <v>2688</v>
      </c>
      <c r="E89" s="3114">
        <v>0.1</v>
      </c>
      <c r="F89" s="3114">
        <v>15</v>
      </c>
    </row>
    <row r="90" spans="1:6" ht="13.5">
      <c r="A90" s="3114">
        <v>18</v>
      </c>
      <c r="B90" s="3763" t="s">
        <v>2689</v>
      </c>
      <c r="C90" s="3088" t="s">
        <v>2690</v>
      </c>
      <c r="D90" s="3088" t="s">
        <v>2691</v>
      </c>
      <c r="E90" s="3114">
        <v>0.2</v>
      </c>
      <c r="F90" s="3114">
        <v>25</v>
      </c>
    </row>
    <row r="91" spans="1:6" ht="24">
      <c r="A91" s="3114">
        <v>19</v>
      </c>
      <c r="B91" s="3765"/>
      <c r="C91" s="3088" t="s">
        <v>2692</v>
      </c>
      <c r="D91" s="3088" t="s">
        <v>2693</v>
      </c>
      <c r="E91" s="3114">
        <v>0.2</v>
      </c>
      <c r="F91" s="3114">
        <v>25</v>
      </c>
    </row>
    <row r="92" spans="1:6" ht="13.5">
      <c r="A92" s="3114">
        <v>20</v>
      </c>
      <c r="B92" s="3765"/>
      <c r="C92" s="3088" t="s">
        <v>2694</v>
      </c>
      <c r="D92" s="3088" t="s">
        <v>2695</v>
      </c>
      <c r="E92" s="3114">
        <v>0.15</v>
      </c>
      <c r="F92" s="3114">
        <v>20</v>
      </c>
    </row>
    <row r="93" spans="1:6" ht="13.5">
      <c r="A93" s="3114">
        <v>21</v>
      </c>
      <c r="B93" s="3765"/>
      <c r="C93" s="3088" t="s">
        <v>2696</v>
      </c>
      <c r="D93" s="3088" t="s">
        <v>2697</v>
      </c>
      <c r="E93" s="3114">
        <v>0.15</v>
      </c>
      <c r="F93" s="3114">
        <v>20</v>
      </c>
    </row>
    <row r="94" spans="1:6" ht="13.5">
      <c r="A94" s="3114">
        <v>22</v>
      </c>
      <c r="B94" s="3765"/>
      <c r="C94" s="3088" t="s">
        <v>2698</v>
      </c>
      <c r="D94" s="3088" t="s">
        <v>2699</v>
      </c>
      <c r="E94" s="3114">
        <v>0.15</v>
      </c>
      <c r="F94" s="3114">
        <v>20</v>
      </c>
    </row>
    <row r="95" spans="1:6" ht="36">
      <c r="A95" s="3114">
        <v>23</v>
      </c>
      <c r="B95" s="3765"/>
      <c r="C95" s="3088" t="s">
        <v>2700</v>
      </c>
      <c r="D95" s="3088" t="s">
        <v>2701</v>
      </c>
      <c r="E95" s="3114">
        <v>0.15</v>
      </c>
      <c r="F95" s="3114">
        <v>20</v>
      </c>
    </row>
    <row r="96" spans="1:6" ht="13.5">
      <c r="A96" s="3114">
        <v>24</v>
      </c>
      <c r="B96" s="3765"/>
      <c r="C96" s="3088" t="s">
        <v>2702</v>
      </c>
      <c r="D96" s="3088" t="s">
        <v>2703</v>
      </c>
      <c r="E96" s="3114">
        <v>0.1</v>
      </c>
      <c r="F96" s="3114">
        <v>15</v>
      </c>
    </row>
    <row r="97" spans="1:6" ht="13.5">
      <c r="A97" s="3114">
        <v>25</v>
      </c>
      <c r="B97" s="3765"/>
      <c r="C97" s="3088" t="s">
        <v>2704</v>
      </c>
      <c r="D97" s="3088" t="s">
        <v>2705</v>
      </c>
      <c r="E97" s="3114">
        <v>0.1</v>
      </c>
      <c r="F97" s="3114">
        <v>15</v>
      </c>
    </row>
    <row r="98" spans="1:6" ht="24">
      <c r="A98" s="3114">
        <v>26</v>
      </c>
      <c r="B98" s="3765"/>
      <c r="C98" s="3088" t="s">
        <v>2706</v>
      </c>
      <c r="D98" s="3088" t="s">
        <v>2707</v>
      </c>
      <c r="E98" s="3114">
        <v>0.1</v>
      </c>
      <c r="F98" s="3114">
        <v>15</v>
      </c>
    </row>
    <row r="99" spans="1:6" ht="24">
      <c r="A99" s="3114">
        <v>27</v>
      </c>
      <c r="B99" s="3765"/>
      <c r="C99" s="3088" t="s">
        <v>2708</v>
      </c>
      <c r="D99" s="3088" t="s">
        <v>2709</v>
      </c>
      <c r="E99" s="3114">
        <v>0.1</v>
      </c>
      <c r="F99" s="3114">
        <v>15</v>
      </c>
    </row>
    <row r="100" spans="1:6" ht="13.5">
      <c r="A100" s="3114">
        <v>28</v>
      </c>
      <c r="B100" s="3765"/>
      <c r="C100" s="3088" t="s">
        <v>2710</v>
      </c>
      <c r="D100" s="3088" t="s">
        <v>2711</v>
      </c>
      <c r="E100" s="3114">
        <v>0.1</v>
      </c>
      <c r="F100" s="3114">
        <v>15</v>
      </c>
    </row>
    <row r="101" spans="1:6" ht="13.5">
      <c r="A101" s="3114">
        <v>29</v>
      </c>
      <c r="B101" s="3765"/>
      <c r="C101" s="3088" t="s">
        <v>2712</v>
      </c>
      <c r="D101" s="3088" t="s">
        <v>2713</v>
      </c>
      <c r="E101" s="3114">
        <v>0.1</v>
      </c>
      <c r="F101" s="3114">
        <v>15</v>
      </c>
    </row>
    <row r="102" spans="1:6" ht="13.5">
      <c r="A102" s="3114">
        <v>30</v>
      </c>
      <c r="B102" s="3765"/>
      <c r="C102" s="3088" t="s">
        <v>2714</v>
      </c>
      <c r="D102" s="3088" t="s">
        <v>2715</v>
      </c>
      <c r="E102" s="3114">
        <v>0.1</v>
      </c>
      <c r="F102" s="3114">
        <v>15</v>
      </c>
    </row>
    <row r="103" spans="1:6" ht="24">
      <c r="A103" s="3114">
        <v>31</v>
      </c>
      <c r="B103" s="3765"/>
      <c r="C103" s="3088" t="s">
        <v>2716</v>
      </c>
      <c r="D103" s="3088" t="s">
        <v>2717</v>
      </c>
      <c r="E103" s="3114">
        <v>0.1</v>
      </c>
      <c r="F103" s="3114">
        <v>15</v>
      </c>
    </row>
    <row r="104" spans="1:6" ht="24">
      <c r="A104" s="3114">
        <v>32</v>
      </c>
      <c r="B104" s="3765"/>
      <c r="C104" s="3088" t="s">
        <v>2718</v>
      </c>
      <c r="D104" s="3088" t="s">
        <v>2719</v>
      </c>
      <c r="E104" s="3114">
        <v>0.1</v>
      </c>
      <c r="F104" s="3114">
        <v>15</v>
      </c>
    </row>
    <row r="105" spans="1:6" ht="24">
      <c r="A105" s="3114">
        <v>33</v>
      </c>
      <c r="B105" s="3765"/>
      <c r="C105" s="3088" t="s">
        <v>2720</v>
      </c>
      <c r="D105" s="3088" t="s">
        <v>2721</v>
      </c>
      <c r="E105" s="3114">
        <v>0.1</v>
      </c>
      <c r="F105" s="3114">
        <v>15</v>
      </c>
    </row>
    <row r="106" spans="1:6" ht="24">
      <c r="A106" s="3114">
        <v>34</v>
      </c>
      <c r="B106" s="3764"/>
      <c r="C106" s="3088" t="s">
        <v>2722</v>
      </c>
      <c r="D106" s="3088" t="s">
        <v>2723</v>
      </c>
      <c r="E106" s="3114">
        <v>0.1</v>
      </c>
      <c r="F106" s="3114">
        <v>15</v>
      </c>
    </row>
    <row r="107" spans="1:6" ht="24">
      <c r="A107" s="3114">
        <v>35</v>
      </c>
      <c r="B107" s="3763" t="s">
        <v>2724</v>
      </c>
      <c r="C107" s="3114" t="s">
        <v>2725</v>
      </c>
      <c r="D107" s="3088" t="s">
        <v>2726</v>
      </c>
      <c r="E107" s="3114">
        <v>0.15</v>
      </c>
      <c r="F107" s="3114">
        <v>20</v>
      </c>
    </row>
    <row r="108" spans="1:6" ht="13.5">
      <c r="A108" s="3114">
        <v>36</v>
      </c>
      <c r="B108" s="3765"/>
      <c r="C108" s="3114" t="s">
        <v>2727</v>
      </c>
      <c r="D108" s="3088" t="s">
        <v>2728</v>
      </c>
      <c r="E108" s="3114">
        <v>0.15</v>
      </c>
      <c r="F108" s="3114">
        <v>20</v>
      </c>
    </row>
    <row r="109" spans="1:6" ht="13.5">
      <c r="A109" s="3114">
        <v>37</v>
      </c>
      <c r="B109" s="3765"/>
      <c r="C109" s="3114" t="s">
        <v>2729</v>
      </c>
      <c r="D109" s="3088" t="s">
        <v>2730</v>
      </c>
      <c r="E109" s="3114">
        <v>0.15</v>
      </c>
      <c r="F109" s="3114">
        <v>20</v>
      </c>
    </row>
    <row r="110" spans="1:6" ht="13.5">
      <c r="A110" s="3114">
        <v>38</v>
      </c>
      <c r="B110" s="3765"/>
      <c r="C110" s="3114" t="s">
        <v>2731</v>
      </c>
      <c r="D110" s="3088" t="s">
        <v>2732</v>
      </c>
      <c r="E110" s="3114">
        <v>0.1</v>
      </c>
      <c r="F110" s="3114">
        <v>15</v>
      </c>
    </row>
    <row r="111" spans="1:6" ht="24">
      <c r="A111" s="3114">
        <v>39</v>
      </c>
      <c r="B111" s="3765"/>
      <c r="C111" s="3114" t="s">
        <v>2733</v>
      </c>
      <c r="D111" s="3088" t="s">
        <v>2734</v>
      </c>
      <c r="E111" s="3114">
        <v>0.1</v>
      </c>
      <c r="F111" s="3114">
        <v>15</v>
      </c>
    </row>
    <row r="112" spans="1:6" ht="24">
      <c r="A112" s="3114">
        <v>40</v>
      </c>
      <c r="B112" s="3764"/>
      <c r="C112" s="3114" t="s">
        <v>2735</v>
      </c>
      <c r="D112" s="3088" t="s">
        <v>2736</v>
      </c>
      <c r="E112" s="3114">
        <v>0.1</v>
      </c>
      <c r="F112" s="3114">
        <v>15</v>
      </c>
    </row>
    <row r="113" spans="1:6" ht="13.5">
      <c r="A113" s="3114">
        <v>41</v>
      </c>
      <c r="B113" s="3762" t="s">
        <v>2737</v>
      </c>
      <c r="C113" s="3114" t="s">
        <v>2738</v>
      </c>
      <c r="D113" s="3088" t="s">
        <v>2739</v>
      </c>
      <c r="E113" s="3114">
        <v>0.1</v>
      </c>
      <c r="F113" s="3114">
        <v>15</v>
      </c>
    </row>
    <row r="114" spans="1:6" ht="13.5">
      <c r="A114" s="3114">
        <v>42</v>
      </c>
      <c r="B114" s="3762"/>
      <c r="C114" s="3114" t="s">
        <v>2740</v>
      </c>
      <c r="D114" s="3088" t="s">
        <v>2741</v>
      </c>
      <c r="E114" s="3114">
        <v>0.1</v>
      </c>
      <c r="F114" s="3114">
        <v>15</v>
      </c>
    </row>
    <row r="115" spans="1:6" ht="24">
      <c r="A115" s="3114">
        <v>43</v>
      </c>
      <c r="B115" s="3762"/>
      <c r="C115" s="3114" t="s">
        <v>2742</v>
      </c>
      <c r="D115" s="3088" t="s">
        <v>2743</v>
      </c>
      <c r="E115" s="3114">
        <v>0.1</v>
      </c>
      <c r="F115" s="3114">
        <v>15</v>
      </c>
    </row>
    <row r="116" spans="1:6" ht="13.5">
      <c r="A116" s="3114">
        <v>44</v>
      </c>
      <c r="B116" s="3763" t="s">
        <v>2744</v>
      </c>
      <c r="C116" s="3114" t="s">
        <v>2745</v>
      </c>
      <c r="D116" s="3088" t="s">
        <v>2746</v>
      </c>
      <c r="E116" s="3114">
        <v>0.1</v>
      </c>
      <c r="F116" s="3114">
        <v>15</v>
      </c>
    </row>
    <row r="117" spans="1:6" ht="24">
      <c r="A117" s="3114">
        <v>45</v>
      </c>
      <c r="B117" s="3764"/>
      <c r="C117" s="3088" t="s">
        <v>2747</v>
      </c>
      <c r="D117" s="3088" t="s">
        <v>2748</v>
      </c>
      <c r="E117" s="3114">
        <v>0.1</v>
      </c>
      <c r="F117" s="3114">
        <v>15</v>
      </c>
    </row>
    <row r="118" spans="1:6" ht="24">
      <c r="A118" s="3114">
        <v>46</v>
      </c>
      <c r="B118" s="3763" t="s">
        <v>2749</v>
      </c>
      <c r="C118" s="3114" t="s">
        <v>2750</v>
      </c>
      <c r="D118" s="3088" t="s">
        <v>2751</v>
      </c>
      <c r="E118" s="3114">
        <v>0.1</v>
      </c>
      <c r="F118" s="3114">
        <v>15</v>
      </c>
    </row>
    <row r="119" spans="1:6" ht="24">
      <c r="A119" s="3114">
        <v>47</v>
      </c>
      <c r="B119" s="3764"/>
      <c r="C119" s="3114" t="s">
        <v>2752</v>
      </c>
      <c r="D119" s="3088" t="s">
        <v>2753</v>
      </c>
      <c r="E119" s="3114">
        <v>0.1</v>
      </c>
      <c r="F119" s="3114">
        <v>15</v>
      </c>
    </row>
    <row r="120" spans="1:6" ht="13.5">
      <c r="A120" s="3114">
        <v>48</v>
      </c>
      <c r="B120" s="3763" t="s">
        <v>2754</v>
      </c>
      <c r="C120" s="3114" t="s">
        <v>2755</v>
      </c>
      <c r="D120" s="3088" t="s">
        <v>2756</v>
      </c>
      <c r="E120" s="3114">
        <v>0.1</v>
      </c>
      <c r="F120" s="3114">
        <v>15</v>
      </c>
    </row>
    <row r="121" spans="1:6" ht="13.5">
      <c r="A121" s="3114">
        <v>49</v>
      </c>
      <c r="B121" s="3764"/>
      <c r="C121" s="3114" t="s">
        <v>2757</v>
      </c>
      <c r="D121" s="3088" t="s">
        <v>2758</v>
      </c>
      <c r="E121" s="3114">
        <v>0.1</v>
      </c>
      <c r="F121" s="3114">
        <v>15</v>
      </c>
    </row>
    <row r="122" spans="1:6" ht="24">
      <c r="A122" s="3114">
        <v>50</v>
      </c>
      <c r="B122" s="3762" t="s">
        <v>2759</v>
      </c>
      <c r="C122" s="3114" t="s">
        <v>2760</v>
      </c>
      <c r="D122" s="3088" t="s">
        <v>2761</v>
      </c>
      <c r="E122" s="3114">
        <v>0.1</v>
      </c>
      <c r="F122" s="3114">
        <v>15</v>
      </c>
    </row>
    <row r="123" spans="1:6" ht="24">
      <c r="A123" s="3114">
        <v>51</v>
      </c>
      <c r="B123" s="3762"/>
      <c r="C123" s="3114" t="s">
        <v>2762</v>
      </c>
      <c r="D123" s="3088" t="s">
        <v>2763</v>
      </c>
      <c r="E123" s="3114">
        <v>0.1</v>
      </c>
      <c r="F123" s="3114">
        <v>15</v>
      </c>
    </row>
    <row r="124" spans="1:6" ht="24">
      <c r="A124" s="3114">
        <v>52</v>
      </c>
      <c r="B124" s="3762" t="s">
        <v>2764</v>
      </c>
      <c r="C124" s="3114" t="s">
        <v>2765</v>
      </c>
      <c r="D124" s="3088" t="s">
        <v>2766</v>
      </c>
      <c r="E124" s="3114">
        <v>0.1</v>
      </c>
      <c r="F124" s="3114">
        <v>15</v>
      </c>
    </row>
    <row r="125" spans="1:6" ht="24">
      <c r="A125" s="3114">
        <v>53</v>
      </c>
      <c r="B125" s="3762"/>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62" t="s">
        <v>2772</v>
      </c>
      <c r="C127" s="3114" t="s">
        <v>2773</v>
      </c>
      <c r="D127" s="3088" t="s">
        <v>2774</v>
      </c>
      <c r="E127" s="3114">
        <v>0.1</v>
      </c>
      <c r="F127" s="3114">
        <v>15</v>
      </c>
    </row>
    <row r="128" spans="1:6" ht="13.5">
      <c r="A128" s="3114">
        <v>56</v>
      </c>
      <c r="B128" s="3762"/>
      <c r="C128" s="3114" t="s">
        <v>2775</v>
      </c>
      <c r="D128" s="3088" t="s">
        <v>2776</v>
      </c>
      <c r="E128" s="3114">
        <v>0.1</v>
      </c>
      <c r="F128" s="3114">
        <v>15</v>
      </c>
    </row>
    <row r="129" spans="1:6" ht="24">
      <c r="A129" s="3114">
        <v>57</v>
      </c>
      <c r="B129" s="3762"/>
      <c r="C129" s="3114" t="s">
        <v>2777</v>
      </c>
      <c r="D129" s="3088" t="s">
        <v>2778</v>
      </c>
      <c r="E129" s="3114">
        <v>0.1</v>
      </c>
      <c r="F129" s="3114">
        <v>15</v>
      </c>
    </row>
    <row r="130" spans="1:6" ht="24">
      <c r="A130" s="3114">
        <v>58</v>
      </c>
      <c r="B130" s="3762" t="s">
        <v>2779</v>
      </c>
      <c r="C130" s="3114" t="s">
        <v>2780</v>
      </c>
      <c r="D130" s="3088" t="s">
        <v>2781</v>
      </c>
      <c r="E130" s="3114">
        <v>0.1</v>
      </c>
      <c r="F130" s="3114">
        <v>15</v>
      </c>
    </row>
    <row r="131" spans="1:6" ht="13.5">
      <c r="A131" s="3114">
        <v>59</v>
      </c>
      <c r="B131" s="3762"/>
      <c r="C131" s="3114" t="s">
        <v>2782</v>
      </c>
      <c r="D131" s="3088" t="s">
        <v>2783</v>
      </c>
      <c r="E131" s="3114">
        <v>0.1</v>
      </c>
      <c r="F131" s="3114">
        <v>15</v>
      </c>
    </row>
    <row r="132" spans="1:6" ht="13.5">
      <c r="A132" s="3114">
        <v>60</v>
      </c>
      <c r="B132" s="3763" t="s">
        <v>2784</v>
      </c>
      <c r="C132" s="3114" t="s">
        <v>2785</v>
      </c>
      <c r="D132" s="3088" t="s">
        <v>2786</v>
      </c>
      <c r="E132" s="3114">
        <v>0.1</v>
      </c>
      <c r="F132" s="3114">
        <v>15</v>
      </c>
    </row>
    <row r="133" spans="1:6" ht="13.5">
      <c r="A133" s="3114">
        <v>61</v>
      </c>
      <c r="B133" s="3764"/>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62" t="s">
        <v>2792</v>
      </c>
      <c r="C135" s="3114" t="s">
        <v>2793</v>
      </c>
      <c r="D135" s="3088" t="s">
        <v>2794</v>
      </c>
      <c r="E135" s="3114">
        <v>0.1</v>
      </c>
      <c r="F135" s="3114">
        <v>15</v>
      </c>
    </row>
    <row r="136" spans="1:6" ht="13.5">
      <c r="A136" s="3114">
        <v>64</v>
      </c>
      <c r="B136" s="3762"/>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2801</v>
      </c>
      <c r="B1" s="3123"/>
      <c r="C1" s="3123"/>
      <c r="D1" s="3123"/>
      <c r="E1" s="3123"/>
      <c r="F1" s="3123"/>
      <c r="G1" s="3123"/>
      <c r="H1" s="3123"/>
      <c r="I1" s="3123"/>
      <c r="J1" s="3123"/>
      <c r="K1" s="3123"/>
      <c r="L1" s="3123"/>
      <c r="M1" s="3123"/>
      <c r="N1" s="746"/>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7">
        <f>SUMPRODUCT((A95:A184=ROUNDDOWN(基准地价修正!G3,1))*(B94:M94=基准地价修正!G2)*(B95:M184))</f>
        <v>0.9274</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7">
        <f>SUMPRODUCT((A371:A460=ROUNDDOWN(基准地价修正!G3,1))*(B370:M370=基准地价修正!G2)*(B371:M460))</f>
        <v>0.84419999999999995</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26102</v>
      </c>
      <c r="C2" s="2" t="s">
        <v>106</v>
      </c>
      <c r="D2" s="199"/>
      <c r="E2" s="199"/>
      <c r="F2" s="199"/>
      <c r="G2" s="199"/>
    </row>
    <row r="3" spans="1:7" s="200" customFormat="1" ht="18" customHeight="1" thickBot="1">
      <c r="A3" s="203" t="s">
        <v>58</v>
      </c>
      <c r="B3" s="204">
        <f ca="1">ROUND(B2*10000/'数据-汇总表'!E3,0)</f>
        <v>99416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53</v>
      </c>
      <c r="D10" s="842">
        <f>'数据-汇总表'!E6</f>
        <v>2625.54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53</v>
      </c>
      <c r="D19" s="846">
        <f>'数据-汇总表'!E3</f>
        <v>2625.54</v>
      </c>
      <c r="E19" s="211">
        <f>'数据-取费表'!B31</f>
        <v>200</v>
      </c>
      <c r="F19" s="231"/>
      <c r="G19" s="1" t="s">
        <v>436</v>
      </c>
    </row>
    <row r="20" spans="1:7" s="214" customFormat="1" ht="13.5" customHeight="1">
      <c r="A20" s="774" t="s">
        <v>419</v>
      </c>
      <c r="B20" s="210" t="s">
        <v>77</v>
      </c>
      <c r="C20" s="232">
        <f>ROUND((C5+C19)*F20,0)</f>
        <v>413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720</v>
      </c>
      <c r="D22" s="235">
        <f ca="1">C26</f>
        <v>2.9999999999999997E-4</v>
      </c>
      <c r="E22" s="236" t="s">
        <v>99</v>
      </c>
      <c r="F22" s="237">
        <f ca="1">'数据-取费表'!B40</f>
        <v>3.4500000000000003E-2</v>
      </c>
      <c r="G22" s="1064" t="str">
        <f>IF('数据-取费表'!B22&lt;=1,"单利计息","复利计息")</f>
        <v>单利计息</v>
      </c>
    </row>
    <row r="23" spans="1:7" s="214" customFormat="1" ht="13.5" customHeight="1">
      <c r="A23" s="777" t="s">
        <v>349</v>
      </c>
      <c r="B23" s="215" t="s">
        <v>423</v>
      </c>
      <c r="C23" s="1102">
        <f ca="1">ROUND(IF('数据-取费表'!B22&lt;=1,C5*F22*'数据-取费表'!B23,C5*(POWER((1+F22),'数据-取费表'!B23)-1)),0)</f>
        <v>711</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2</v>
      </c>
      <c r="D24" s="238"/>
      <c r="E24" s="238"/>
      <c r="F24" s="239"/>
      <c r="G24" s="240" t="s">
        <v>82</v>
      </c>
    </row>
    <row r="25" spans="1:7" s="214" customFormat="1" ht="24">
      <c r="A25" s="777" t="s">
        <v>348</v>
      </c>
      <c r="B25" s="215" t="s">
        <v>420</v>
      </c>
      <c r="C25" s="1102">
        <f ca="1">ROUND(IF('数据-取费表'!B22&lt;=1,C20*F22*'数据-取费表'!B23/2,C20*(POWER((1+F22),'数据-取费表'!B23/2)-1)),0)</f>
        <v>7</v>
      </c>
      <c r="D25" s="238"/>
      <c r="E25" s="241"/>
      <c r="F25" s="239"/>
      <c r="G25" s="242" t="s">
        <v>83</v>
      </c>
    </row>
    <row r="26" spans="1:7" s="214" customFormat="1">
      <c r="A26" s="777" t="s">
        <v>350</v>
      </c>
      <c r="B26" s="215" t="s">
        <v>422</v>
      </c>
      <c r="C26" s="238">
        <f ca="1">ROUND(IF('数据-取费表'!B22&lt;=1,F21*F22*'数据-取费表'!B23/2,F21*(POWER((1+F22),'数据-取费表'!B23/2)-1)),4)</f>
        <v>2.9999999999999997E-4</v>
      </c>
      <c r="D26" s="238"/>
      <c r="E26" s="241"/>
      <c r="F26" s="239"/>
      <c r="G26" s="243"/>
    </row>
    <row r="27" spans="1:7" s="214" customFormat="1" ht="24.75">
      <c r="A27" s="774" t="s">
        <v>342</v>
      </c>
      <c r="B27" s="244" t="s">
        <v>85</v>
      </c>
      <c r="C27" s="245">
        <f>C28</f>
        <v>1686</v>
      </c>
      <c r="D27" s="235">
        <f>C29</f>
        <v>1.6000000000000001E-3</v>
      </c>
      <c r="E27" s="236" t="s">
        <v>99</v>
      </c>
      <c r="F27" s="246">
        <f>'数据-取费表'!Q16</f>
        <v>0.08</v>
      </c>
      <c r="G27" s="247" t="s">
        <v>431</v>
      </c>
    </row>
    <row r="28" spans="1:7" s="214" customFormat="1" ht="13.5" customHeight="1">
      <c r="A28" s="777" t="s">
        <v>349</v>
      </c>
      <c r="B28" s="248" t="s">
        <v>424</v>
      </c>
      <c r="C28" s="249">
        <f>ROUND((C5+C19+C20)*F27*'数据-取费表'!B21/'数据-取费表'!B20,0)</f>
        <v>1686</v>
      </c>
      <c r="D28" s="235"/>
      <c r="E28" s="236"/>
      <c r="F28" s="246"/>
      <c r="G28" s="247"/>
    </row>
    <row r="29" spans="1:7" s="214" customFormat="1" ht="13.5" customHeight="1">
      <c r="A29" s="777" t="s">
        <v>347</v>
      </c>
      <c r="B29" s="248" t="s">
        <v>425</v>
      </c>
      <c r="C29" s="238">
        <f>ROUND(C21*F27*'数据-取费表'!B21/'数据-取费表'!B20,4)</f>
        <v>1.6000000000000001E-3</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25366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742</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656</v>
      </c>
      <c r="D34" s="217"/>
      <c r="E34" s="220"/>
      <c r="F34" s="257">
        <f>IF('数据-取费表'!B24=0,1,'数据-取费表'!N16)</f>
        <v>1</v>
      </c>
      <c r="G34" s="219" t="s">
        <v>89</v>
      </c>
    </row>
    <row r="35" spans="1:7" ht="13.5" customHeight="1">
      <c r="A35" s="777" t="s">
        <v>351</v>
      </c>
      <c r="B35" s="215" t="s">
        <v>33</v>
      </c>
      <c r="C35" s="220">
        <f>ROUND(C34*F35,0)</f>
        <v>20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53</v>
      </c>
      <c r="D37" s="217">
        <f>'数据-汇总表'!E3</f>
        <v>2625.54</v>
      </c>
      <c r="E37" s="249">
        <f>'数据-取费表'!B35</f>
        <v>200</v>
      </c>
      <c r="F37" s="259"/>
      <c r="G37" s="261" t="s">
        <v>92</v>
      </c>
    </row>
    <row r="38" spans="1:7" ht="13.5" customHeight="1">
      <c r="A38" s="777" t="s">
        <v>354</v>
      </c>
      <c r="B38" s="215" t="s">
        <v>36</v>
      </c>
      <c r="C38" s="220">
        <f>ROUND(C34*F38,0)</f>
        <v>13</v>
      </c>
      <c r="D38" s="220"/>
      <c r="E38" s="220"/>
      <c r="F38" s="259">
        <f>'数据-取费表'!B36</f>
        <v>0.02</v>
      </c>
      <c r="G38" s="219" t="s">
        <v>90</v>
      </c>
    </row>
    <row r="39" spans="1:7" s="214" customFormat="1" ht="13.5" customHeight="1">
      <c r="A39" s="774" t="s">
        <v>338</v>
      </c>
      <c r="B39" s="210" t="s">
        <v>77</v>
      </c>
      <c r="C39" s="232">
        <f>ROUND(C33*F20,0)</f>
        <v>15</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13</v>
      </c>
      <c r="D41" s="235">
        <f ca="1">C44</f>
        <v>2.9999999999999997E-4</v>
      </c>
      <c r="E41" s="236" t="s">
        <v>102</v>
      </c>
      <c r="F41" s="237"/>
      <c r="G41" s="1064" t="str">
        <f>IF('数据-取费表'!B22&lt;=1,"单利计息","复利计息")</f>
        <v>单利计息</v>
      </c>
    </row>
    <row r="42" spans="1:7" ht="13.5" customHeight="1">
      <c r="A42" s="777" t="s">
        <v>349</v>
      </c>
      <c r="B42" s="215" t="s">
        <v>423</v>
      </c>
      <c r="C42" s="238">
        <f ca="1">ROUND(IF('数据-取费表'!B22&lt;=1,C33*F22*'数据-取费表'!B21/2,C33*(POWER((1+F22),'数据-取费表'!B21/2)-1)),0)</f>
        <v>13</v>
      </c>
      <c r="D42" s="238"/>
      <c r="E42" s="238"/>
      <c r="F42" s="239"/>
      <c r="G42" s="3653" t="s">
        <v>94</v>
      </c>
    </row>
    <row r="43" spans="1:7" ht="13.5" customHeight="1">
      <c r="A43" s="777" t="s">
        <v>347</v>
      </c>
      <c r="B43" s="215" t="s">
        <v>426</v>
      </c>
      <c r="C43" s="238">
        <f ca="1">ROUND(IF('数据-取费表'!B22&lt;=1,C39*F22*'数据-取费表'!B21/2,C39*(POWER((1+F22),'数据-取费表'!B21/2)-1)),0)</f>
        <v>0</v>
      </c>
      <c r="D43" s="238"/>
      <c r="E43" s="238"/>
      <c r="F43" s="239"/>
      <c r="G43" s="3654"/>
    </row>
    <row r="44" spans="1:7" ht="13.5" customHeight="1">
      <c r="A44" s="777" t="s">
        <v>348</v>
      </c>
      <c r="B44" s="215" t="s">
        <v>428</v>
      </c>
      <c r="C44" s="238">
        <f ca="1">ROUND(IF('数据-取费表'!B22&lt;=1,C40*F22*'数据-取费表'!B21/2,C40*(POWER((1+F22),'数据-取费表'!B21/2)-1)),4)</f>
        <v>2.9999999999999997E-4</v>
      </c>
      <c r="D44" s="238"/>
      <c r="E44" s="238"/>
      <c r="F44" s="239"/>
      <c r="G44" s="3655"/>
    </row>
    <row r="45" spans="1:7" s="214" customFormat="1" ht="13.5" customHeight="1">
      <c r="A45" s="774" t="s">
        <v>341</v>
      </c>
      <c r="B45" s="244" t="s">
        <v>85</v>
      </c>
      <c r="C45" s="245">
        <f>C46</f>
        <v>61</v>
      </c>
      <c r="D45" s="235">
        <f>C47</f>
        <v>1.6000000000000001E-3</v>
      </c>
      <c r="E45" s="236" t="s">
        <v>102</v>
      </c>
      <c r="F45" s="246"/>
      <c r="G45" s="247" t="s">
        <v>434</v>
      </c>
    </row>
    <row r="46" spans="1:7" s="214" customFormat="1" ht="13.5" customHeight="1">
      <c r="A46" s="777" t="s">
        <v>349</v>
      </c>
      <c r="B46" s="248" t="s">
        <v>427</v>
      </c>
      <c r="C46" s="249">
        <f>ROUND((C33+C39)*F27,0)</f>
        <v>61</v>
      </c>
      <c r="D46" s="263"/>
      <c r="E46" s="236"/>
      <c r="F46" s="246"/>
      <c r="G46" s="247"/>
    </row>
    <row r="47" spans="1:7" s="214" customFormat="1" ht="13.5" customHeight="1">
      <c r="A47" s="777" t="s">
        <v>347</v>
      </c>
      <c r="B47" s="248" t="s">
        <v>429</v>
      </c>
      <c r="C47" s="238">
        <f>ROUND(C40*F27,4)</f>
        <v>1.6000000000000001E-3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898</v>
      </c>
      <c r="D49" s="232"/>
      <c r="E49" s="232"/>
      <c r="F49" s="264"/>
      <c r="G49" s="234" t="s">
        <v>435</v>
      </c>
    </row>
    <row r="50" spans="1:7" s="258" customFormat="1" ht="24">
      <c r="A50" s="774" t="s">
        <v>344</v>
      </c>
      <c r="B50" s="210" t="s">
        <v>97</v>
      </c>
      <c r="C50" s="232"/>
      <c r="D50" s="232"/>
      <c r="E50" s="232"/>
      <c r="F50" s="264">
        <f>IF('数据-取费表'!B24=0,'数据-取费表'!N16,1)</f>
        <v>0.82</v>
      </c>
      <c r="G50" s="247" t="s">
        <v>98</v>
      </c>
    </row>
    <row r="51" spans="1:7" ht="16.5" customHeight="1">
      <c r="A51" s="774" t="s">
        <v>345</v>
      </c>
      <c r="B51" s="210" t="s">
        <v>105</v>
      </c>
      <c r="C51" s="232">
        <f ca="1">ROUND(C49*F50,0)</f>
        <v>736</v>
      </c>
      <c r="D51" s="232"/>
      <c r="E51" s="232"/>
      <c r="F51" s="264"/>
      <c r="G51" s="234" t="s">
        <v>37</v>
      </c>
    </row>
    <row r="52" spans="1:7" s="208" customFormat="1" ht="16.5" thickBot="1">
      <c r="A52" s="265" t="s">
        <v>38</v>
      </c>
      <c r="B52" s="266"/>
      <c r="C52" s="267">
        <f ca="1">C31+C51</f>
        <v>26102</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0"/>
      <c r="B4" s="3474" t="s">
        <v>917</v>
      </c>
      <c r="C4" s="3474"/>
      <c r="D4" s="3474"/>
      <c r="E4" s="1490"/>
    </row>
    <row r="5" spans="1:5" ht="16.5" thickTop="1">
      <c r="A5" s="1488"/>
      <c r="B5" s="3472" t="s">
        <v>909</v>
      </c>
      <c r="C5" s="1491" t="s">
        <v>910</v>
      </c>
      <c r="D5" s="847">
        <f ca="1">结果表!H101</f>
        <v>2210</v>
      </c>
      <c r="E5" s="1488"/>
    </row>
    <row r="6" spans="1:5" ht="15.75">
      <c r="A6" s="1488"/>
      <c r="B6" s="3472"/>
      <c r="C6" s="1491" t="s">
        <v>911</v>
      </c>
      <c r="D6" s="847" t="str">
        <f ca="1">NUMBERSTRING(INT(D5*10000),2)&amp;"元整"</f>
        <v>贰仟贰佰壹拾万元整</v>
      </c>
      <c r="E6" s="1488"/>
    </row>
    <row r="7" spans="1:5" ht="15.75">
      <c r="A7" s="1488"/>
      <c r="B7" s="3477"/>
      <c r="C7" s="1492" t="s">
        <v>912</v>
      </c>
      <c r="D7" s="848">
        <f ca="1">结果表!H102</f>
        <v>8419</v>
      </c>
      <c r="E7" s="1488"/>
    </row>
    <row r="8" spans="1:5" ht="15.75">
      <c r="A8" s="1488"/>
      <c r="B8" s="3478" t="str">
        <f>结果表!E103</f>
        <v>2.估价师知悉的法定优先受偿款</v>
      </c>
      <c r="C8" s="1493" t="s">
        <v>913</v>
      </c>
      <c r="D8" s="848">
        <f>结果表!H103</f>
        <v>0</v>
      </c>
      <c r="E8" s="1488"/>
    </row>
    <row r="9" spans="1:5" ht="15.75">
      <c r="A9" s="1488"/>
      <c r="B9" s="3480"/>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1" t="str">
        <f>结果表!E107</f>
        <v>3.房地产抵押价值</v>
      </c>
      <c r="C13" s="1496" t="s">
        <v>910</v>
      </c>
      <c r="D13" s="850">
        <f ca="1">结果表!H107</f>
        <v>2210</v>
      </c>
      <c r="E13" s="1488"/>
    </row>
    <row r="14" spans="1:5" ht="15.75">
      <c r="A14" s="1488"/>
      <c r="B14" s="3472"/>
      <c r="C14" s="1491" t="s">
        <v>911</v>
      </c>
      <c r="D14" s="847" t="str">
        <f ca="1">NUMBERSTRING(INT(D13*10000),2)&amp;"元整"</f>
        <v>贰仟贰佰壹拾万元整</v>
      </c>
      <c r="E14" s="1488"/>
    </row>
    <row r="15" spans="1:5" ht="15">
      <c r="A15" s="1488"/>
      <c r="B15" s="3477"/>
      <c r="C15" s="1492" t="s">
        <v>921</v>
      </c>
      <c r="D15" s="856">
        <f ca="1">结果表!H108</f>
        <v>8419</v>
      </c>
      <c r="E15" s="1488"/>
    </row>
    <row r="16" spans="1:5" ht="15">
      <c r="A16" s="1488"/>
      <c r="B16" s="3478" t="str">
        <f>结果表!E109</f>
        <v>——</v>
      </c>
      <c r="C16" s="1496" t="s">
        <v>922</v>
      </c>
      <c r="D16" s="1497" t="str">
        <f>结果表!H109</f>
        <v>——</v>
      </c>
      <c r="E16" s="1488"/>
    </row>
    <row r="17" spans="1:5" ht="15.75">
      <c r="A17" s="1488"/>
      <c r="B17" s="3479"/>
      <c r="C17" s="1491" t="s">
        <v>923</v>
      </c>
      <c r="D17" s="847" t="e">
        <f>NUMBERSTRING(INT(D16*10000),2)&amp;"元整"</f>
        <v>#VALUE!</v>
      </c>
      <c r="E17" s="1488"/>
    </row>
    <row r="18" spans="1:5" ht="15">
      <c r="A18" s="1488"/>
      <c r="B18" s="3480"/>
      <c r="C18" s="1492" t="s">
        <v>912</v>
      </c>
      <c r="D18" s="856" t="str">
        <f>结果表!H110</f>
        <v>——</v>
      </c>
      <c r="E18" s="1488"/>
    </row>
    <row r="19" spans="1:5" ht="15.75">
      <c r="A19" s="1488"/>
      <c r="B19" s="3471" t="str">
        <f>结果表!E111</f>
        <v>——</v>
      </c>
      <c r="C19" s="1496" t="s">
        <v>910</v>
      </c>
      <c r="D19" s="848" t="str">
        <f>结果表!H111</f>
        <v>——</v>
      </c>
      <c r="E19" s="1488"/>
    </row>
    <row r="20" spans="1:5" ht="15.75">
      <c r="A20" s="1488"/>
      <c r="B20" s="3472"/>
      <c r="C20" s="1491" t="s">
        <v>923</v>
      </c>
      <c r="D20" s="847" t="e">
        <f>NUMBERSTRING(INT(D19*10000),2)&amp;"元整"</f>
        <v>#VALUE!</v>
      </c>
      <c r="E20" s="1488"/>
    </row>
    <row r="21" spans="1:5" ht="15.75" thickBot="1">
      <c r="A21" s="1488"/>
      <c r="B21" s="3473"/>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3390</v>
      </c>
      <c r="F1" s="1875" t="s">
        <v>3428</v>
      </c>
      <c r="G1" s="1232" t="s">
        <v>1663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685</v>
      </c>
      <c r="B2" s="1161">
        <f>IF(E1="项目模式",IF(C2="——",ROUND(C50*D3/10000,0),ROUND(C50*D3/10000,0)-D2),IF(E1="单套模式",IF(C2="——",ROUND(C50*D3/10000,4),ROUND(C50*D3/10000,4)-D2)))</f>
        <v>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2.6</v>
      </c>
      <c r="C3" s="354" t="s">
        <v>1665</v>
      </c>
      <c r="D3" s="353">
        <f>IF(D1="",'数据-汇总表'!E3,SUMIF('数据-汇总表'!$C19:$C33,D1,'数据-汇总表'!$E19:$E33))</f>
        <v>0</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1666</v>
      </c>
      <c r="B4" s="356"/>
      <c r="C4" s="3725" t="s">
        <v>1667</v>
      </c>
      <c r="D4" s="3726"/>
      <c r="E4" s="3727" t="s">
        <v>1668</v>
      </c>
      <c r="F4" s="3728"/>
      <c r="G4" s="3725" t="s">
        <v>1669</v>
      </c>
      <c r="H4" s="3726"/>
      <c r="I4" s="3725" t="s">
        <v>1670</v>
      </c>
      <c r="J4" s="3726"/>
      <c r="K4" s="559" t="s">
        <v>1671</v>
      </c>
      <c r="L4" s="2711"/>
      <c r="M4" s="2712"/>
      <c r="N4" s="2712"/>
      <c r="O4" s="2712"/>
      <c r="P4" s="3785" t="s">
        <v>1672</v>
      </c>
      <c r="Q4" s="3786"/>
      <c r="R4" s="3778" t="s">
        <v>1668</v>
      </c>
      <c r="S4" s="3779"/>
      <c r="T4" s="3778" t="s">
        <v>1669</v>
      </c>
      <c r="U4" s="3779"/>
      <c r="V4" s="3780" t="s">
        <v>1670</v>
      </c>
      <c r="W4" s="3780"/>
      <c r="X4" s="3452"/>
      <c r="Y4" s="3778" t="s">
        <v>1672</v>
      </c>
      <c r="Z4" s="3779"/>
      <c r="AA4" s="3781" t="s">
        <v>1668</v>
      </c>
      <c r="AB4" s="3781" t="s">
        <v>1669</v>
      </c>
      <c r="AC4" s="3782" t="s">
        <v>1670</v>
      </c>
    </row>
    <row r="5" spans="1:29" ht="15">
      <c r="A5" s="358"/>
      <c r="B5" s="359"/>
      <c r="C5" s="3744" t="s">
        <v>1673</v>
      </c>
      <c r="D5" s="3745"/>
      <c r="E5" s="3751" t="s">
        <v>1674</v>
      </c>
      <c r="F5" s="3752"/>
      <c r="G5" s="3744" t="s">
        <v>1675</v>
      </c>
      <c r="H5" s="3745"/>
      <c r="I5" s="3744" t="s">
        <v>1676</v>
      </c>
      <c r="J5" s="3745"/>
      <c r="K5" s="559"/>
      <c r="L5" s="2711"/>
      <c r="M5" s="2712"/>
      <c r="N5" s="2712"/>
      <c r="O5" s="2712"/>
      <c r="P5" s="3787"/>
      <c r="Q5" s="3732"/>
      <c r="R5" s="3737"/>
      <c r="S5" s="3738"/>
      <c r="T5" s="3737"/>
      <c r="U5" s="3738"/>
      <c r="V5" s="3741"/>
      <c r="W5" s="3741"/>
      <c r="X5" s="3450"/>
      <c r="Y5" s="3737"/>
      <c r="Z5" s="3738"/>
      <c r="AA5" s="3723"/>
      <c r="AB5" s="3723"/>
      <c r="AC5" s="378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88"/>
      <c r="Q6" s="3734"/>
      <c r="R6" s="3737"/>
      <c r="S6" s="3738"/>
      <c r="T6" s="3739"/>
      <c r="U6" s="3740"/>
      <c r="V6" s="3741"/>
      <c r="W6" s="3741"/>
      <c r="X6" s="3450"/>
      <c r="Y6" s="3739"/>
      <c r="Z6" s="3740"/>
      <c r="AA6" s="3724"/>
      <c r="AB6" s="3724"/>
      <c r="AC6" s="3784"/>
    </row>
    <row r="7" spans="1:29" s="108" customFormat="1" ht="15.75" thickBot="1">
      <c r="A7" s="362" t="s">
        <v>1679</v>
      </c>
      <c r="B7" s="363"/>
      <c r="C7" s="364">
        <f>'数据-取费表'!B2</f>
        <v>45483</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77" t="s">
        <v>1680</v>
      </c>
      <c r="Q7" s="3748"/>
      <c r="R7" s="698" t="s">
        <v>14</v>
      </c>
      <c r="S7" s="699">
        <f t="shared" ref="S7:S15" si="0">F7</f>
        <v>100</v>
      </c>
      <c r="T7" s="698" t="s">
        <v>14</v>
      </c>
      <c r="U7" s="699">
        <f t="shared" ref="U7:U15" si="1">H7</f>
        <v>100</v>
      </c>
      <c r="V7" s="698" t="s">
        <v>14</v>
      </c>
      <c r="W7" s="699">
        <f t="shared" ref="W7:W15" si="2">J7</f>
        <v>100</v>
      </c>
      <c r="X7" s="700"/>
      <c r="Y7" s="3746" t="s">
        <v>1680</v>
      </c>
      <c r="Z7" s="3747"/>
      <c r="AA7" s="701">
        <f>D7/F7</f>
        <v>1</v>
      </c>
      <c r="AB7" s="701">
        <f>D7/H7</f>
        <v>1</v>
      </c>
      <c r="AC7" s="1955">
        <f>D7/J7</f>
        <v>1</v>
      </c>
    </row>
    <row r="8" spans="1:29" s="108" customFormat="1" ht="15.75" thickBot="1">
      <c r="A8" s="362" t="s">
        <v>1681</v>
      </c>
      <c r="B8" s="363"/>
      <c r="C8" s="368" t="s">
        <v>3391</v>
      </c>
      <c r="D8" s="365">
        <v>100</v>
      </c>
      <c r="E8" s="368" t="s">
        <v>3392</v>
      </c>
      <c r="F8" s="367">
        <f>SUMIF(62:62,E8,63:63)-SUMIF(62:62,C8,63:63)+100</f>
        <v>102</v>
      </c>
      <c r="G8" s="368" t="s">
        <v>3392</v>
      </c>
      <c r="H8" s="365">
        <f>SUMIF(62:62,G8,63:63)-SUMIF(62:62,C8,63:63)+100</f>
        <v>102</v>
      </c>
      <c r="I8" s="368" t="s">
        <v>3392</v>
      </c>
      <c r="J8" s="365">
        <f>SUMIF(62:62,I8,63:63)-SUMIF(62:62,C8,63:63)+100</f>
        <v>102</v>
      </c>
      <c r="K8" s="560"/>
      <c r="L8" s="2713"/>
      <c r="M8" s="2714"/>
      <c r="N8" s="2714"/>
      <c r="O8" s="2714"/>
      <c r="P8" s="3777" t="s">
        <v>1683</v>
      </c>
      <c r="Q8" s="3747"/>
      <c r="R8" s="698" t="s">
        <v>14</v>
      </c>
      <c r="S8" s="699">
        <f t="shared" si="0"/>
        <v>102</v>
      </c>
      <c r="T8" s="698" t="s">
        <v>14</v>
      </c>
      <c r="U8" s="699">
        <f t="shared" si="1"/>
        <v>102</v>
      </c>
      <c r="V8" s="698" t="s">
        <v>14</v>
      </c>
      <c r="W8" s="699">
        <f t="shared" si="2"/>
        <v>102</v>
      </c>
      <c r="X8" s="700"/>
      <c r="Y8" s="3746" t="s">
        <v>1683</v>
      </c>
      <c r="Z8" s="3747"/>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1" t="s">
        <v>1686</v>
      </c>
      <c r="Q9" s="3446" t="str">
        <f t="shared" ref="Q9:Q15" si="6">B9</f>
        <v>用途</v>
      </c>
      <c r="R9" s="698" t="s">
        <v>14</v>
      </c>
      <c r="S9" s="699">
        <f t="shared" si="0"/>
        <v>100</v>
      </c>
      <c r="T9" s="698" t="s">
        <v>14</v>
      </c>
      <c r="U9" s="699">
        <f t="shared" si="1"/>
        <v>100</v>
      </c>
      <c r="V9" s="698" t="s">
        <v>14</v>
      </c>
      <c r="W9" s="699">
        <f t="shared" si="2"/>
        <v>100</v>
      </c>
      <c r="X9" s="700"/>
      <c r="Y9" s="3560" t="s">
        <v>1687</v>
      </c>
      <c r="Z9" s="3445"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1"/>
      <c r="Q10" s="3446" t="str">
        <f t="shared" si="6"/>
        <v>土地使用年限（年）</v>
      </c>
      <c r="R10" s="698" t="s">
        <v>14</v>
      </c>
      <c r="S10" s="699">
        <f t="shared" si="0"/>
        <v>100</v>
      </c>
      <c r="T10" s="698" t="s">
        <v>14</v>
      </c>
      <c r="U10" s="699">
        <f t="shared" si="1"/>
        <v>100</v>
      </c>
      <c r="V10" s="698" t="s">
        <v>14</v>
      </c>
      <c r="W10" s="699">
        <f t="shared" si="2"/>
        <v>100</v>
      </c>
      <c r="X10" s="700"/>
      <c r="Y10" s="3560"/>
      <c r="Z10" s="3445"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1"/>
      <c r="Q11" s="3446" t="str">
        <f t="shared" si="6"/>
        <v>容积率</v>
      </c>
      <c r="R11" s="698" t="s">
        <v>14</v>
      </c>
      <c r="S11" s="699">
        <f t="shared" si="0"/>
        <v>100</v>
      </c>
      <c r="T11" s="698" t="s">
        <v>14</v>
      </c>
      <c r="U11" s="699">
        <f t="shared" si="1"/>
        <v>100</v>
      </c>
      <c r="V11" s="698" t="s">
        <v>14</v>
      </c>
      <c r="W11" s="699">
        <f t="shared" si="2"/>
        <v>100</v>
      </c>
      <c r="X11" s="700"/>
      <c r="Y11" s="3560"/>
      <c r="Z11" s="3445"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1"/>
      <c r="Q12" s="3446">
        <f t="shared" si="6"/>
        <v>111</v>
      </c>
      <c r="R12" s="698" t="s">
        <v>14</v>
      </c>
      <c r="S12" s="699">
        <f t="shared" si="0"/>
        <v>100</v>
      </c>
      <c r="T12" s="698" t="s">
        <v>14</v>
      </c>
      <c r="U12" s="699">
        <f t="shared" si="1"/>
        <v>100</v>
      </c>
      <c r="V12" s="698" t="s">
        <v>14</v>
      </c>
      <c r="W12" s="699">
        <f t="shared" si="2"/>
        <v>100</v>
      </c>
      <c r="X12" s="700"/>
      <c r="Y12" s="3560"/>
      <c r="Z12" s="3445">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1"/>
      <c r="Q13" s="3446">
        <f t="shared" si="6"/>
        <v>111</v>
      </c>
      <c r="R13" s="698" t="s">
        <v>14</v>
      </c>
      <c r="S13" s="699">
        <f t="shared" si="0"/>
        <v>100</v>
      </c>
      <c r="T13" s="698" t="s">
        <v>14</v>
      </c>
      <c r="U13" s="699">
        <f t="shared" si="1"/>
        <v>100</v>
      </c>
      <c r="V13" s="698" t="s">
        <v>14</v>
      </c>
      <c r="W13" s="699">
        <f t="shared" si="2"/>
        <v>100</v>
      </c>
      <c r="X13" s="700"/>
      <c r="Y13" s="3560"/>
      <c r="Z13" s="3445">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1"/>
      <c r="Q14" s="3446">
        <f t="shared" si="6"/>
        <v>111</v>
      </c>
      <c r="R14" s="698" t="s">
        <v>14</v>
      </c>
      <c r="S14" s="699">
        <f t="shared" si="0"/>
        <v>100</v>
      </c>
      <c r="T14" s="698" t="s">
        <v>14</v>
      </c>
      <c r="U14" s="699">
        <f t="shared" si="1"/>
        <v>100</v>
      </c>
      <c r="V14" s="698" t="s">
        <v>14</v>
      </c>
      <c r="W14" s="699">
        <f t="shared" si="2"/>
        <v>100</v>
      </c>
      <c r="X14" s="700"/>
      <c r="Y14" s="3560"/>
      <c r="Z14" s="3445">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719" t="s">
        <v>1691</v>
      </c>
      <c r="Q15" s="3448" t="str">
        <f t="shared" si="6"/>
        <v>办公集聚程度</v>
      </c>
      <c r="R15" s="702" t="s">
        <v>14</v>
      </c>
      <c r="S15" s="703">
        <f t="shared" si="0"/>
        <v>100</v>
      </c>
      <c r="T15" s="702" t="s">
        <v>14</v>
      </c>
      <c r="U15" s="703">
        <f t="shared" si="1"/>
        <v>100</v>
      </c>
      <c r="V15" s="702" t="s">
        <v>14</v>
      </c>
      <c r="W15" s="703">
        <f t="shared" si="2"/>
        <v>100</v>
      </c>
      <c r="X15" s="3450"/>
      <c r="Y15" s="3712" t="s">
        <v>1691</v>
      </c>
      <c r="Z15" s="3451" t="str">
        <f t="shared" si="7"/>
        <v>办公集聚程度</v>
      </c>
      <c r="AA15" s="3449">
        <f t="shared" si="3"/>
        <v>1</v>
      </c>
      <c r="AB15" s="3449">
        <f t="shared" si="4"/>
        <v>1</v>
      </c>
      <c r="AC15" s="1958">
        <f t="shared" si="5"/>
        <v>1</v>
      </c>
    </row>
    <row r="16" spans="1:29" ht="15">
      <c r="A16" s="379"/>
      <c r="B16" s="578"/>
      <c r="C16" s="1900" t="s">
        <v>3424</v>
      </c>
      <c r="D16" s="399"/>
      <c r="E16" s="1900" t="s">
        <v>3424</v>
      </c>
      <c r="F16" s="399"/>
      <c r="G16" s="1900" t="s">
        <v>3424</v>
      </c>
      <c r="H16" s="401"/>
      <c r="I16" s="1900" t="s">
        <v>3424</v>
      </c>
      <c r="J16" s="399"/>
      <c r="K16" s="564"/>
      <c r="L16" s="2718"/>
      <c r="M16" s="2712"/>
      <c r="N16" s="2712"/>
      <c r="O16" s="2712"/>
      <c r="P16" s="3720"/>
      <c r="Q16" s="3448"/>
      <c r="R16" s="702"/>
      <c r="S16" s="703"/>
      <c r="T16" s="702"/>
      <c r="U16" s="703"/>
      <c r="V16" s="702"/>
      <c r="W16" s="703"/>
      <c r="X16" s="3450"/>
      <c r="Y16" s="3713"/>
      <c r="Z16" s="3451"/>
      <c r="AA16" s="3449">
        <v>1</v>
      </c>
      <c r="AB16" s="34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20"/>
      <c r="Q17" s="3448" t="str">
        <f>B17</f>
        <v>交通便捷度</v>
      </c>
      <c r="R17" s="702" t="s">
        <v>14</v>
      </c>
      <c r="S17" s="703">
        <f>F17</f>
        <v>100</v>
      </c>
      <c r="T17" s="702" t="s">
        <v>14</v>
      </c>
      <c r="U17" s="703">
        <f>H17</f>
        <v>100</v>
      </c>
      <c r="V17" s="702" t="s">
        <v>14</v>
      </c>
      <c r="W17" s="703">
        <f>J17</f>
        <v>100</v>
      </c>
      <c r="X17" s="3450"/>
      <c r="Y17" s="3713"/>
      <c r="Z17" s="3451" t="str">
        <f>Q17</f>
        <v>交通便捷度</v>
      </c>
      <c r="AA17" s="3449">
        <f t="shared" si="3"/>
        <v>1</v>
      </c>
      <c r="AB17" s="3449">
        <f t="shared" si="4"/>
        <v>1</v>
      </c>
      <c r="AC17" s="1958">
        <f t="shared" si="5"/>
        <v>1</v>
      </c>
    </row>
    <row r="18" spans="1:29" ht="15">
      <c r="A18" s="379"/>
      <c r="B18" s="580"/>
      <c r="C18" s="1960" t="s">
        <v>3424</v>
      </c>
      <c r="D18" s="401"/>
      <c r="E18" s="1900" t="s">
        <v>3424</v>
      </c>
      <c r="F18" s="401"/>
      <c r="G18" s="1900" t="s">
        <v>3424</v>
      </c>
      <c r="H18" s="399"/>
      <c r="I18" s="1900" t="s">
        <v>3424</v>
      </c>
      <c r="J18" s="399"/>
      <c r="K18" s="564"/>
      <c r="L18" s="2718"/>
      <c r="M18" s="2712"/>
      <c r="N18" s="2712"/>
      <c r="O18" s="2712"/>
      <c r="P18" s="3720"/>
      <c r="Q18" s="3448"/>
      <c r="R18" s="702"/>
      <c r="S18" s="703"/>
      <c r="T18" s="702"/>
      <c r="U18" s="703"/>
      <c r="V18" s="702"/>
      <c r="W18" s="703"/>
      <c r="X18" s="3450"/>
      <c r="Y18" s="3713"/>
      <c r="Z18" s="3451"/>
      <c r="AA18" s="3449">
        <v>1</v>
      </c>
      <c r="AB18" s="34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20"/>
      <c r="Q19" s="3448" t="str">
        <f>B19</f>
        <v>公共配套设施</v>
      </c>
      <c r="R19" s="702" t="s">
        <v>14</v>
      </c>
      <c r="S19" s="703">
        <f>F19</f>
        <v>100</v>
      </c>
      <c r="T19" s="702" t="s">
        <v>14</v>
      </c>
      <c r="U19" s="703">
        <f>H19</f>
        <v>100</v>
      </c>
      <c r="V19" s="702" t="s">
        <v>14</v>
      </c>
      <c r="W19" s="703">
        <f>J19</f>
        <v>100</v>
      </c>
      <c r="X19" s="3450"/>
      <c r="Y19" s="3713"/>
      <c r="Z19" s="3451" t="str">
        <f>Q19</f>
        <v>公共配套设施</v>
      </c>
      <c r="AA19" s="3449">
        <f t="shared" si="3"/>
        <v>1</v>
      </c>
      <c r="AB19" s="3449">
        <f t="shared" si="4"/>
        <v>1</v>
      </c>
      <c r="AC19" s="1958">
        <f t="shared" si="5"/>
        <v>1</v>
      </c>
    </row>
    <row r="20" spans="1:29" ht="15">
      <c r="A20" s="379"/>
      <c r="B20" s="580"/>
      <c r="C20" s="1900" t="s">
        <v>3424</v>
      </c>
      <c r="D20" s="399"/>
      <c r="E20" s="1900" t="s">
        <v>3424</v>
      </c>
      <c r="F20" s="399"/>
      <c r="G20" s="1900" t="s">
        <v>3424</v>
      </c>
      <c r="H20" s="399"/>
      <c r="I20" s="1900" t="s">
        <v>3424</v>
      </c>
      <c r="J20" s="399"/>
      <c r="K20" s="564"/>
      <c r="L20" s="2718"/>
      <c r="M20" s="2712"/>
      <c r="N20" s="2712"/>
      <c r="O20" s="2712"/>
      <c r="P20" s="3720"/>
      <c r="Q20" s="3448"/>
      <c r="R20" s="702"/>
      <c r="S20" s="703"/>
      <c r="T20" s="702"/>
      <c r="U20" s="703"/>
      <c r="V20" s="702"/>
      <c r="W20" s="703"/>
      <c r="X20" s="3450"/>
      <c r="Y20" s="3713"/>
      <c r="Z20" s="3451"/>
      <c r="AA20" s="3449">
        <v>1</v>
      </c>
      <c r="AB20" s="34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720"/>
      <c r="Q21" s="3448" t="str">
        <f>B21</f>
        <v>基础设施水平</v>
      </c>
      <c r="R21" s="702" t="s">
        <v>14</v>
      </c>
      <c r="S21" s="703">
        <f>F21</f>
        <v>100</v>
      </c>
      <c r="T21" s="702" t="s">
        <v>14</v>
      </c>
      <c r="U21" s="703">
        <f>H21</f>
        <v>100</v>
      </c>
      <c r="V21" s="702" t="s">
        <v>14</v>
      </c>
      <c r="W21" s="703">
        <f>J21</f>
        <v>100</v>
      </c>
      <c r="X21" s="3450"/>
      <c r="Y21" s="3713"/>
      <c r="Z21" s="3451" t="str">
        <f>Q21</f>
        <v>基础设施水平</v>
      </c>
      <c r="AA21" s="3449">
        <f t="shared" ref="AA21" si="8">D21/F21</f>
        <v>1</v>
      </c>
      <c r="AB21" s="3449">
        <f t="shared" ref="AB21" si="9">D21/H21</f>
        <v>1</v>
      </c>
      <c r="AC21" s="1958">
        <f t="shared" ref="AC21" si="10">D21/J21</f>
        <v>1</v>
      </c>
    </row>
    <row r="22" spans="1:29" ht="15">
      <c r="A22" s="379"/>
      <c r="B22" s="581"/>
      <c r="C22" s="1960" t="s">
        <v>3415</v>
      </c>
      <c r="D22" s="399"/>
      <c r="E22" s="1960" t="s">
        <v>3415</v>
      </c>
      <c r="F22" s="399"/>
      <c r="G22" s="1960" t="s">
        <v>3415</v>
      </c>
      <c r="H22" s="399"/>
      <c r="I22" s="1960" t="s">
        <v>3415</v>
      </c>
      <c r="J22" s="399"/>
      <c r="K22" s="1127"/>
      <c r="L22" s="2718"/>
      <c r="M22" s="2712"/>
      <c r="N22" s="2712"/>
      <c r="O22" s="2712"/>
      <c r="P22" s="3720"/>
      <c r="Q22" s="3448"/>
      <c r="R22" s="702"/>
      <c r="S22" s="703"/>
      <c r="T22" s="702"/>
      <c r="U22" s="703"/>
      <c r="V22" s="702"/>
      <c r="W22" s="703"/>
      <c r="X22" s="3450"/>
      <c r="Y22" s="3713"/>
      <c r="Z22" s="3451"/>
      <c r="AA22" s="3449">
        <v>1</v>
      </c>
      <c r="AB22" s="34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20"/>
      <c r="Q23" s="3448" t="str">
        <f>B23</f>
        <v>环境质量</v>
      </c>
      <c r="R23" s="702" t="s">
        <v>14</v>
      </c>
      <c r="S23" s="703">
        <f>F23</f>
        <v>100</v>
      </c>
      <c r="T23" s="702" t="s">
        <v>14</v>
      </c>
      <c r="U23" s="703">
        <f>H23</f>
        <v>100</v>
      </c>
      <c r="V23" s="702" t="s">
        <v>14</v>
      </c>
      <c r="W23" s="703">
        <f>J23</f>
        <v>100</v>
      </c>
      <c r="X23" s="3450"/>
      <c r="Y23" s="3713"/>
      <c r="Z23" s="3451" t="str">
        <f>Q23</f>
        <v>环境质量</v>
      </c>
      <c r="AA23" s="3449">
        <f t="shared" si="3"/>
        <v>1</v>
      </c>
      <c r="AB23" s="3449">
        <f t="shared" si="4"/>
        <v>1</v>
      </c>
      <c r="AC23" s="1958">
        <f t="shared" si="5"/>
        <v>1</v>
      </c>
    </row>
    <row r="24" spans="1:29" ht="15">
      <c r="A24" s="379"/>
      <c r="B24" s="581"/>
      <c r="C24" s="1900" t="s">
        <v>3424</v>
      </c>
      <c r="D24" s="399"/>
      <c r="E24" s="1900" t="s">
        <v>3424</v>
      </c>
      <c r="F24" s="399"/>
      <c r="G24" s="1900" t="s">
        <v>3424</v>
      </c>
      <c r="H24" s="399"/>
      <c r="I24" s="1900" t="s">
        <v>3424</v>
      </c>
      <c r="J24" s="399"/>
      <c r="K24" s="564"/>
      <c r="L24" s="2718"/>
      <c r="M24" s="2712"/>
      <c r="N24" s="2712"/>
      <c r="O24" s="2712"/>
      <c r="P24" s="3720"/>
      <c r="Q24" s="3448"/>
      <c r="R24" s="702"/>
      <c r="S24" s="703"/>
      <c r="T24" s="702"/>
      <c r="U24" s="703"/>
      <c r="V24" s="702"/>
      <c r="W24" s="703"/>
      <c r="X24" s="3450"/>
      <c r="Y24" s="3713"/>
      <c r="Z24" s="3451"/>
      <c r="AA24" s="3449">
        <v>1</v>
      </c>
      <c r="AB24" s="34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720"/>
      <c r="Q25" s="3448" t="str">
        <f>B25</f>
        <v>毗邻道路的类型与等级</v>
      </c>
      <c r="R25" s="702" t="s">
        <v>14</v>
      </c>
      <c r="S25" s="703">
        <f>F25</f>
        <v>100</v>
      </c>
      <c r="T25" s="702" t="s">
        <v>14</v>
      </c>
      <c r="U25" s="703">
        <f>H25</f>
        <v>100</v>
      </c>
      <c r="V25" s="702" t="s">
        <v>14</v>
      </c>
      <c r="W25" s="703">
        <f>J25</f>
        <v>100</v>
      </c>
      <c r="X25" s="3450"/>
      <c r="Y25" s="3713"/>
      <c r="Z25" s="3451" t="str">
        <f>Q25</f>
        <v>毗邻道路的类型与等级</v>
      </c>
      <c r="AA25" s="3449">
        <f t="shared" si="3"/>
        <v>1</v>
      </c>
      <c r="AB25" s="3449">
        <f t="shared" si="4"/>
        <v>1</v>
      </c>
      <c r="AC25" s="1958">
        <f t="shared" si="5"/>
        <v>1</v>
      </c>
    </row>
    <row r="26" spans="1:29" ht="15">
      <c r="A26" s="358"/>
      <c r="B26" s="580"/>
      <c r="C26" s="582" t="s">
        <v>3394</v>
      </c>
      <c r="D26" s="386"/>
      <c r="E26" s="565" t="s">
        <v>3394</v>
      </c>
      <c r="F26" s="386"/>
      <c r="G26" s="565" t="s">
        <v>3394</v>
      </c>
      <c r="H26" s="386"/>
      <c r="I26" s="565" t="s">
        <v>3394</v>
      </c>
      <c r="J26" s="386"/>
      <c r="K26" s="564"/>
      <c r="L26" s="2718"/>
      <c r="M26" s="2712"/>
      <c r="N26" s="2712"/>
      <c r="O26" s="2712"/>
      <c r="P26" s="3720"/>
      <c r="Q26" s="3448"/>
      <c r="R26" s="702"/>
      <c r="S26" s="703"/>
      <c r="T26" s="702"/>
      <c r="U26" s="703"/>
      <c r="V26" s="702"/>
      <c r="W26" s="703"/>
      <c r="X26" s="3450"/>
      <c r="Y26" s="3713"/>
      <c r="Z26" s="3451"/>
      <c r="AA26" s="3449">
        <v>1</v>
      </c>
      <c r="AB26" s="3449">
        <v>1</v>
      </c>
      <c r="AC26" s="1958">
        <v>1</v>
      </c>
    </row>
    <row r="27" spans="1:29" ht="15">
      <c r="A27" s="379"/>
      <c r="B27" s="580" t="s">
        <v>1783</v>
      </c>
      <c r="C27" s="582" t="s">
        <v>3404</v>
      </c>
      <c r="D27" s="386">
        <v>100</v>
      </c>
      <c r="E27" s="565" t="s">
        <v>3404</v>
      </c>
      <c r="F27" s="386">
        <f>SUMIF(89:89,E27,90:90)-SUMIF(89:89,C27,90:90)+100</f>
        <v>100</v>
      </c>
      <c r="G27" s="565" t="s">
        <v>3400</v>
      </c>
      <c r="H27" s="386">
        <f>SUMIF(89:89,G27,90:90)-SUMIF(89:89,C27,90:90)+100</f>
        <v>102</v>
      </c>
      <c r="I27" s="565" t="s">
        <v>3404</v>
      </c>
      <c r="J27" s="386">
        <f>SUMIF(89:89,I27,90:90)-SUMIF(89:89,C27,90:90)+100</f>
        <v>100</v>
      </c>
      <c r="K27" s="561">
        <v>1</v>
      </c>
      <c r="L27" s="2718"/>
      <c r="M27" s="2712"/>
      <c r="N27" s="2712"/>
      <c r="O27" s="2712"/>
      <c r="P27" s="3720"/>
      <c r="Q27" s="3448" t="str">
        <f t="shared" ref="Q27:Q47" si="11">B27</f>
        <v>楼层</v>
      </c>
      <c r="R27" s="702" t="s">
        <v>14</v>
      </c>
      <c r="S27" s="703">
        <f>F27</f>
        <v>100</v>
      </c>
      <c r="T27" s="702" t="s">
        <v>14</v>
      </c>
      <c r="U27" s="703">
        <f>H27</f>
        <v>102</v>
      </c>
      <c r="V27" s="702" t="s">
        <v>14</v>
      </c>
      <c r="W27" s="703">
        <f>J27</f>
        <v>100</v>
      </c>
      <c r="X27" s="3450"/>
      <c r="Y27" s="3713"/>
      <c r="Z27" s="3451" t="str">
        <f>Q27</f>
        <v>楼层</v>
      </c>
      <c r="AA27" s="3449">
        <f t="shared" si="3"/>
        <v>1</v>
      </c>
      <c r="AB27" s="3449">
        <f t="shared" si="4"/>
        <v>0.98039215686274506</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0"/>
      <c r="Q28" s="3446" t="str">
        <f t="shared" si="11"/>
        <v>朝向</v>
      </c>
      <c r="R28" s="698" t="s">
        <v>14</v>
      </c>
      <c r="S28" s="699">
        <f>F28</f>
        <v>100</v>
      </c>
      <c r="T28" s="698" t="s">
        <v>14</v>
      </c>
      <c r="U28" s="699">
        <f>H28</f>
        <v>100</v>
      </c>
      <c r="V28" s="698" t="s">
        <v>14</v>
      </c>
      <c r="W28" s="699">
        <f>J28</f>
        <v>100</v>
      </c>
      <c r="X28" s="700"/>
      <c r="Y28" s="3713"/>
      <c r="Z28" s="3445" t="str">
        <f>Q28</f>
        <v>朝向</v>
      </c>
      <c r="AA28" s="3449">
        <f>D28/F28</f>
        <v>1</v>
      </c>
      <c r="AB28" s="34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0"/>
      <c r="Q29" s="3448">
        <f t="shared" si="11"/>
        <v>111</v>
      </c>
      <c r="R29" s="702" t="s">
        <v>14</v>
      </c>
      <c r="S29" s="703">
        <f t="shared" ref="S29:S47" si="12">F29</f>
        <v>100</v>
      </c>
      <c r="T29" s="702" t="s">
        <v>14</v>
      </c>
      <c r="U29" s="703">
        <f t="shared" ref="U29:U47" si="13">H29</f>
        <v>100</v>
      </c>
      <c r="V29" s="702" t="s">
        <v>14</v>
      </c>
      <c r="W29" s="703">
        <f t="shared" ref="W29:W47" si="14">J29</f>
        <v>100</v>
      </c>
      <c r="X29" s="3450"/>
      <c r="Y29" s="3713"/>
      <c r="Z29" s="3451">
        <f t="shared" ref="Z29:Z47" si="15">Q29</f>
        <v>111</v>
      </c>
      <c r="AA29" s="3449">
        <f t="shared" si="3"/>
        <v>1</v>
      </c>
      <c r="AB29" s="34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0"/>
      <c r="Q30" s="3448">
        <f t="shared" si="11"/>
        <v>111</v>
      </c>
      <c r="R30" s="702" t="s">
        <v>14</v>
      </c>
      <c r="S30" s="703">
        <f t="shared" si="12"/>
        <v>100</v>
      </c>
      <c r="T30" s="702" t="s">
        <v>14</v>
      </c>
      <c r="U30" s="703">
        <f t="shared" si="13"/>
        <v>100</v>
      </c>
      <c r="V30" s="702" t="s">
        <v>14</v>
      </c>
      <c r="W30" s="703">
        <f t="shared" si="14"/>
        <v>100</v>
      </c>
      <c r="X30" s="3450"/>
      <c r="Y30" s="3713"/>
      <c r="Z30" s="3451">
        <f t="shared" si="15"/>
        <v>111</v>
      </c>
      <c r="AA30" s="3449">
        <f t="shared" si="3"/>
        <v>1</v>
      </c>
      <c r="AB30" s="34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0"/>
      <c r="Q31" s="3448">
        <f t="shared" si="11"/>
        <v>111</v>
      </c>
      <c r="R31" s="702" t="s">
        <v>14</v>
      </c>
      <c r="S31" s="703">
        <f t="shared" si="12"/>
        <v>100</v>
      </c>
      <c r="T31" s="702" t="s">
        <v>14</v>
      </c>
      <c r="U31" s="703">
        <f t="shared" si="13"/>
        <v>100</v>
      </c>
      <c r="V31" s="702" t="s">
        <v>14</v>
      </c>
      <c r="W31" s="703">
        <f t="shared" si="14"/>
        <v>100</v>
      </c>
      <c r="X31" s="3450"/>
      <c r="Y31" s="3713"/>
      <c r="Z31" s="3451">
        <f t="shared" si="15"/>
        <v>111</v>
      </c>
      <c r="AA31" s="3449">
        <f t="shared" si="3"/>
        <v>1</v>
      </c>
      <c r="AB31" s="34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0"/>
      <c r="Q32" s="3448">
        <f t="shared" si="11"/>
        <v>111</v>
      </c>
      <c r="R32" s="702" t="s">
        <v>14</v>
      </c>
      <c r="S32" s="703">
        <f t="shared" si="12"/>
        <v>100</v>
      </c>
      <c r="T32" s="702" t="s">
        <v>14</v>
      </c>
      <c r="U32" s="703">
        <f t="shared" si="13"/>
        <v>100</v>
      </c>
      <c r="V32" s="702" t="s">
        <v>14</v>
      </c>
      <c r="W32" s="703">
        <f t="shared" si="14"/>
        <v>100</v>
      </c>
      <c r="X32" s="3450"/>
      <c r="Y32" s="3713"/>
      <c r="Z32" s="3451">
        <f t="shared" si="15"/>
        <v>111</v>
      </c>
      <c r="AA32" s="3449">
        <f t="shared" si="3"/>
        <v>1</v>
      </c>
      <c r="AB32" s="3449">
        <f t="shared" si="4"/>
        <v>1</v>
      </c>
      <c r="AC32" s="1958">
        <f t="shared" si="5"/>
        <v>1</v>
      </c>
    </row>
    <row r="33" spans="1:29" ht="15">
      <c r="A33" s="391" t="s">
        <v>1694</v>
      </c>
      <c r="B33" s="63" t="s">
        <v>1817</v>
      </c>
      <c r="C33" s="1963" t="s">
        <v>3406</v>
      </c>
      <c r="D33" s="418">
        <v>100</v>
      </c>
      <c r="E33" s="1963" t="s">
        <v>3406</v>
      </c>
      <c r="F33" s="412">
        <f>SUMIF(101:101,E33,102:102)-SUMIF(101:101,C33,102:102)+100</f>
        <v>100</v>
      </c>
      <c r="G33" s="1963" t="s">
        <v>3406</v>
      </c>
      <c r="H33" s="386">
        <f>SUMIF(101:101,G33,102:102)-SUMIF(101:101,C33,102:102)+100</f>
        <v>100</v>
      </c>
      <c r="I33" s="1963" t="s">
        <v>3406</v>
      </c>
      <c r="J33" s="418">
        <f>SUMIF(101:101,I33,102:102)-SUMIF(101:101,C33,102:102)+100</f>
        <v>100</v>
      </c>
      <c r="K33" s="561">
        <v>1</v>
      </c>
      <c r="L33" s="2718"/>
      <c r="M33" s="2712"/>
      <c r="N33" s="2712"/>
      <c r="O33" s="2712"/>
      <c r="P33" s="3714" t="s">
        <v>1696</v>
      </c>
      <c r="Q33" s="3448" t="str">
        <f t="shared" si="11"/>
        <v>建筑类型</v>
      </c>
      <c r="R33" s="702" t="s">
        <v>14</v>
      </c>
      <c r="S33" s="703">
        <f t="shared" si="12"/>
        <v>100</v>
      </c>
      <c r="T33" s="702" t="s">
        <v>14</v>
      </c>
      <c r="U33" s="703">
        <f t="shared" si="13"/>
        <v>100</v>
      </c>
      <c r="V33" s="702" t="s">
        <v>14</v>
      </c>
      <c r="W33" s="703">
        <f t="shared" si="14"/>
        <v>100</v>
      </c>
      <c r="X33" s="3450"/>
      <c r="Y33" s="3717" t="s">
        <v>1696</v>
      </c>
      <c r="Z33" s="3451" t="str">
        <f t="shared" si="15"/>
        <v>建筑类型</v>
      </c>
      <c r="AA33" s="3449">
        <f t="shared" si="3"/>
        <v>1</v>
      </c>
      <c r="AB33" s="3449">
        <f t="shared" si="4"/>
        <v>1</v>
      </c>
      <c r="AC33" s="1958">
        <f t="shared" si="5"/>
        <v>1</v>
      </c>
    </row>
    <row r="34" spans="1:29" s="422" customFormat="1" ht="15">
      <c r="A34" s="419"/>
      <c r="B34" s="375" t="s">
        <v>1697</v>
      </c>
      <c r="C34" s="420">
        <f>'数据-汇总表'!F19</f>
        <v>2625.54</v>
      </c>
      <c r="D34" s="127">
        <v>100</v>
      </c>
      <c r="E34" s="420">
        <v>222.83</v>
      </c>
      <c r="F34" s="376">
        <f>LOOKUP(E34,104:104,105:105)-LOOKUP(C34,104:104,105:105)+100</f>
        <v>198</v>
      </c>
      <c r="G34" s="420">
        <v>254.15</v>
      </c>
      <c r="H34" s="127">
        <f>LOOKUP(G34,104:104,105:105)-LOOKUP(C34,104:104,105:105)+100</f>
        <v>198</v>
      </c>
      <c r="I34" s="420">
        <v>361.84</v>
      </c>
      <c r="J34" s="127">
        <f>LOOKUP(I34,104:104,105:105)-LOOKUP(C34,104:104,105:105)+100</f>
        <v>200</v>
      </c>
      <c r="K34" s="562"/>
      <c r="L34" s="2717"/>
      <c r="M34" s="2719"/>
      <c r="N34" s="2719"/>
      <c r="O34" s="2719"/>
      <c r="P34" s="3715"/>
      <c r="Q34" s="704" t="str">
        <f t="shared" si="11"/>
        <v>项目建筑规模</v>
      </c>
      <c r="R34" s="705" t="s">
        <v>14</v>
      </c>
      <c r="S34" s="706">
        <f t="shared" si="12"/>
        <v>198</v>
      </c>
      <c r="T34" s="705" t="s">
        <v>14</v>
      </c>
      <c r="U34" s="706">
        <f t="shared" si="13"/>
        <v>198</v>
      </c>
      <c r="V34" s="705" t="s">
        <v>14</v>
      </c>
      <c r="W34" s="706">
        <f t="shared" si="14"/>
        <v>200</v>
      </c>
      <c r="X34" s="707"/>
      <c r="Y34" s="3717"/>
      <c r="Z34" s="708" t="str">
        <f t="shared" si="15"/>
        <v>项目建筑规模</v>
      </c>
      <c r="AA34" s="3449">
        <f t="shared" si="3"/>
        <v>0.50505050505050508</v>
      </c>
      <c r="AB34" s="3449">
        <f t="shared" si="4"/>
        <v>0.50505050505050508</v>
      </c>
      <c r="AC34" s="1958">
        <f t="shared" si="5"/>
        <v>0.5</v>
      </c>
    </row>
    <row r="35" spans="1:29" ht="15">
      <c r="A35" s="423"/>
      <c r="B35" s="375" t="s">
        <v>1698</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8"/>
      <c r="M35" s="2712"/>
      <c r="N35" s="2712"/>
      <c r="O35" s="2712"/>
      <c r="P35" s="3715"/>
      <c r="Q35" s="3448" t="str">
        <f t="shared" si="11"/>
        <v>建筑结构</v>
      </c>
      <c r="R35" s="702" t="s">
        <v>14</v>
      </c>
      <c r="S35" s="703">
        <f t="shared" si="12"/>
        <v>100</v>
      </c>
      <c r="T35" s="702" t="s">
        <v>14</v>
      </c>
      <c r="U35" s="703">
        <f t="shared" si="13"/>
        <v>100</v>
      </c>
      <c r="V35" s="702" t="s">
        <v>14</v>
      </c>
      <c r="W35" s="703">
        <f t="shared" si="14"/>
        <v>100</v>
      </c>
      <c r="X35" s="3450"/>
      <c r="Y35" s="3717"/>
      <c r="Z35" s="3451" t="str">
        <f t="shared" si="15"/>
        <v>建筑结构</v>
      </c>
      <c r="AA35" s="3449">
        <f t="shared" si="3"/>
        <v>1</v>
      </c>
      <c r="AB35" s="3449">
        <f t="shared" si="4"/>
        <v>1</v>
      </c>
      <c r="AC35" s="1958">
        <f t="shared" si="5"/>
        <v>1</v>
      </c>
    </row>
    <row r="36" spans="1:29" ht="15">
      <c r="A36" s="423"/>
      <c r="B36" s="375" t="s">
        <v>1785</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1</v>
      </c>
      <c r="L36" s="2718"/>
      <c r="M36" s="2712"/>
      <c r="N36" s="2712"/>
      <c r="O36" s="2712"/>
      <c r="P36" s="3715"/>
      <c r="Q36" s="3448" t="str">
        <f t="shared" si="11"/>
        <v>公共部分装修</v>
      </c>
      <c r="R36" s="702" t="s">
        <v>14</v>
      </c>
      <c r="S36" s="703">
        <f t="shared" si="12"/>
        <v>100</v>
      </c>
      <c r="T36" s="702" t="s">
        <v>14</v>
      </c>
      <c r="U36" s="703">
        <f t="shared" si="13"/>
        <v>100</v>
      </c>
      <c r="V36" s="702" t="s">
        <v>14</v>
      </c>
      <c r="W36" s="703">
        <f t="shared" si="14"/>
        <v>100</v>
      </c>
      <c r="X36" s="3450"/>
      <c r="Y36" s="3717"/>
      <c r="Z36" s="3451" t="str">
        <f t="shared" si="15"/>
        <v>公共部分装修</v>
      </c>
      <c r="AA36" s="3449">
        <f t="shared" si="3"/>
        <v>1</v>
      </c>
      <c r="AB36" s="3449">
        <f t="shared" si="4"/>
        <v>1</v>
      </c>
      <c r="AC36" s="1958">
        <f t="shared" si="5"/>
        <v>1</v>
      </c>
    </row>
    <row r="37" spans="1:29" ht="15">
      <c r="A37" s="423"/>
      <c r="B37" s="375" t="s">
        <v>1786</v>
      </c>
      <c r="C37" s="425">
        <f>'数据-取费表'!N6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v>2</v>
      </c>
      <c r="L37" s="2718"/>
      <c r="M37" s="2712"/>
      <c r="N37" s="2712"/>
      <c r="O37" s="2712"/>
      <c r="P37" s="3715"/>
      <c r="Q37" s="3448" t="str">
        <f t="shared" si="11"/>
        <v>成新度</v>
      </c>
      <c r="R37" s="702" t="s">
        <v>14</v>
      </c>
      <c r="S37" s="703">
        <f t="shared" si="12"/>
        <v>100</v>
      </c>
      <c r="T37" s="702" t="s">
        <v>14</v>
      </c>
      <c r="U37" s="703">
        <f t="shared" si="13"/>
        <v>100</v>
      </c>
      <c r="V37" s="702" t="s">
        <v>14</v>
      </c>
      <c r="W37" s="703">
        <f t="shared" si="14"/>
        <v>100</v>
      </c>
      <c r="X37" s="3450"/>
      <c r="Y37" s="3717"/>
      <c r="Z37" s="3451" t="str">
        <f t="shared" si="15"/>
        <v>成新度</v>
      </c>
      <c r="AA37" s="3449">
        <f t="shared" si="3"/>
        <v>1</v>
      </c>
      <c r="AB37" s="34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5"/>
      <c r="Q38" s="3446" t="str">
        <f t="shared" si="11"/>
        <v>写字楼等级</v>
      </c>
      <c r="R38" s="698" t="s">
        <v>14</v>
      </c>
      <c r="S38" s="699">
        <f t="shared" si="12"/>
        <v>100</v>
      </c>
      <c r="T38" s="698" t="s">
        <v>14</v>
      </c>
      <c r="U38" s="699">
        <f t="shared" si="13"/>
        <v>100</v>
      </c>
      <c r="V38" s="698" t="s">
        <v>14</v>
      </c>
      <c r="W38" s="699">
        <f t="shared" si="14"/>
        <v>100</v>
      </c>
      <c r="X38" s="700"/>
      <c r="Y38" s="3717"/>
      <c r="Z38" s="3445" t="str">
        <f t="shared" si="15"/>
        <v>写字楼等级</v>
      </c>
      <c r="AA38" s="701">
        <f t="shared" si="3"/>
        <v>1</v>
      </c>
      <c r="AB38" s="701">
        <f t="shared" si="4"/>
        <v>1</v>
      </c>
      <c r="AC38" s="1955">
        <f t="shared" si="5"/>
        <v>1</v>
      </c>
    </row>
    <row r="39" spans="1:29" ht="15">
      <c r="A39" s="423"/>
      <c r="B39" s="375" t="s">
        <v>1819</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8"/>
      <c r="M39" s="2712"/>
      <c r="N39" s="2712"/>
      <c r="O39" s="2712"/>
      <c r="P39" s="3715" t="s">
        <v>1696</v>
      </c>
      <c r="Q39" s="3448" t="str">
        <f t="shared" si="11"/>
        <v>物业管理</v>
      </c>
      <c r="R39" s="702" t="s">
        <v>14</v>
      </c>
      <c r="S39" s="703">
        <f t="shared" si="12"/>
        <v>100</v>
      </c>
      <c r="T39" s="702" t="s">
        <v>14</v>
      </c>
      <c r="U39" s="703">
        <f t="shared" si="13"/>
        <v>100</v>
      </c>
      <c r="V39" s="702" t="s">
        <v>14</v>
      </c>
      <c r="W39" s="703">
        <f t="shared" si="14"/>
        <v>100</v>
      </c>
      <c r="X39" s="3450"/>
      <c r="Y39" s="3717" t="s">
        <v>1696</v>
      </c>
      <c r="Z39" s="3451" t="str">
        <f t="shared" si="15"/>
        <v>物业管理</v>
      </c>
      <c r="AA39" s="3449">
        <f t="shared" si="3"/>
        <v>1</v>
      </c>
      <c r="AB39" s="3449">
        <f t="shared" si="4"/>
        <v>1</v>
      </c>
      <c r="AC39" s="1958">
        <f t="shared" si="5"/>
        <v>1</v>
      </c>
    </row>
    <row r="40" spans="1:29" ht="15">
      <c r="A40" s="423"/>
      <c r="B40" s="375" t="s">
        <v>1787</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18"/>
      <c r="M40" s="2712"/>
      <c r="N40" s="2712"/>
      <c r="O40" s="2712"/>
      <c r="P40" s="3715"/>
      <c r="Q40" s="3448" t="str">
        <f t="shared" si="11"/>
        <v>市政基础设施</v>
      </c>
      <c r="R40" s="702" t="s">
        <v>14</v>
      </c>
      <c r="S40" s="703">
        <f t="shared" si="12"/>
        <v>100</v>
      </c>
      <c r="T40" s="702" t="s">
        <v>14</v>
      </c>
      <c r="U40" s="703">
        <f t="shared" si="13"/>
        <v>100</v>
      </c>
      <c r="V40" s="702" t="s">
        <v>14</v>
      </c>
      <c r="W40" s="703">
        <f t="shared" si="14"/>
        <v>100</v>
      </c>
      <c r="X40" s="3450"/>
      <c r="Y40" s="3717"/>
      <c r="Z40" s="3451" t="str">
        <f t="shared" si="15"/>
        <v>市政基础设施</v>
      </c>
      <c r="AA40" s="3449">
        <f t="shared" si="3"/>
        <v>1</v>
      </c>
      <c r="AB40" s="34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5"/>
      <c r="Q41" s="3448" t="str">
        <f t="shared" si="11"/>
        <v>层高</v>
      </c>
      <c r="R41" s="702" t="s">
        <v>14</v>
      </c>
      <c r="S41" s="703">
        <f t="shared" si="12"/>
        <v>100</v>
      </c>
      <c r="T41" s="702" t="s">
        <v>14</v>
      </c>
      <c r="U41" s="703">
        <f t="shared" si="13"/>
        <v>100</v>
      </c>
      <c r="V41" s="702" t="s">
        <v>14</v>
      </c>
      <c r="W41" s="703">
        <f t="shared" si="14"/>
        <v>100</v>
      </c>
      <c r="X41" s="3450"/>
      <c r="Y41" s="3717"/>
      <c r="Z41" s="3451" t="str">
        <f t="shared" si="15"/>
        <v>层高</v>
      </c>
      <c r="AA41" s="3449">
        <f t="shared" si="3"/>
        <v>1</v>
      </c>
      <c r="AB41" s="3449">
        <f t="shared" si="4"/>
        <v>1</v>
      </c>
      <c r="AC41" s="1958">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5"/>
      <c r="Q42" s="704" t="str">
        <f t="shared" si="11"/>
        <v>单套建筑面积</v>
      </c>
      <c r="R42" s="705" t="s">
        <v>14</v>
      </c>
      <c r="S42" s="706">
        <f t="shared" si="12"/>
        <v>100</v>
      </c>
      <c r="T42" s="705" t="s">
        <v>14</v>
      </c>
      <c r="U42" s="706">
        <f t="shared" si="13"/>
        <v>100</v>
      </c>
      <c r="V42" s="705" t="s">
        <v>14</v>
      </c>
      <c r="W42" s="706">
        <f t="shared" si="14"/>
        <v>100</v>
      </c>
      <c r="X42" s="707"/>
      <c r="Y42" s="3717"/>
      <c r="Z42" s="708" t="str">
        <f t="shared" si="15"/>
        <v>单套建筑面积</v>
      </c>
      <c r="AA42" s="3449">
        <f t="shared" si="3"/>
        <v>1</v>
      </c>
      <c r="AB42" s="3449">
        <f t="shared" si="4"/>
        <v>1</v>
      </c>
      <c r="AC42" s="1958">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2</v>
      </c>
      <c r="L43" s="2718"/>
      <c r="M43" s="2712"/>
      <c r="N43" s="2712"/>
      <c r="O43" s="2712"/>
      <c r="P43" s="3715"/>
      <c r="Q43" s="3448" t="str">
        <f t="shared" si="11"/>
        <v>内部装修</v>
      </c>
      <c r="R43" s="702" t="s">
        <v>14</v>
      </c>
      <c r="S43" s="703">
        <f t="shared" si="12"/>
        <v>100</v>
      </c>
      <c r="T43" s="702" t="s">
        <v>14</v>
      </c>
      <c r="U43" s="703">
        <f t="shared" si="13"/>
        <v>100</v>
      </c>
      <c r="V43" s="702" t="s">
        <v>14</v>
      </c>
      <c r="W43" s="703">
        <f t="shared" si="14"/>
        <v>100</v>
      </c>
      <c r="X43" s="3450"/>
      <c r="Y43" s="3717"/>
      <c r="Z43" s="3451" t="str">
        <f t="shared" si="15"/>
        <v>内部装修</v>
      </c>
      <c r="AA43" s="3449">
        <f t="shared" si="3"/>
        <v>1</v>
      </c>
      <c r="AB43" s="3449">
        <f t="shared" si="4"/>
        <v>1</v>
      </c>
      <c r="AC43" s="1958">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2</v>
      </c>
      <c r="L44" s="2718"/>
      <c r="M44" s="2712"/>
      <c r="N44" s="2712"/>
      <c r="O44" s="2712"/>
      <c r="P44" s="3715"/>
      <c r="Q44" s="3448" t="str">
        <f t="shared" si="11"/>
        <v>内部装修维护情况</v>
      </c>
      <c r="R44" s="702" t="s">
        <v>14</v>
      </c>
      <c r="S44" s="703">
        <f t="shared" si="12"/>
        <v>100</v>
      </c>
      <c r="T44" s="702" t="s">
        <v>14</v>
      </c>
      <c r="U44" s="703">
        <f t="shared" si="13"/>
        <v>100</v>
      </c>
      <c r="V44" s="702" t="s">
        <v>14</v>
      </c>
      <c r="W44" s="703">
        <f t="shared" si="14"/>
        <v>100</v>
      </c>
      <c r="X44" s="3450"/>
      <c r="Y44" s="3717"/>
      <c r="Z44" s="3451" t="str">
        <f t="shared" si="15"/>
        <v>内部装修维护情况</v>
      </c>
      <c r="AA44" s="3449">
        <f t="shared" si="3"/>
        <v>1</v>
      </c>
      <c r="AB44" s="34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5"/>
      <c r="Q45" s="3446">
        <f t="shared" si="11"/>
        <v>111</v>
      </c>
      <c r="R45" s="698" t="s">
        <v>14</v>
      </c>
      <c r="S45" s="699">
        <f t="shared" si="12"/>
        <v>100</v>
      </c>
      <c r="T45" s="698" t="s">
        <v>14</v>
      </c>
      <c r="U45" s="699">
        <f t="shared" si="13"/>
        <v>100</v>
      </c>
      <c r="V45" s="698" t="s">
        <v>14</v>
      </c>
      <c r="W45" s="699">
        <f t="shared" si="14"/>
        <v>100</v>
      </c>
      <c r="X45" s="700"/>
      <c r="Y45" s="3717"/>
      <c r="Z45" s="3445">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5"/>
      <c r="Q46" s="3448">
        <f t="shared" si="11"/>
        <v>111</v>
      </c>
      <c r="R46" s="702" t="s">
        <v>14</v>
      </c>
      <c r="S46" s="703">
        <f t="shared" si="12"/>
        <v>100</v>
      </c>
      <c r="T46" s="702" t="s">
        <v>14</v>
      </c>
      <c r="U46" s="703">
        <f t="shared" si="13"/>
        <v>100</v>
      </c>
      <c r="V46" s="702" t="s">
        <v>14</v>
      </c>
      <c r="W46" s="703">
        <f t="shared" si="14"/>
        <v>100</v>
      </c>
      <c r="X46" s="3450"/>
      <c r="Y46" s="3717"/>
      <c r="Z46" s="3451">
        <f t="shared" si="15"/>
        <v>111</v>
      </c>
      <c r="AA46" s="3449">
        <f t="shared" si="3"/>
        <v>1</v>
      </c>
      <c r="AB46" s="34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6"/>
      <c r="Q47" s="3448">
        <f t="shared" si="11"/>
        <v>111</v>
      </c>
      <c r="R47" s="702" t="s">
        <v>14</v>
      </c>
      <c r="S47" s="703">
        <f t="shared" si="12"/>
        <v>100</v>
      </c>
      <c r="T47" s="702" t="s">
        <v>14</v>
      </c>
      <c r="U47" s="703">
        <f t="shared" si="13"/>
        <v>100</v>
      </c>
      <c r="V47" s="702" t="s">
        <v>14</v>
      </c>
      <c r="W47" s="703">
        <f t="shared" si="14"/>
        <v>100</v>
      </c>
      <c r="X47" s="3450"/>
      <c r="Y47" s="3718"/>
      <c r="Z47" s="3451">
        <f t="shared" si="15"/>
        <v>111</v>
      </c>
      <c r="AA47" s="3449">
        <f t="shared" si="3"/>
        <v>1</v>
      </c>
      <c r="AB47" s="3449">
        <f t="shared" si="4"/>
        <v>1</v>
      </c>
      <c r="AC47" s="1958">
        <f t="shared" si="5"/>
        <v>1</v>
      </c>
    </row>
    <row r="48" spans="1:29" ht="15">
      <c r="A48" s="430" t="s">
        <v>1708</v>
      </c>
      <c r="B48" s="431"/>
      <c r="C48" s="1151" t="s">
        <v>0</v>
      </c>
      <c r="D48" s="1152"/>
      <c r="E48" s="1153">
        <v>5.5</v>
      </c>
      <c r="F48" s="1154"/>
      <c r="G48" s="1155">
        <v>5.5</v>
      </c>
      <c r="H48" s="1156"/>
      <c r="I48" s="1153">
        <v>4.9000000000000004</v>
      </c>
      <c r="J48" s="436"/>
      <c r="K48" s="711"/>
      <c r="L48" s="2720"/>
      <c r="M48" s="2712"/>
      <c r="N48" s="2712"/>
      <c r="O48" s="2712"/>
      <c r="P48" s="3721" t="str">
        <f>A48</f>
        <v>成交单价（元/平方米）</v>
      </c>
      <c r="Q48" s="3710"/>
      <c r="R48" s="3711">
        <f>E48</f>
        <v>5.5</v>
      </c>
      <c r="S48" s="3711"/>
      <c r="T48" s="3711">
        <f>G48</f>
        <v>5.5</v>
      </c>
      <c r="U48" s="3711"/>
      <c r="V48" s="3711">
        <f>I48</f>
        <v>4.9000000000000004</v>
      </c>
      <c r="W48" s="3711"/>
      <c r="X48" s="397"/>
      <c r="Y48" s="709"/>
      <c r="Z48" s="397"/>
      <c r="AA48" s="397"/>
      <c r="AB48" s="397"/>
      <c r="AC48" s="578"/>
    </row>
    <row r="49" spans="1:29" ht="15.75" thickBot="1">
      <c r="A49" s="437" t="s">
        <v>1709</v>
      </c>
      <c r="B49" s="438"/>
      <c r="C49" s="1157">
        <f>R50</f>
        <v>2.6</v>
      </c>
      <c r="D49" s="2313" t="s">
        <v>2137</v>
      </c>
      <c r="E49" s="1158">
        <f>R49</f>
        <v>2.7</v>
      </c>
      <c r="F49" s="2314"/>
      <c r="G49" s="1157">
        <f>T49</f>
        <v>2.7</v>
      </c>
      <c r="H49" s="2314"/>
      <c r="I49" s="1158">
        <f>V49</f>
        <v>2.4</v>
      </c>
      <c r="J49" s="2314"/>
      <c r="K49" s="2316">
        <f>F49+H49+J49</f>
        <v>0</v>
      </c>
      <c r="L49" s="2720"/>
      <c r="M49" s="2712"/>
      <c r="N49" s="2712"/>
      <c r="O49" s="2712"/>
      <c r="P49" s="3721" t="str">
        <f>A49</f>
        <v>比较价值（元/平方米）</v>
      </c>
      <c r="Q49" s="3710"/>
      <c r="R49" s="3711">
        <f>IF(F1="售价",ROUND(PRODUCT(R48,AA7:AA47),0),ROUND(PRODUCT(R48,AA7:AA47),1))</f>
        <v>2.7</v>
      </c>
      <c r="S49" s="3711"/>
      <c r="T49" s="3711">
        <f>IF(F1="售价",ROUND(PRODUCT(T48,AB7:AB47),0),ROUND(PRODUCT(T48,AB7:AB47),1))</f>
        <v>2.7</v>
      </c>
      <c r="U49" s="3711"/>
      <c r="V49" s="3711">
        <f>IF(F1="售价",ROUND(PRODUCT(V48,AC7:AC47),0),ROUND(PRODUCT(V48,AC7:AC47),1))</f>
        <v>2.4</v>
      </c>
      <c r="W49" s="3711"/>
      <c r="X49" s="397"/>
      <c r="Y49" s="397"/>
      <c r="Z49" s="397"/>
      <c r="AA49" s="397"/>
      <c r="AB49" s="397"/>
      <c r="AC49" s="578"/>
    </row>
    <row r="50" spans="1:29" ht="15.75" thickBot="1">
      <c r="A50" s="441" t="s">
        <v>1710</v>
      </c>
      <c r="B50" s="442"/>
      <c r="C50" s="1160">
        <f>R50</f>
        <v>2.6</v>
      </c>
      <c r="D50" s="1160"/>
      <c r="E50" s="1160"/>
      <c r="F50" s="1160"/>
      <c r="G50" s="1160"/>
      <c r="H50" s="1160"/>
      <c r="I50" s="1160"/>
      <c r="J50" s="443"/>
      <c r="K50" s="712"/>
      <c r="L50" s="2720"/>
      <c r="M50" s="2712"/>
      <c r="N50" s="2712"/>
      <c r="O50" s="2712"/>
      <c r="P50" s="3774" t="str">
        <f>A50</f>
        <v>估价对象XX用房的比较价值（楼面单价，元/平方米）</v>
      </c>
      <c r="Q50" s="3775"/>
      <c r="R50" s="3776">
        <f>IF(F1="售价",ROUND(IF(D49="简单平均",AVERAGE(R49:V49),R49*F49+T49*H49+V49*J49),0),ROUND(IF(D49="简单平均",AVERAGE(R49:V49),R49*F49+T49*H49+V49*J49),1))</f>
        <v>2.6</v>
      </c>
      <c r="S50" s="3776"/>
      <c r="T50" s="3776"/>
      <c r="U50" s="3776"/>
      <c r="V50" s="3776"/>
      <c r="W50" s="3776"/>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1711</v>
      </c>
      <c r="D53" s="447"/>
      <c r="E53" s="448">
        <f>IF(E48&lt;E49,E49/E48-1,E48/E49-1)</f>
        <v>1.0370370370370368</v>
      </c>
      <c r="F53" s="449" t="str">
        <f>IF(OR(E53&gt;=0.3,E53&lt;=-0.3),"超过30%","")</f>
        <v>超过30%</v>
      </c>
      <c r="G53" s="448">
        <f>IF(G48&lt;G49,G49/G48-1,G48/G49-1)</f>
        <v>1.0370370370370368</v>
      </c>
      <c r="H53" s="449" t="str">
        <f>IF(OR(G53&gt;=0.3,G53&lt;=-0.3),"超过30%","")</f>
        <v>超过30%</v>
      </c>
      <c r="I53" s="448">
        <f>IF(I48&lt;I49,I49/I48-1,I48/I49-1)</f>
        <v>1.041666666666667</v>
      </c>
      <c r="J53" s="449" t="str">
        <f>IF(OR(I53&gt;=0.3,I53&lt;=-0.3),"超过30%","")</f>
        <v>超过30%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1712</v>
      </c>
      <c r="D54" s="450"/>
      <c r="E54" s="448">
        <f>IF(E49&lt;G49,G49/E49-1,E49/G49-1)</f>
        <v>0</v>
      </c>
      <c r="F54" s="449" t="str">
        <f>IF(OR(E54&gt;=0.2,E54&lt;=-0.2),"超过20%","")</f>
        <v/>
      </c>
      <c r="G54" s="448">
        <f>IF(G49&lt;I49,I49/G49-1,G49/I49-1)</f>
        <v>0.12500000000000022</v>
      </c>
      <c r="H54" s="449" t="str">
        <f>IF(OR(G54&gt;=0.2,G54&lt;=-0.2),"超过20%","")</f>
        <v/>
      </c>
      <c r="I54" s="448">
        <f>IF(I49&lt;E49,E49/I49-1,I49/E49-1)</f>
        <v>0.12500000000000022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1714</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1718</v>
      </c>
      <c r="D62" s="3453" t="s">
        <v>3393</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3395</v>
      </c>
      <c r="D87" s="3454" t="s">
        <v>3396</v>
      </c>
      <c r="E87" s="3454" t="s">
        <v>3397</v>
      </c>
      <c r="F87" s="3454" t="s">
        <v>3398</v>
      </c>
      <c r="G87" s="3454" t="s">
        <v>3399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3401</v>
      </c>
      <c r="D89" s="3454" t="s">
        <v>3403</v>
      </c>
      <c r="E89" s="3454" t="s">
        <v>3405</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3407</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1000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3409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3411</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3412</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3414</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3415</v>
      </c>
      <c r="D117" s="503" t="s">
        <v>3416</v>
      </c>
      <c r="E117" s="503" t="s">
        <v>3417</v>
      </c>
      <c r="F117" s="503" t="s">
        <v>3418</v>
      </c>
      <c r="G117" s="503" t="s">
        <v>3419</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3411</v>
      </c>
      <c r="D123" s="3454" t="s">
        <v>3421</v>
      </c>
      <c r="E123" s="3454" t="s">
        <v>3422</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39" priority="20" stopIfTrue="1" operator="containsText" text="超过">
      <formula>NOT(ISERROR(SEARCH("超过",F53)))</formula>
    </cfRule>
  </conditionalFormatting>
  <conditionalFormatting sqref="H55">
    <cfRule type="containsText" dxfId="38" priority="19" stopIfTrue="1" operator="containsText" text="超过">
      <formula>NOT(ISERROR(SEARCH("超过",H55)))</formula>
    </cfRule>
  </conditionalFormatting>
  <conditionalFormatting sqref="F55">
    <cfRule type="containsText" dxfId="37" priority="18" stopIfTrue="1" operator="containsText" text="超过">
      <formula>NOT(ISERROR(SEARCH("超过",F55)))</formula>
    </cfRule>
  </conditionalFormatting>
  <conditionalFormatting sqref="F54 H54">
    <cfRule type="containsText" dxfId="36" priority="17" stopIfTrue="1" operator="containsText" text="超过">
      <formula>NOT(ISERROR(SEARCH("超过",F54)))</formula>
    </cfRule>
  </conditionalFormatting>
  <conditionalFormatting sqref="E53">
    <cfRule type="expression" dxfId="35" priority="16" stopIfTrue="1">
      <formula>$F$53="超过30%"</formula>
    </cfRule>
  </conditionalFormatting>
  <conditionalFormatting sqref="E54">
    <cfRule type="expression" dxfId="34" priority="15" stopIfTrue="1">
      <formula>$F$54="超过20%"</formula>
    </cfRule>
  </conditionalFormatting>
  <conditionalFormatting sqref="E55">
    <cfRule type="expression" dxfId="33" priority="14" stopIfTrue="1">
      <formula>$F$55="超过30%"</formula>
    </cfRule>
  </conditionalFormatting>
  <conditionalFormatting sqref="G55">
    <cfRule type="expression" dxfId="32" priority="13" stopIfTrue="1">
      <formula>$H$55="超过30%"</formula>
    </cfRule>
  </conditionalFormatting>
  <conditionalFormatting sqref="G53">
    <cfRule type="expression" dxfId="31" priority="12" stopIfTrue="1">
      <formula>$H$53="超过30%"</formula>
    </cfRule>
  </conditionalFormatting>
  <conditionalFormatting sqref="G54">
    <cfRule type="expression" dxfId="30" priority="11" stopIfTrue="1">
      <formula>$H$54="超过20%"</formula>
    </cfRule>
  </conditionalFormatting>
  <conditionalFormatting sqref="J53">
    <cfRule type="containsText" dxfId="29" priority="10" stopIfTrue="1" operator="containsText" text="超过">
      <formula>NOT(ISERROR(SEARCH("超过",J53)))</formula>
    </cfRule>
  </conditionalFormatting>
  <conditionalFormatting sqref="J55">
    <cfRule type="containsText" dxfId="28" priority="9" stopIfTrue="1" operator="containsText" text="超过">
      <formula>NOT(ISERROR(SEARCH("超过",J55)))</formula>
    </cfRule>
  </conditionalFormatting>
  <conditionalFormatting sqref="J54">
    <cfRule type="containsText" dxfId="27" priority="8" stopIfTrue="1" operator="containsText" text="超过">
      <formula>NOT(ISERROR(SEARCH("超过",J54)))</formula>
    </cfRule>
  </conditionalFormatting>
  <conditionalFormatting sqref="I53">
    <cfRule type="expression" dxfId="26" priority="7" stopIfTrue="1">
      <formula>$J$53="超过30%"</formula>
    </cfRule>
  </conditionalFormatting>
  <conditionalFormatting sqref="I54">
    <cfRule type="expression" dxfId="25" priority="6" stopIfTrue="1">
      <formula>$J$53+$J$54="超过20%"</formula>
    </cfRule>
  </conditionalFormatting>
  <conditionalFormatting sqref="I55">
    <cfRule type="expression" dxfId="24" priority="5" stopIfTrue="1">
      <formula>$J$55="超过30%"</formula>
    </cfRule>
  </conditionalFormatting>
  <conditionalFormatting sqref="F49">
    <cfRule type="expression" dxfId="23" priority="4">
      <formula>$D$49="简单平均"</formula>
    </cfRule>
  </conditionalFormatting>
  <conditionalFormatting sqref="H49">
    <cfRule type="expression" dxfId="22" priority="3">
      <formula>$D$49="简单平均"</formula>
    </cfRule>
  </conditionalFormatting>
  <conditionalFormatting sqref="J49">
    <cfRule type="expression" dxfId="21" priority="2">
      <formula>$D$49="简单平均"</formula>
    </cfRule>
  </conditionalFormatting>
  <conditionalFormatting sqref="F7:F47 H7:H47 J7:J47">
    <cfRule type="cellIs" dxfId="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6" sqref="G6:H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3390</v>
      </c>
      <c r="F1" s="1875" t="s">
        <v>3389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41839</v>
      </c>
      <c r="C3" s="354" t="s">
        <v>1768</v>
      </c>
      <c r="D3" s="353">
        <f>IF(D1="",'数据-汇总表'!E3,SUMIF('数据-汇总表'!$C19:$C33,D1,'数据-汇总表'!$E19:$E33))</f>
        <v>0</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5" t="s">
        <v>1775</v>
      </c>
      <c r="Q4" s="3786"/>
      <c r="R4" s="3778" t="s">
        <v>1771</v>
      </c>
      <c r="S4" s="3779"/>
      <c r="T4" s="3778" t="s">
        <v>1772</v>
      </c>
      <c r="U4" s="3779"/>
      <c r="V4" s="3780" t="s">
        <v>1773</v>
      </c>
      <c r="W4" s="3780"/>
      <c r="X4" s="1954"/>
      <c r="Y4" s="3778" t="s">
        <v>1775</v>
      </c>
      <c r="Z4" s="3779"/>
      <c r="AA4" s="3781" t="s">
        <v>1771</v>
      </c>
      <c r="AB4" s="3781" t="s">
        <v>1772</v>
      </c>
      <c r="AC4" s="3782" t="s">
        <v>1773</v>
      </c>
    </row>
    <row r="5" spans="1:29" ht="15">
      <c r="A5" s="358"/>
      <c r="B5" s="359"/>
      <c r="C5" s="3744" t="s">
        <v>1673</v>
      </c>
      <c r="D5" s="3745"/>
      <c r="E5" s="3790" t="s">
        <v>3432</v>
      </c>
      <c r="F5" s="3752"/>
      <c r="G5" s="3789" t="s">
        <v>3433</v>
      </c>
      <c r="H5" s="3745"/>
      <c r="I5" s="3789" t="s">
        <v>3431</v>
      </c>
      <c r="J5" s="3745"/>
      <c r="K5" s="559"/>
      <c r="L5" s="2711"/>
      <c r="M5" s="2712"/>
      <c r="N5" s="2712"/>
      <c r="O5" s="2712"/>
      <c r="P5" s="3787"/>
      <c r="Q5" s="3732"/>
      <c r="R5" s="3737"/>
      <c r="S5" s="3738"/>
      <c r="T5" s="3737"/>
      <c r="U5" s="3738"/>
      <c r="V5" s="3741"/>
      <c r="W5" s="3741"/>
      <c r="X5" s="1352"/>
      <c r="Y5" s="3737"/>
      <c r="Z5" s="3738"/>
      <c r="AA5" s="3723"/>
      <c r="AB5" s="3723"/>
      <c r="AC5" s="3783"/>
    </row>
    <row r="6" spans="1:29" ht="15.75" thickBot="1">
      <c r="A6" s="360"/>
      <c r="B6" s="361"/>
      <c r="C6" s="3742" t="s">
        <v>1677</v>
      </c>
      <c r="D6" s="3743"/>
      <c r="E6" s="3749" t="s">
        <v>1677</v>
      </c>
      <c r="F6" s="3750"/>
      <c r="G6" s="3742" t="s">
        <v>1677</v>
      </c>
      <c r="H6" s="3743"/>
      <c r="I6" s="3742" t="s">
        <v>1677</v>
      </c>
      <c r="J6" s="3743"/>
      <c r="K6" s="559" t="s">
        <v>1678</v>
      </c>
      <c r="L6" s="2711"/>
      <c r="M6" s="2712"/>
      <c r="N6" s="2712"/>
      <c r="O6" s="2712"/>
      <c r="P6" s="3788"/>
      <c r="Q6" s="3734"/>
      <c r="R6" s="3737"/>
      <c r="S6" s="3738"/>
      <c r="T6" s="3739"/>
      <c r="U6" s="3740"/>
      <c r="V6" s="3741"/>
      <c r="W6" s="3741"/>
      <c r="X6" s="1352"/>
      <c r="Y6" s="3739"/>
      <c r="Z6" s="3740"/>
      <c r="AA6" s="3724"/>
      <c r="AB6" s="3724"/>
      <c r="AC6" s="3784"/>
    </row>
    <row r="7" spans="1:29" s="108" customFormat="1" ht="15.75" thickBot="1">
      <c r="A7" s="362" t="s">
        <v>1679</v>
      </c>
      <c r="B7" s="363"/>
      <c r="C7" s="364">
        <f>'数据-取费表'!B2</f>
        <v>45483</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77" t="s">
        <v>1680</v>
      </c>
      <c r="Q7" s="3748"/>
      <c r="R7" s="698" t="s">
        <v>14</v>
      </c>
      <c r="S7" s="699">
        <f t="shared" ref="S7:S15" si="0">F7</f>
        <v>100</v>
      </c>
      <c r="T7" s="698" t="s">
        <v>14</v>
      </c>
      <c r="U7" s="699">
        <f t="shared" ref="U7:U15" si="1">H7</f>
        <v>100</v>
      </c>
      <c r="V7" s="698" t="s">
        <v>14</v>
      </c>
      <c r="W7" s="699">
        <f t="shared" ref="W7:W15" si="2">J7</f>
        <v>100</v>
      </c>
      <c r="X7" s="700"/>
      <c r="Y7" s="3746" t="s">
        <v>1680</v>
      </c>
      <c r="Z7" s="3747"/>
      <c r="AA7" s="701">
        <f>D7/F7</f>
        <v>1</v>
      </c>
      <c r="AB7" s="701">
        <f>D7/H7</f>
        <v>1</v>
      </c>
      <c r="AC7" s="1955">
        <f>D7/J7</f>
        <v>1</v>
      </c>
    </row>
    <row r="8" spans="1:29" s="108" customFormat="1" ht="15.75" thickBot="1">
      <c r="A8" s="362" t="s">
        <v>1681</v>
      </c>
      <c r="B8" s="363"/>
      <c r="C8" s="368" t="s">
        <v>3391</v>
      </c>
      <c r="D8" s="365">
        <v>100</v>
      </c>
      <c r="E8" s="368" t="s">
        <v>3392</v>
      </c>
      <c r="F8" s="367">
        <f>SUMIF(62:62,E8,63:63)-SUMIF(62:62,C8,63:63)+100</f>
        <v>102</v>
      </c>
      <c r="G8" s="368" t="s">
        <v>3392</v>
      </c>
      <c r="H8" s="365">
        <f>SUMIF(62:62,G8,63:63)-SUMIF(62:62,C8,63:63)+100</f>
        <v>102</v>
      </c>
      <c r="I8" s="368" t="s">
        <v>3392</v>
      </c>
      <c r="J8" s="365">
        <f>SUMIF(62:62,I8,63:63)-SUMIF(62:62,C8,63:63)+100</f>
        <v>102</v>
      </c>
      <c r="K8" s="560"/>
      <c r="L8" s="2713"/>
      <c r="M8" s="2714"/>
      <c r="N8" s="2714"/>
      <c r="O8" s="2714"/>
      <c r="P8" s="3777" t="s">
        <v>1683</v>
      </c>
      <c r="Q8" s="3747"/>
      <c r="R8" s="698" t="s">
        <v>14</v>
      </c>
      <c r="S8" s="699">
        <f t="shared" si="0"/>
        <v>102</v>
      </c>
      <c r="T8" s="698" t="s">
        <v>14</v>
      </c>
      <c r="U8" s="699">
        <f t="shared" si="1"/>
        <v>102</v>
      </c>
      <c r="V8" s="698" t="s">
        <v>14</v>
      </c>
      <c r="W8" s="699">
        <f t="shared" si="2"/>
        <v>102</v>
      </c>
      <c r="X8" s="700"/>
      <c r="Y8" s="3746" t="s">
        <v>1683</v>
      </c>
      <c r="Z8" s="3747"/>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1" t="s">
        <v>1686</v>
      </c>
      <c r="Q9" s="1340" t="str">
        <f t="shared" ref="Q9:Q15" si="6">B9</f>
        <v>用途</v>
      </c>
      <c r="R9" s="698" t="s">
        <v>14</v>
      </c>
      <c r="S9" s="699">
        <f t="shared" si="0"/>
        <v>100</v>
      </c>
      <c r="T9" s="698" t="s">
        <v>14</v>
      </c>
      <c r="U9" s="699">
        <f t="shared" si="1"/>
        <v>100</v>
      </c>
      <c r="V9" s="698" t="s">
        <v>14</v>
      </c>
      <c r="W9" s="699">
        <f t="shared" si="2"/>
        <v>100</v>
      </c>
      <c r="X9" s="700"/>
      <c r="Y9" s="3560" t="s">
        <v>1687</v>
      </c>
      <c r="Z9" s="52"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1"/>
      <c r="Q10" s="1340" t="str">
        <f t="shared" si="6"/>
        <v>土地使用年限（年）</v>
      </c>
      <c r="R10" s="698" t="s">
        <v>14</v>
      </c>
      <c r="S10" s="699">
        <f t="shared" si="0"/>
        <v>100</v>
      </c>
      <c r="T10" s="698" t="s">
        <v>14</v>
      </c>
      <c r="U10" s="699">
        <f t="shared" si="1"/>
        <v>100</v>
      </c>
      <c r="V10" s="698" t="s">
        <v>14</v>
      </c>
      <c r="W10" s="699">
        <f t="shared" si="2"/>
        <v>100</v>
      </c>
      <c r="X10" s="700"/>
      <c r="Y10" s="3560"/>
      <c r="Z10" s="52"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1"/>
      <c r="Q11" s="1340" t="str">
        <f t="shared" si="6"/>
        <v>容积率</v>
      </c>
      <c r="R11" s="698" t="s">
        <v>14</v>
      </c>
      <c r="S11" s="699">
        <f t="shared" si="0"/>
        <v>100</v>
      </c>
      <c r="T11" s="698" t="s">
        <v>14</v>
      </c>
      <c r="U11" s="699">
        <f t="shared" si="1"/>
        <v>100</v>
      </c>
      <c r="V11" s="698" t="s">
        <v>14</v>
      </c>
      <c r="W11" s="699">
        <f t="shared" si="2"/>
        <v>100</v>
      </c>
      <c r="X11" s="700"/>
      <c r="Y11" s="3560"/>
      <c r="Z11" s="52"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1"/>
      <c r="Q12" s="1340">
        <f t="shared" si="6"/>
        <v>111</v>
      </c>
      <c r="R12" s="698" t="s">
        <v>14</v>
      </c>
      <c r="S12" s="699">
        <f t="shared" si="0"/>
        <v>100</v>
      </c>
      <c r="T12" s="698" t="s">
        <v>14</v>
      </c>
      <c r="U12" s="699">
        <f t="shared" si="1"/>
        <v>100</v>
      </c>
      <c r="V12" s="698" t="s">
        <v>14</v>
      </c>
      <c r="W12" s="699">
        <f t="shared" si="2"/>
        <v>100</v>
      </c>
      <c r="X12" s="700"/>
      <c r="Y12" s="3560"/>
      <c r="Z12" s="52">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1"/>
      <c r="Q13" s="1340">
        <f t="shared" si="6"/>
        <v>111</v>
      </c>
      <c r="R13" s="698" t="s">
        <v>14</v>
      </c>
      <c r="S13" s="699">
        <f t="shared" si="0"/>
        <v>100</v>
      </c>
      <c r="T13" s="698" t="s">
        <v>14</v>
      </c>
      <c r="U13" s="699">
        <f t="shared" si="1"/>
        <v>100</v>
      </c>
      <c r="V13" s="698" t="s">
        <v>14</v>
      </c>
      <c r="W13" s="699">
        <f t="shared" si="2"/>
        <v>100</v>
      </c>
      <c r="X13" s="700"/>
      <c r="Y13" s="3560"/>
      <c r="Z13" s="52">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1"/>
      <c r="Q14" s="1340">
        <f t="shared" si="6"/>
        <v>111</v>
      </c>
      <c r="R14" s="698" t="s">
        <v>14</v>
      </c>
      <c r="S14" s="699">
        <f t="shared" si="0"/>
        <v>100</v>
      </c>
      <c r="T14" s="698" t="s">
        <v>14</v>
      </c>
      <c r="U14" s="699">
        <f t="shared" si="1"/>
        <v>100</v>
      </c>
      <c r="V14" s="698" t="s">
        <v>14</v>
      </c>
      <c r="W14" s="699">
        <f t="shared" si="2"/>
        <v>100</v>
      </c>
      <c r="X14" s="700"/>
      <c r="Y14" s="3560"/>
      <c r="Z14" s="52">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719" t="s">
        <v>1691</v>
      </c>
      <c r="Q15" s="1349" t="str">
        <f t="shared" si="6"/>
        <v>办公集聚程度</v>
      </c>
      <c r="R15" s="702" t="s">
        <v>14</v>
      </c>
      <c r="S15" s="703">
        <f t="shared" si="0"/>
        <v>100</v>
      </c>
      <c r="T15" s="702" t="s">
        <v>14</v>
      </c>
      <c r="U15" s="703">
        <f t="shared" si="1"/>
        <v>100</v>
      </c>
      <c r="V15" s="702" t="s">
        <v>14</v>
      </c>
      <c r="W15" s="703">
        <f t="shared" si="2"/>
        <v>100</v>
      </c>
      <c r="X15" s="1352"/>
      <c r="Y15" s="3712" t="s">
        <v>1691</v>
      </c>
      <c r="Z15" s="1353" t="str">
        <f t="shared" si="7"/>
        <v>办公集聚程度</v>
      </c>
      <c r="AA15" s="1350">
        <f t="shared" si="3"/>
        <v>1</v>
      </c>
      <c r="AB15" s="1350">
        <f t="shared" si="4"/>
        <v>1</v>
      </c>
      <c r="AC15" s="1958">
        <f t="shared" si="5"/>
        <v>1</v>
      </c>
    </row>
    <row r="16" spans="1:29" ht="15">
      <c r="A16" s="379"/>
      <c r="B16" s="578"/>
      <c r="C16" s="1900" t="s">
        <v>3424</v>
      </c>
      <c r="D16" s="399"/>
      <c r="E16" s="1900" t="s">
        <v>3424</v>
      </c>
      <c r="F16" s="399"/>
      <c r="G16" s="1900" t="s">
        <v>3424</v>
      </c>
      <c r="H16" s="401"/>
      <c r="I16" s="1900" t="s">
        <v>3424</v>
      </c>
      <c r="J16" s="399"/>
      <c r="K16" s="564"/>
      <c r="L16" s="2718"/>
      <c r="M16" s="2712"/>
      <c r="N16" s="2712"/>
      <c r="O16" s="2712"/>
      <c r="P16" s="3720"/>
      <c r="Q16" s="1349"/>
      <c r="R16" s="702"/>
      <c r="S16" s="703"/>
      <c r="T16" s="702"/>
      <c r="U16" s="703"/>
      <c r="V16" s="702"/>
      <c r="W16" s="703"/>
      <c r="X16" s="1352"/>
      <c r="Y16" s="3713"/>
      <c r="Z16" s="1353"/>
      <c r="AA16" s="1350">
        <v>1</v>
      </c>
      <c r="AB16" s="1350">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20"/>
      <c r="Q17" s="1349" t="str">
        <f>B17</f>
        <v>交通便捷度</v>
      </c>
      <c r="R17" s="702" t="s">
        <v>14</v>
      </c>
      <c r="S17" s="703">
        <f>F17</f>
        <v>100</v>
      </c>
      <c r="T17" s="702" t="s">
        <v>14</v>
      </c>
      <c r="U17" s="703">
        <f>H17</f>
        <v>100</v>
      </c>
      <c r="V17" s="702" t="s">
        <v>14</v>
      </c>
      <c r="W17" s="703">
        <f>J17</f>
        <v>100</v>
      </c>
      <c r="X17" s="1352"/>
      <c r="Y17" s="3713"/>
      <c r="Z17" s="1353" t="str">
        <f>Q17</f>
        <v>交通便捷度</v>
      </c>
      <c r="AA17" s="1350">
        <f t="shared" si="3"/>
        <v>1</v>
      </c>
      <c r="AB17" s="1350">
        <f t="shared" si="4"/>
        <v>1</v>
      </c>
      <c r="AC17" s="1958">
        <f t="shared" si="5"/>
        <v>1</v>
      </c>
    </row>
    <row r="18" spans="1:29" ht="15">
      <c r="A18" s="379"/>
      <c r="B18" s="580"/>
      <c r="C18" s="1960" t="s">
        <v>3424</v>
      </c>
      <c r="D18" s="401"/>
      <c r="E18" s="1900" t="s">
        <v>3424</v>
      </c>
      <c r="F18" s="401"/>
      <c r="G18" s="1900" t="s">
        <v>3424</v>
      </c>
      <c r="H18" s="399"/>
      <c r="I18" s="1900" t="s">
        <v>3424</v>
      </c>
      <c r="J18" s="399"/>
      <c r="K18" s="564"/>
      <c r="L18" s="2718"/>
      <c r="M18" s="2712"/>
      <c r="N18" s="2712"/>
      <c r="O18" s="2712"/>
      <c r="P18" s="3720"/>
      <c r="Q18" s="1349"/>
      <c r="R18" s="702"/>
      <c r="S18" s="703"/>
      <c r="T18" s="702"/>
      <c r="U18" s="703"/>
      <c r="V18" s="702"/>
      <c r="W18" s="703"/>
      <c r="X18" s="1352"/>
      <c r="Y18" s="3713"/>
      <c r="Z18" s="1353"/>
      <c r="AA18" s="1350">
        <v>1</v>
      </c>
      <c r="AB18" s="1350">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20"/>
      <c r="Q19" s="1349" t="str">
        <f>B19</f>
        <v>公共配套设施</v>
      </c>
      <c r="R19" s="702" t="s">
        <v>14</v>
      </c>
      <c r="S19" s="703">
        <f>F19</f>
        <v>100</v>
      </c>
      <c r="T19" s="702" t="s">
        <v>14</v>
      </c>
      <c r="U19" s="703">
        <f>H19</f>
        <v>100</v>
      </c>
      <c r="V19" s="702" t="s">
        <v>14</v>
      </c>
      <c r="W19" s="703">
        <f>J19</f>
        <v>100</v>
      </c>
      <c r="X19" s="1352"/>
      <c r="Y19" s="3713"/>
      <c r="Z19" s="1353" t="str">
        <f>Q19</f>
        <v>公共配套设施</v>
      </c>
      <c r="AA19" s="1350">
        <f t="shared" si="3"/>
        <v>1</v>
      </c>
      <c r="AB19" s="1350">
        <f t="shared" si="4"/>
        <v>1</v>
      </c>
      <c r="AC19" s="1958">
        <f t="shared" si="5"/>
        <v>1</v>
      </c>
    </row>
    <row r="20" spans="1:29" ht="15">
      <c r="A20" s="379"/>
      <c r="B20" s="580"/>
      <c r="C20" s="1900" t="s">
        <v>3424</v>
      </c>
      <c r="D20" s="399"/>
      <c r="E20" s="1900" t="s">
        <v>3424</v>
      </c>
      <c r="F20" s="399"/>
      <c r="G20" s="1900" t="s">
        <v>3424</v>
      </c>
      <c r="H20" s="399"/>
      <c r="I20" s="1900" t="s">
        <v>3424</v>
      </c>
      <c r="J20" s="399"/>
      <c r="K20" s="564"/>
      <c r="L20" s="2718"/>
      <c r="M20" s="2712"/>
      <c r="N20" s="2712"/>
      <c r="O20" s="2712"/>
      <c r="P20" s="3720"/>
      <c r="Q20" s="1349"/>
      <c r="R20" s="702"/>
      <c r="S20" s="703"/>
      <c r="T20" s="702"/>
      <c r="U20" s="703"/>
      <c r="V20" s="702"/>
      <c r="W20" s="703"/>
      <c r="X20" s="1352"/>
      <c r="Y20" s="3713"/>
      <c r="Z20" s="1353"/>
      <c r="AA20" s="1350">
        <v>1</v>
      </c>
      <c r="AB20" s="1350">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720"/>
      <c r="Q21" s="1349" t="str">
        <f>B21</f>
        <v>基础设施水平</v>
      </c>
      <c r="R21" s="702" t="s">
        <v>14</v>
      </c>
      <c r="S21" s="703">
        <f>F21</f>
        <v>100</v>
      </c>
      <c r="T21" s="702" t="s">
        <v>14</v>
      </c>
      <c r="U21" s="703">
        <f>H21</f>
        <v>100</v>
      </c>
      <c r="V21" s="702" t="s">
        <v>14</v>
      </c>
      <c r="W21" s="703">
        <f>J21</f>
        <v>100</v>
      </c>
      <c r="X21" s="1352"/>
      <c r="Y21" s="3713"/>
      <c r="Z21" s="1353" t="str">
        <f>Q21</f>
        <v>基础设施水平</v>
      </c>
      <c r="AA21" s="1350">
        <f t="shared" ref="AA21" si="8">D21/F21</f>
        <v>1</v>
      </c>
      <c r="AB21" s="1350">
        <f t="shared" ref="AB21" si="9">D21/H21</f>
        <v>1</v>
      </c>
      <c r="AC21" s="1958">
        <f t="shared" ref="AC21" si="10">D21/J21</f>
        <v>1</v>
      </c>
    </row>
    <row r="22" spans="1:29" ht="15">
      <c r="A22" s="379"/>
      <c r="B22" s="581"/>
      <c r="C22" s="1960" t="s">
        <v>3415</v>
      </c>
      <c r="D22" s="399"/>
      <c r="E22" s="1960" t="s">
        <v>3415</v>
      </c>
      <c r="F22" s="399"/>
      <c r="G22" s="1960" t="s">
        <v>3415</v>
      </c>
      <c r="H22" s="399"/>
      <c r="I22" s="1960" t="s">
        <v>3415</v>
      </c>
      <c r="J22" s="399"/>
      <c r="K22" s="1127"/>
      <c r="L22" s="2718"/>
      <c r="M22" s="2712"/>
      <c r="N22" s="2712"/>
      <c r="O22" s="2712"/>
      <c r="P22" s="3720"/>
      <c r="Q22" s="1349"/>
      <c r="R22" s="702"/>
      <c r="S22" s="703"/>
      <c r="T22" s="702"/>
      <c r="U22" s="703"/>
      <c r="V22" s="702"/>
      <c r="W22" s="703"/>
      <c r="X22" s="1352"/>
      <c r="Y22" s="3713"/>
      <c r="Z22" s="1353"/>
      <c r="AA22" s="1350">
        <v>1</v>
      </c>
      <c r="AB22" s="1350">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20"/>
      <c r="Q23" s="1349" t="str">
        <f>B23</f>
        <v>环境质量</v>
      </c>
      <c r="R23" s="702" t="s">
        <v>14</v>
      </c>
      <c r="S23" s="703">
        <f>F23</f>
        <v>100</v>
      </c>
      <c r="T23" s="702" t="s">
        <v>14</v>
      </c>
      <c r="U23" s="703">
        <f>H23</f>
        <v>100</v>
      </c>
      <c r="V23" s="702" t="s">
        <v>14</v>
      </c>
      <c r="W23" s="703">
        <f>J23</f>
        <v>100</v>
      </c>
      <c r="X23" s="1352"/>
      <c r="Y23" s="3713"/>
      <c r="Z23" s="1353" t="str">
        <f>Q23</f>
        <v>环境质量</v>
      </c>
      <c r="AA23" s="1350">
        <f t="shared" si="3"/>
        <v>1</v>
      </c>
      <c r="AB23" s="1350">
        <f t="shared" si="4"/>
        <v>1</v>
      </c>
      <c r="AC23" s="1958">
        <f t="shared" si="5"/>
        <v>1</v>
      </c>
    </row>
    <row r="24" spans="1:29" ht="15">
      <c r="A24" s="379"/>
      <c r="B24" s="581"/>
      <c r="C24" s="1900" t="s">
        <v>3424</v>
      </c>
      <c r="D24" s="399"/>
      <c r="E24" s="1900" t="s">
        <v>3424</v>
      </c>
      <c r="F24" s="399"/>
      <c r="G24" s="1900" t="s">
        <v>3424</v>
      </c>
      <c r="H24" s="399"/>
      <c r="I24" s="1900" t="s">
        <v>3424</v>
      </c>
      <c r="J24" s="399"/>
      <c r="K24" s="564"/>
      <c r="L24" s="2718"/>
      <c r="M24" s="2712"/>
      <c r="N24" s="2712"/>
      <c r="O24" s="2712"/>
      <c r="P24" s="3720"/>
      <c r="Q24" s="1349"/>
      <c r="R24" s="702"/>
      <c r="S24" s="703"/>
      <c r="T24" s="702"/>
      <c r="U24" s="703"/>
      <c r="V24" s="702"/>
      <c r="W24" s="703"/>
      <c r="X24" s="1352"/>
      <c r="Y24" s="3713"/>
      <c r="Z24" s="1353"/>
      <c r="AA24" s="1350">
        <v>1</v>
      </c>
      <c r="AB24" s="1350">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720"/>
      <c r="Q25" s="1349" t="str">
        <f>B25</f>
        <v>毗邻道路的类型与等级</v>
      </c>
      <c r="R25" s="702" t="s">
        <v>14</v>
      </c>
      <c r="S25" s="703">
        <f>F25</f>
        <v>100</v>
      </c>
      <c r="T25" s="702" t="s">
        <v>14</v>
      </c>
      <c r="U25" s="703">
        <f>H25</f>
        <v>100</v>
      </c>
      <c r="V25" s="702" t="s">
        <v>14</v>
      </c>
      <c r="W25" s="703">
        <f>J25</f>
        <v>100</v>
      </c>
      <c r="X25" s="1352"/>
      <c r="Y25" s="3713"/>
      <c r="Z25" s="1353" t="str">
        <f>Q25</f>
        <v>毗邻道路的类型与等级</v>
      </c>
      <c r="AA25" s="1350">
        <f t="shared" si="3"/>
        <v>1</v>
      </c>
      <c r="AB25" s="1350">
        <f t="shared" si="4"/>
        <v>1</v>
      </c>
      <c r="AC25" s="1958">
        <f t="shared" si="5"/>
        <v>1</v>
      </c>
    </row>
    <row r="26" spans="1:29" ht="15">
      <c r="A26" s="358"/>
      <c r="B26" s="580"/>
      <c r="C26" s="582" t="s">
        <v>3394</v>
      </c>
      <c r="D26" s="386"/>
      <c r="E26" s="565" t="s">
        <v>3394</v>
      </c>
      <c r="F26" s="386"/>
      <c r="G26" s="565" t="s">
        <v>3394</v>
      </c>
      <c r="H26" s="386"/>
      <c r="I26" s="565" t="s">
        <v>3394</v>
      </c>
      <c r="J26" s="386"/>
      <c r="K26" s="564"/>
      <c r="L26" s="2718"/>
      <c r="M26" s="2712"/>
      <c r="N26" s="2712"/>
      <c r="O26" s="2712"/>
      <c r="P26" s="3720"/>
      <c r="Q26" s="1349"/>
      <c r="R26" s="702"/>
      <c r="S26" s="703"/>
      <c r="T26" s="702"/>
      <c r="U26" s="703"/>
      <c r="V26" s="702"/>
      <c r="W26" s="703"/>
      <c r="X26" s="1352"/>
      <c r="Y26" s="3713"/>
      <c r="Z26" s="1353"/>
      <c r="AA26" s="1350">
        <v>1</v>
      </c>
      <c r="AB26" s="1350">
        <v>1</v>
      </c>
      <c r="AC26" s="1958">
        <v>1</v>
      </c>
    </row>
    <row r="27" spans="1:29" ht="15">
      <c r="A27" s="379"/>
      <c r="B27" s="580" t="s">
        <v>1783</v>
      </c>
      <c r="C27" s="582" t="s">
        <v>3404</v>
      </c>
      <c r="D27" s="386">
        <v>100</v>
      </c>
      <c r="E27" s="565" t="s">
        <v>3402</v>
      </c>
      <c r="F27" s="386">
        <f>SUMIF(89:89,E27,90:90)-SUMIF(89:89,C27,90:90)+100</f>
        <v>101</v>
      </c>
      <c r="G27" s="565" t="s">
        <v>3402</v>
      </c>
      <c r="H27" s="386">
        <f>SUMIF(89:89,G27,90:90)-SUMIF(89:89,C27,90:90)+100</f>
        <v>101</v>
      </c>
      <c r="I27" s="565" t="s">
        <v>3402</v>
      </c>
      <c r="J27" s="386">
        <f>SUMIF(89:89,I27,90:90)-SUMIF(89:89,C27,90:90)+100</f>
        <v>101</v>
      </c>
      <c r="K27" s="561">
        <v>1</v>
      </c>
      <c r="L27" s="2718"/>
      <c r="M27" s="2712"/>
      <c r="N27" s="2712"/>
      <c r="O27" s="2712"/>
      <c r="P27" s="3720"/>
      <c r="Q27" s="1349" t="str">
        <f t="shared" ref="Q27:Q47" si="11">B27</f>
        <v>楼层</v>
      </c>
      <c r="R27" s="702" t="s">
        <v>14</v>
      </c>
      <c r="S27" s="703">
        <f>F27</f>
        <v>101</v>
      </c>
      <c r="T27" s="702" t="s">
        <v>14</v>
      </c>
      <c r="U27" s="703">
        <f>H27</f>
        <v>101</v>
      </c>
      <c r="V27" s="702" t="s">
        <v>14</v>
      </c>
      <c r="W27" s="703">
        <f>J27</f>
        <v>101</v>
      </c>
      <c r="X27" s="1352"/>
      <c r="Y27" s="3713"/>
      <c r="Z27" s="1353" t="str">
        <f>Q27</f>
        <v>楼层</v>
      </c>
      <c r="AA27" s="1350">
        <f t="shared" si="3"/>
        <v>0.99009900990099009</v>
      </c>
      <c r="AB27" s="1350">
        <f t="shared" si="4"/>
        <v>0.99009900990099009</v>
      </c>
      <c r="AC27" s="1958">
        <f t="shared" si="5"/>
        <v>0.99009900990099009</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0"/>
      <c r="Q28" s="1340" t="str">
        <f t="shared" si="11"/>
        <v>朝向</v>
      </c>
      <c r="R28" s="698" t="s">
        <v>14</v>
      </c>
      <c r="S28" s="699">
        <f>F28</f>
        <v>100</v>
      </c>
      <c r="T28" s="698" t="s">
        <v>14</v>
      </c>
      <c r="U28" s="699">
        <f>H28</f>
        <v>100</v>
      </c>
      <c r="V28" s="698" t="s">
        <v>14</v>
      </c>
      <c r="W28" s="699">
        <f>J28</f>
        <v>100</v>
      </c>
      <c r="X28" s="700"/>
      <c r="Y28" s="3713"/>
      <c r="Z28" s="52" t="str">
        <f>Q28</f>
        <v>朝向</v>
      </c>
      <c r="AA28" s="1350">
        <f>D28/F28</f>
        <v>1</v>
      </c>
      <c r="AB28" s="1350">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0"/>
      <c r="Q29" s="1349">
        <f t="shared" si="11"/>
        <v>111</v>
      </c>
      <c r="R29" s="702" t="s">
        <v>14</v>
      </c>
      <c r="S29" s="703">
        <f t="shared" ref="S29:S47" si="12">F29</f>
        <v>100</v>
      </c>
      <c r="T29" s="702" t="s">
        <v>14</v>
      </c>
      <c r="U29" s="703">
        <f t="shared" ref="U29:U47" si="13">H29</f>
        <v>100</v>
      </c>
      <c r="V29" s="702" t="s">
        <v>14</v>
      </c>
      <c r="W29" s="703">
        <f t="shared" ref="W29:W47" si="14">J29</f>
        <v>100</v>
      </c>
      <c r="X29" s="1352"/>
      <c r="Y29" s="3713"/>
      <c r="Z29" s="1353">
        <f t="shared" ref="Z29:Z47" si="15">Q29</f>
        <v>111</v>
      </c>
      <c r="AA29" s="1350">
        <f t="shared" si="3"/>
        <v>1</v>
      </c>
      <c r="AB29" s="1350">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0"/>
      <c r="Q30" s="1349">
        <f t="shared" si="11"/>
        <v>111</v>
      </c>
      <c r="R30" s="702" t="s">
        <v>14</v>
      </c>
      <c r="S30" s="703">
        <f t="shared" si="12"/>
        <v>100</v>
      </c>
      <c r="T30" s="702" t="s">
        <v>14</v>
      </c>
      <c r="U30" s="703">
        <f t="shared" si="13"/>
        <v>100</v>
      </c>
      <c r="V30" s="702" t="s">
        <v>14</v>
      </c>
      <c r="W30" s="703">
        <f t="shared" si="14"/>
        <v>100</v>
      </c>
      <c r="X30" s="1352"/>
      <c r="Y30" s="3713"/>
      <c r="Z30" s="1353">
        <f t="shared" si="15"/>
        <v>111</v>
      </c>
      <c r="AA30" s="1350">
        <f t="shared" si="3"/>
        <v>1</v>
      </c>
      <c r="AB30" s="1350">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0"/>
      <c r="Q31" s="1349">
        <f t="shared" si="11"/>
        <v>111</v>
      </c>
      <c r="R31" s="702" t="s">
        <v>14</v>
      </c>
      <c r="S31" s="703">
        <f t="shared" si="12"/>
        <v>100</v>
      </c>
      <c r="T31" s="702" t="s">
        <v>14</v>
      </c>
      <c r="U31" s="703">
        <f t="shared" si="13"/>
        <v>100</v>
      </c>
      <c r="V31" s="702" t="s">
        <v>14</v>
      </c>
      <c r="W31" s="703">
        <f t="shared" si="14"/>
        <v>100</v>
      </c>
      <c r="X31" s="1352"/>
      <c r="Y31" s="3713"/>
      <c r="Z31" s="1353">
        <f t="shared" si="15"/>
        <v>111</v>
      </c>
      <c r="AA31" s="1350">
        <f t="shared" si="3"/>
        <v>1</v>
      </c>
      <c r="AB31" s="1350">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0"/>
      <c r="Q32" s="1349">
        <f t="shared" si="11"/>
        <v>111</v>
      </c>
      <c r="R32" s="702" t="s">
        <v>14</v>
      </c>
      <c r="S32" s="703">
        <f t="shared" si="12"/>
        <v>100</v>
      </c>
      <c r="T32" s="702" t="s">
        <v>14</v>
      </c>
      <c r="U32" s="703">
        <f t="shared" si="13"/>
        <v>100</v>
      </c>
      <c r="V32" s="702" t="s">
        <v>14</v>
      </c>
      <c r="W32" s="703">
        <f t="shared" si="14"/>
        <v>100</v>
      </c>
      <c r="X32" s="1352"/>
      <c r="Y32" s="3713"/>
      <c r="Z32" s="1353">
        <f t="shared" si="15"/>
        <v>111</v>
      </c>
      <c r="AA32" s="1350">
        <f t="shared" si="3"/>
        <v>1</v>
      </c>
      <c r="AB32" s="1350">
        <f t="shared" si="4"/>
        <v>1</v>
      </c>
      <c r="AC32" s="1958">
        <f t="shared" si="5"/>
        <v>1</v>
      </c>
    </row>
    <row r="33" spans="1:29" ht="15">
      <c r="A33" s="391" t="s">
        <v>1694</v>
      </c>
      <c r="B33" s="63" t="s">
        <v>1817</v>
      </c>
      <c r="C33" s="1963" t="s">
        <v>3406</v>
      </c>
      <c r="D33" s="418">
        <v>100</v>
      </c>
      <c r="E33" s="1963" t="s">
        <v>3406</v>
      </c>
      <c r="F33" s="412">
        <f>SUMIF(101:101,E33,102:102)-SUMIF(101:101,C33,102:102)+100</f>
        <v>100</v>
      </c>
      <c r="G33" s="1963" t="s">
        <v>3406</v>
      </c>
      <c r="H33" s="386">
        <f>SUMIF(101:101,G33,102:102)-SUMIF(101:101,C33,102:102)+100</f>
        <v>100</v>
      </c>
      <c r="I33" s="1963" t="s">
        <v>3406</v>
      </c>
      <c r="J33" s="418">
        <f>SUMIF(101:101,I33,102:102)-SUMIF(101:101,C33,102:102)+100</f>
        <v>100</v>
      </c>
      <c r="K33" s="561">
        <v>1</v>
      </c>
      <c r="L33" s="2718"/>
      <c r="M33" s="2712"/>
      <c r="N33" s="2712"/>
      <c r="O33" s="2712"/>
      <c r="P33" s="3714" t="s">
        <v>1696</v>
      </c>
      <c r="Q33" s="1349" t="str">
        <f t="shared" si="11"/>
        <v>建筑类型</v>
      </c>
      <c r="R33" s="702" t="s">
        <v>14</v>
      </c>
      <c r="S33" s="703">
        <f t="shared" si="12"/>
        <v>100</v>
      </c>
      <c r="T33" s="702" t="s">
        <v>14</v>
      </c>
      <c r="U33" s="703">
        <f t="shared" si="13"/>
        <v>100</v>
      </c>
      <c r="V33" s="702" t="s">
        <v>14</v>
      </c>
      <c r="W33" s="703">
        <f t="shared" si="14"/>
        <v>100</v>
      </c>
      <c r="X33" s="1352"/>
      <c r="Y33" s="3717" t="s">
        <v>1696</v>
      </c>
      <c r="Z33" s="1353" t="str">
        <f t="shared" si="15"/>
        <v>建筑类型</v>
      </c>
      <c r="AA33" s="1350">
        <f t="shared" si="3"/>
        <v>1</v>
      </c>
      <c r="AB33" s="1350">
        <f t="shared" si="4"/>
        <v>1</v>
      </c>
      <c r="AC33" s="1958">
        <f t="shared" si="5"/>
        <v>1</v>
      </c>
    </row>
    <row r="34" spans="1:29" s="422" customFormat="1" ht="15">
      <c r="A34" s="419"/>
      <c r="B34" s="375" t="s">
        <v>1697</v>
      </c>
      <c r="C34" s="420">
        <f>'数据-汇总表'!F19</f>
        <v>2625.54</v>
      </c>
      <c r="D34" s="127">
        <v>100</v>
      </c>
      <c r="E34" s="420">
        <v>127.75</v>
      </c>
      <c r="F34" s="376">
        <f>LOOKUP(E34,104:104,105:105)-LOOKUP(C34,104:104,105:105)+100</f>
        <v>102</v>
      </c>
      <c r="G34" s="420">
        <v>338.6</v>
      </c>
      <c r="H34" s="127">
        <f>LOOKUP(G34,104:104,105:105)-LOOKUP(C34,104:104,105:105)+100</f>
        <v>104</v>
      </c>
      <c r="I34" s="420">
        <v>85</v>
      </c>
      <c r="J34" s="127">
        <f>LOOKUP(I34,104:104,105:105)-LOOKUP(C34,104:104,105:105)+100</f>
        <v>102</v>
      </c>
      <c r="K34" s="562"/>
      <c r="L34" s="2717"/>
      <c r="M34" s="2719"/>
      <c r="N34" s="2719"/>
      <c r="O34" s="2719"/>
      <c r="P34" s="3715"/>
      <c r="Q34" s="704" t="str">
        <f t="shared" si="11"/>
        <v>项目建筑规模</v>
      </c>
      <c r="R34" s="705" t="s">
        <v>14</v>
      </c>
      <c r="S34" s="706">
        <f t="shared" si="12"/>
        <v>102</v>
      </c>
      <c r="T34" s="705" t="s">
        <v>14</v>
      </c>
      <c r="U34" s="706">
        <f t="shared" si="13"/>
        <v>104</v>
      </c>
      <c r="V34" s="705" t="s">
        <v>14</v>
      </c>
      <c r="W34" s="706">
        <f t="shared" si="14"/>
        <v>102</v>
      </c>
      <c r="X34" s="707"/>
      <c r="Y34" s="3717"/>
      <c r="Z34" s="708" t="str">
        <f t="shared" si="15"/>
        <v>项目建筑规模</v>
      </c>
      <c r="AA34" s="1350">
        <f t="shared" si="3"/>
        <v>0.98039215686274506</v>
      </c>
      <c r="AB34" s="1350">
        <f t="shared" si="4"/>
        <v>0.96153846153846156</v>
      </c>
      <c r="AC34" s="1958">
        <f t="shared" si="5"/>
        <v>0.98039215686274506</v>
      </c>
    </row>
    <row r="35" spans="1:29" ht="15">
      <c r="A35" s="423"/>
      <c r="B35" s="375" t="s">
        <v>1698</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8"/>
      <c r="M35" s="2712"/>
      <c r="N35" s="2712"/>
      <c r="O35" s="2712"/>
      <c r="P35" s="3715"/>
      <c r="Q35" s="1349" t="str">
        <f t="shared" si="11"/>
        <v>建筑结构</v>
      </c>
      <c r="R35" s="702" t="s">
        <v>14</v>
      </c>
      <c r="S35" s="703">
        <f t="shared" si="12"/>
        <v>100</v>
      </c>
      <c r="T35" s="702" t="s">
        <v>14</v>
      </c>
      <c r="U35" s="703">
        <f t="shared" si="13"/>
        <v>100</v>
      </c>
      <c r="V35" s="702" t="s">
        <v>14</v>
      </c>
      <c r="W35" s="703">
        <f t="shared" si="14"/>
        <v>100</v>
      </c>
      <c r="X35" s="1352"/>
      <c r="Y35" s="3717"/>
      <c r="Z35" s="1353" t="str">
        <f t="shared" si="15"/>
        <v>建筑结构</v>
      </c>
      <c r="AA35" s="1350">
        <f t="shared" si="3"/>
        <v>1</v>
      </c>
      <c r="AB35" s="1350">
        <f t="shared" si="4"/>
        <v>1</v>
      </c>
      <c r="AC35" s="1958">
        <f t="shared" si="5"/>
        <v>1</v>
      </c>
    </row>
    <row r="36" spans="1:29" ht="15">
      <c r="A36" s="423"/>
      <c r="B36" s="375" t="s">
        <v>1785</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1</v>
      </c>
      <c r="L36" s="2718"/>
      <c r="M36" s="2712"/>
      <c r="N36" s="2712"/>
      <c r="O36" s="2712"/>
      <c r="P36" s="3715"/>
      <c r="Q36" s="1349" t="str">
        <f t="shared" si="11"/>
        <v>公共部分装修</v>
      </c>
      <c r="R36" s="702" t="s">
        <v>14</v>
      </c>
      <c r="S36" s="703">
        <f t="shared" si="12"/>
        <v>100</v>
      </c>
      <c r="T36" s="702" t="s">
        <v>14</v>
      </c>
      <c r="U36" s="703">
        <f t="shared" si="13"/>
        <v>100</v>
      </c>
      <c r="V36" s="702" t="s">
        <v>14</v>
      </c>
      <c r="W36" s="703">
        <f t="shared" si="14"/>
        <v>100</v>
      </c>
      <c r="X36" s="1352"/>
      <c r="Y36" s="3717"/>
      <c r="Z36" s="1353" t="str">
        <f t="shared" si="15"/>
        <v>公共部分装修</v>
      </c>
      <c r="AA36" s="1350">
        <f t="shared" si="3"/>
        <v>1</v>
      </c>
      <c r="AB36" s="1350">
        <f t="shared" si="4"/>
        <v>1</v>
      </c>
      <c r="AC36" s="1958">
        <f t="shared" si="5"/>
        <v>1</v>
      </c>
    </row>
    <row r="37" spans="1:29" ht="15">
      <c r="A37" s="423"/>
      <c r="B37" s="375" t="s">
        <v>1786</v>
      </c>
      <c r="C37" s="425">
        <f>'数据-取费表'!N6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v>2</v>
      </c>
      <c r="L37" s="2718"/>
      <c r="M37" s="2712"/>
      <c r="N37" s="2712"/>
      <c r="O37" s="2712"/>
      <c r="P37" s="3715"/>
      <c r="Q37" s="1349" t="str">
        <f t="shared" si="11"/>
        <v>成新度</v>
      </c>
      <c r="R37" s="702" t="s">
        <v>14</v>
      </c>
      <c r="S37" s="703">
        <f t="shared" si="12"/>
        <v>100</v>
      </c>
      <c r="T37" s="702" t="s">
        <v>14</v>
      </c>
      <c r="U37" s="703">
        <f t="shared" si="13"/>
        <v>100</v>
      </c>
      <c r="V37" s="702" t="s">
        <v>14</v>
      </c>
      <c r="W37" s="703">
        <f t="shared" si="14"/>
        <v>100</v>
      </c>
      <c r="X37" s="1352"/>
      <c r="Y37" s="3717"/>
      <c r="Z37" s="1353" t="str">
        <f t="shared" si="15"/>
        <v>成新度</v>
      </c>
      <c r="AA37" s="1350">
        <f t="shared" si="3"/>
        <v>1</v>
      </c>
      <c r="AB37" s="1350">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5"/>
      <c r="Q38" s="1340" t="str">
        <f t="shared" si="11"/>
        <v>写字楼等级</v>
      </c>
      <c r="R38" s="698" t="s">
        <v>14</v>
      </c>
      <c r="S38" s="699">
        <f t="shared" si="12"/>
        <v>100</v>
      </c>
      <c r="T38" s="698" t="s">
        <v>14</v>
      </c>
      <c r="U38" s="699">
        <f t="shared" si="13"/>
        <v>100</v>
      </c>
      <c r="V38" s="698" t="s">
        <v>14</v>
      </c>
      <c r="W38" s="699">
        <f t="shared" si="14"/>
        <v>100</v>
      </c>
      <c r="X38" s="700"/>
      <c r="Y38" s="3717"/>
      <c r="Z38" s="52" t="str">
        <f t="shared" si="15"/>
        <v>写字楼等级</v>
      </c>
      <c r="AA38" s="701">
        <f t="shared" si="3"/>
        <v>1</v>
      </c>
      <c r="AB38" s="701">
        <f t="shared" si="4"/>
        <v>1</v>
      </c>
      <c r="AC38" s="1955">
        <f t="shared" si="5"/>
        <v>1</v>
      </c>
    </row>
    <row r="39" spans="1:29" ht="15">
      <c r="A39" s="423"/>
      <c r="B39" s="375" t="s">
        <v>1819</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8"/>
      <c r="M39" s="2712"/>
      <c r="N39" s="2712"/>
      <c r="O39" s="2712"/>
      <c r="P39" s="3715" t="s">
        <v>1696</v>
      </c>
      <c r="Q39" s="1349" t="str">
        <f t="shared" si="11"/>
        <v>物业管理</v>
      </c>
      <c r="R39" s="702" t="s">
        <v>14</v>
      </c>
      <c r="S39" s="703">
        <f t="shared" si="12"/>
        <v>100</v>
      </c>
      <c r="T39" s="702" t="s">
        <v>14</v>
      </c>
      <c r="U39" s="703">
        <f t="shared" si="13"/>
        <v>100</v>
      </c>
      <c r="V39" s="702" t="s">
        <v>14</v>
      </c>
      <c r="W39" s="703">
        <f t="shared" si="14"/>
        <v>100</v>
      </c>
      <c r="X39" s="1352"/>
      <c r="Y39" s="3717" t="s">
        <v>1696</v>
      </c>
      <c r="Z39" s="1353" t="str">
        <f t="shared" si="15"/>
        <v>物业管理</v>
      </c>
      <c r="AA39" s="1350">
        <f t="shared" si="3"/>
        <v>1</v>
      </c>
      <c r="AB39" s="1350">
        <f t="shared" si="4"/>
        <v>1</v>
      </c>
      <c r="AC39" s="1958">
        <f t="shared" si="5"/>
        <v>1</v>
      </c>
    </row>
    <row r="40" spans="1:29" ht="15">
      <c r="A40" s="423"/>
      <c r="B40" s="375" t="s">
        <v>1787</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18"/>
      <c r="M40" s="2712"/>
      <c r="N40" s="2712"/>
      <c r="O40" s="2712"/>
      <c r="P40" s="3715"/>
      <c r="Q40" s="1349" t="str">
        <f t="shared" si="11"/>
        <v>市政基础设施</v>
      </c>
      <c r="R40" s="702" t="s">
        <v>14</v>
      </c>
      <c r="S40" s="703">
        <f t="shared" si="12"/>
        <v>100</v>
      </c>
      <c r="T40" s="702" t="s">
        <v>14</v>
      </c>
      <c r="U40" s="703">
        <f t="shared" si="13"/>
        <v>100</v>
      </c>
      <c r="V40" s="702" t="s">
        <v>14</v>
      </c>
      <c r="W40" s="703">
        <f t="shared" si="14"/>
        <v>100</v>
      </c>
      <c r="X40" s="1352"/>
      <c r="Y40" s="3717"/>
      <c r="Z40" s="1353" t="str">
        <f t="shared" si="15"/>
        <v>市政基础设施</v>
      </c>
      <c r="AA40" s="1350">
        <f t="shared" si="3"/>
        <v>1</v>
      </c>
      <c r="AB40" s="1350">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5"/>
      <c r="Q41" s="1349" t="str">
        <f t="shared" si="11"/>
        <v>层高</v>
      </c>
      <c r="R41" s="702" t="s">
        <v>14</v>
      </c>
      <c r="S41" s="703">
        <f t="shared" si="12"/>
        <v>100</v>
      </c>
      <c r="T41" s="702" t="s">
        <v>14</v>
      </c>
      <c r="U41" s="703">
        <f t="shared" si="13"/>
        <v>100</v>
      </c>
      <c r="V41" s="702" t="s">
        <v>14</v>
      </c>
      <c r="W41" s="703">
        <f t="shared" si="14"/>
        <v>100</v>
      </c>
      <c r="X41" s="1352"/>
      <c r="Y41" s="3717"/>
      <c r="Z41" s="1353" t="str">
        <f t="shared" si="15"/>
        <v>层高</v>
      </c>
      <c r="AA41" s="1350">
        <f t="shared" si="3"/>
        <v>1</v>
      </c>
      <c r="AB41" s="1350">
        <f t="shared" si="4"/>
        <v>1</v>
      </c>
      <c r="AC41" s="1958">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5"/>
      <c r="Q42" s="704" t="str">
        <f t="shared" si="11"/>
        <v>单套建筑面积</v>
      </c>
      <c r="R42" s="705" t="s">
        <v>14</v>
      </c>
      <c r="S42" s="706">
        <f t="shared" si="12"/>
        <v>100</v>
      </c>
      <c r="T42" s="705" t="s">
        <v>14</v>
      </c>
      <c r="U42" s="706">
        <f t="shared" si="13"/>
        <v>100</v>
      </c>
      <c r="V42" s="705" t="s">
        <v>14</v>
      </c>
      <c r="W42" s="706">
        <f t="shared" si="14"/>
        <v>100</v>
      </c>
      <c r="X42" s="707"/>
      <c r="Y42" s="3717"/>
      <c r="Z42" s="708" t="str">
        <f t="shared" si="15"/>
        <v>单套建筑面积</v>
      </c>
      <c r="AA42" s="1350">
        <f t="shared" si="3"/>
        <v>1</v>
      </c>
      <c r="AB42" s="1350">
        <f t="shared" si="4"/>
        <v>1</v>
      </c>
      <c r="AC42" s="1958">
        <f t="shared" si="5"/>
        <v>1</v>
      </c>
    </row>
    <row r="43" spans="1:29" ht="15">
      <c r="A43" s="423"/>
      <c r="B43" s="375" t="s">
        <v>1792</v>
      </c>
      <c r="C43" s="411" t="s">
        <v>3410</v>
      </c>
      <c r="D43" s="386">
        <v>100</v>
      </c>
      <c r="E43" s="411" t="s">
        <v>3410</v>
      </c>
      <c r="F43" s="412">
        <f>SUMIF(123:123,E43,124:124)-SUMIF(123:123,C43,124:124)+100</f>
        <v>100</v>
      </c>
      <c r="G43" s="411" t="s">
        <v>3410</v>
      </c>
      <c r="H43" s="386">
        <f>SUMIF(123:123,G43,124:124)-SUMIF(123:123,C43,124:124)+100</f>
        <v>100</v>
      </c>
      <c r="I43" s="411" t="s">
        <v>3410</v>
      </c>
      <c r="J43" s="386">
        <f>SUMIF(123:123,I43,124:124)-SUMIF(123:123,C43,124:124)+100</f>
        <v>100</v>
      </c>
      <c r="K43" s="561">
        <v>2</v>
      </c>
      <c r="L43" s="2718"/>
      <c r="M43" s="2712"/>
      <c r="N43" s="2712"/>
      <c r="O43" s="2712"/>
      <c r="P43" s="3715"/>
      <c r="Q43" s="1349" t="str">
        <f t="shared" si="11"/>
        <v>内部装修</v>
      </c>
      <c r="R43" s="702" t="s">
        <v>14</v>
      </c>
      <c r="S43" s="703">
        <f t="shared" si="12"/>
        <v>100</v>
      </c>
      <c r="T43" s="702" t="s">
        <v>14</v>
      </c>
      <c r="U43" s="703">
        <f t="shared" si="13"/>
        <v>100</v>
      </c>
      <c r="V43" s="702" t="s">
        <v>14</v>
      </c>
      <c r="W43" s="703">
        <f t="shared" si="14"/>
        <v>100</v>
      </c>
      <c r="X43" s="1352"/>
      <c r="Y43" s="3717"/>
      <c r="Z43" s="1353" t="str">
        <f t="shared" si="15"/>
        <v>内部装修</v>
      </c>
      <c r="AA43" s="1350">
        <f t="shared" si="3"/>
        <v>1</v>
      </c>
      <c r="AB43" s="1350">
        <f t="shared" si="4"/>
        <v>1</v>
      </c>
      <c r="AC43" s="1958">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2</v>
      </c>
      <c r="L44" s="2718"/>
      <c r="M44" s="2712"/>
      <c r="N44" s="2712"/>
      <c r="O44" s="2712"/>
      <c r="P44" s="3715"/>
      <c r="Q44" s="1349" t="str">
        <f t="shared" si="11"/>
        <v>内部装修维护情况</v>
      </c>
      <c r="R44" s="702" t="s">
        <v>14</v>
      </c>
      <c r="S44" s="703">
        <f t="shared" si="12"/>
        <v>100</v>
      </c>
      <c r="T44" s="702" t="s">
        <v>14</v>
      </c>
      <c r="U44" s="703">
        <f t="shared" si="13"/>
        <v>100</v>
      </c>
      <c r="V44" s="702" t="s">
        <v>14</v>
      </c>
      <c r="W44" s="703">
        <f t="shared" si="14"/>
        <v>100</v>
      </c>
      <c r="X44" s="1352"/>
      <c r="Y44" s="3717"/>
      <c r="Z44" s="1353" t="str">
        <f t="shared" si="15"/>
        <v>内部装修维护情况</v>
      </c>
      <c r="AA44" s="1350">
        <f t="shared" si="3"/>
        <v>1</v>
      </c>
      <c r="AB44" s="1350">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5"/>
      <c r="Q45" s="1340">
        <f t="shared" si="11"/>
        <v>111</v>
      </c>
      <c r="R45" s="698" t="s">
        <v>14</v>
      </c>
      <c r="S45" s="699">
        <f t="shared" si="12"/>
        <v>100</v>
      </c>
      <c r="T45" s="698" t="s">
        <v>14</v>
      </c>
      <c r="U45" s="699">
        <f t="shared" si="13"/>
        <v>100</v>
      </c>
      <c r="V45" s="698" t="s">
        <v>14</v>
      </c>
      <c r="W45" s="699">
        <f t="shared" si="14"/>
        <v>100</v>
      </c>
      <c r="X45" s="700"/>
      <c r="Y45" s="3717"/>
      <c r="Z45" s="52">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5"/>
      <c r="Q46" s="1349">
        <f t="shared" si="11"/>
        <v>111</v>
      </c>
      <c r="R46" s="702" t="s">
        <v>14</v>
      </c>
      <c r="S46" s="703">
        <f t="shared" si="12"/>
        <v>100</v>
      </c>
      <c r="T46" s="702" t="s">
        <v>14</v>
      </c>
      <c r="U46" s="703">
        <f t="shared" si="13"/>
        <v>100</v>
      </c>
      <c r="V46" s="702" t="s">
        <v>14</v>
      </c>
      <c r="W46" s="703">
        <f t="shared" si="14"/>
        <v>100</v>
      </c>
      <c r="X46" s="1352"/>
      <c r="Y46" s="3717"/>
      <c r="Z46" s="1353">
        <f t="shared" si="15"/>
        <v>111</v>
      </c>
      <c r="AA46" s="1350">
        <f t="shared" si="3"/>
        <v>1</v>
      </c>
      <c r="AB46" s="1350">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6"/>
      <c r="Q47" s="1349">
        <f t="shared" si="11"/>
        <v>111</v>
      </c>
      <c r="R47" s="702" t="s">
        <v>14</v>
      </c>
      <c r="S47" s="703">
        <f t="shared" si="12"/>
        <v>100</v>
      </c>
      <c r="T47" s="702" t="s">
        <v>14</v>
      </c>
      <c r="U47" s="703">
        <f t="shared" si="13"/>
        <v>100</v>
      </c>
      <c r="V47" s="702" t="s">
        <v>14</v>
      </c>
      <c r="W47" s="703">
        <f t="shared" si="14"/>
        <v>100</v>
      </c>
      <c r="X47" s="1352"/>
      <c r="Y47" s="3718"/>
      <c r="Z47" s="1353">
        <f t="shared" si="15"/>
        <v>111</v>
      </c>
      <c r="AA47" s="1350">
        <f t="shared" si="3"/>
        <v>1</v>
      </c>
      <c r="AB47" s="1350">
        <f t="shared" si="4"/>
        <v>1</v>
      </c>
      <c r="AC47" s="1958">
        <f t="shared" si="5"/>
        <v>1</v>
      </c>
    </row>
    <row r="48" spans="1:29" ht="15">
      <c r="A48" s="430" t="s">
        <v>1708</v>
      </c>
      <c r="B48" s="431"/>
      <c r="C48" s="1151" t="s">
        <v>0</v>
      </c>
      <c r="D48" s="1152"/>
      <c r="E48" s="1153">
        <v>45000</v>
      </c>
      <c r="F48" s="1154"/>
      <c r="G48" s="1155">
        <v>45776</v>
      </c>
      <c r="H48" s="1156"/>
      <c r="I48" s="1153">
        <v>42000</v>
      </c>
      <c r="J48" s="436"/>
      <c r="K48" s="711"/>
      <c r="L48" s="2720"/>
      <c r="M48" s="2712"/>
      <c r="N48" s="2712"/>
      <c r="O48" s="2712"/>
      <c r="P48" s="3721" t="str">
        <f>A48</f>
        <v>成交单价（元/平方米）</v>
      </c>
      <c r="Q48" s="3710"/>
      <c r="R48" s="3711">
        <f>E48</f>
        <v>45000</v>
      </c>
      <c r="S48" s="3711"/>
      <c r="T48" s="3711">
        <f>G48</f>
        <v>45776</v>
      </c>
      <c r="U48" s="3711"/>
      <c r="V48" s="3711">
        <f>I48</f>
        <v>42000</v>
      </c>
      <c r="W48" s="3711"/>
      <c r="X48" s="397"/>
      <c r="Y48" s="709"/>
      <c r="Z48" s="397"/>
      <c r="AA48" s="397"/>
      <c r="AB48" s="397"/>
      <c r="AC48" s="578"/>
    </row>
    <row r="49" spans="1:29" ht="15.75" thickBot="1">
      <c r="A49" s="437" t="s">
        <v>1793</v>
      </c>
      <c r="B49" s="438"/>
      <c r="C49" s="1157">
        <f>R50</f>
        <v>41839</v>
      </c>
      <c r="D49" s="2313" t="s">
        <v>2137</v>
      </c>
      <c r="E49" s="1158">
        <f>R49</f>
        <v>42824</v>
      </c>
      <c r="F49" s="2314"/>
      <c r="G49" s="1157">
        <f>T49</f>
        <v>42725</v>
      </c>
      <c r="H49" s="2314"/>
      <c r="I49" s="1158">
        <f>V49</f>
        <v>39969</v>
      </c>
      <c r="J49" s="2314"/>
      <c r="K49" s="2316">
        <f>F49+H49+J49</f>
        <v>0</v>
      </c>
      <c r="L49" s="2720"/>
      <c r="M49" s="2712"/>
      <c r="N49" s="2712"/>
      <c r="O49" s="2712"/>
      <c r="P49" s="3721" t="str">
        <f>A49</f>
        <v>比较价值（元/平方米）</v>
      </c>
      <c r="Q49" s="3710"/>
      <c r="R49" s="3711">
        <f>IF(F1="售价",ROUND(PRODUCT(R48,AA7:AA47),0),ROUND(PRODUCT(R48,AA7:AA47),1))</f>
        <v>42824</v>
      </c>
      <c r="S49" s="3711"/>
      <c r="T49" s="3711">
        <f>IF(F1="售价",ROUND(PRODUCT(T48,AB7:AB47),0),ROUND(PRODUCT(T48,AB7:AB47),1))</f>
        <v>42725</v>
      </c>
      <c r="U49" s="3711"/>
      <c r="V49" s="3711">
        <f>IF(F1="售价",ROUND(PRODUCT(V48,AC7:AC47),0),ROUND(PRODUCT(V48,AC7:AC47),1))</f>
        <v>39969</v>
      </c>
      <c r="W49" s="3711"/>
      <c r="X49" s="397"/>
      <c r="Y49" s="397"/>
      <c r="Z49" s="397"/>
      <c r="AA49" s="397"/>
      <c r="AB49" s="397"/>
      <c r="AC49" s="578"/>
    </row>
    <row r="50" spans="1:29" ht="15.75" thickBot="1">
      <c r="A50" s="441" t="s">
        <v>1794</v>
      </c>
      <c r="B50" s="442"/>
      <c r="C50" s="1160">
        <f>R50</f>
        <v>41839</v>
      </c>
      <c r="D50" s="1160"/>
      <c r="E50" s="1160"/>
      <c r="F50" s="1160"/>
      <c r="G50" s="1160"/>
      <c r="H50" s="1160"/>
      <c r="I50" s="1160"/>
      <c r="J50" s="443"/>
      <c r="K50" s="712"/>
      <c r="L50" s="2720"/>
      <c r="M50" s="2712"/>
      <c r="N50" s="2712"/>
      <c r="O50" s="2712"/>
      <c r="P50" s="3774" t="str">
        <f>A50</f>
        <v>估价对象XX用房的比较价值（楼面单价，元/平方米）</v>
      </c>
      <c r="Q50" s="3775"/>
      <c r="R50" s="3776">
        <f>IF(F1="售价",ROUND(IF(D49="简单平均",AVERAGE(R49:V49),R49*F49+T49*H49+V49*J49),0),ROUND(IF(D49="简单平均",AVERAGE(R49:V49),R49*F49+T49*H49+V49*J49),1))</f>
        <v>41839</v>
      </c>
      <c r="S50" s="3776"/>
      <c r="T50" s="3776"/>
      <c r="U50" s="3776"/>
      <c r="V50" s="3776"/>
      <c r="W50" s="3776"/>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5.0812628432654661E-2</v>
      </c>
      <c r="F53" s="449" t="str">
        <f>IF(OR(E53&gt;=0.3,E53&lt;=-0.3),"超过30%","")</f>
        <v/>
      </c>
      <c r="G53" s="448">
        <f>IF(G48&lt;G49,G49/G48-1,G48/G49-1)</f>
        <v>7.1410181392627337E-2</v>
      </c>
      <c r="H53" s="449" t="str">
        <f>IF(OR(G53&gt;=0.3,G53&lt;=-0.3),"超过30%","")</f>
        <v/>
      </c>
      <c r="I53" s="448">
        <f>IF(I48&lt;I49,I49/I48-1,I48/I49-1)</f>
        <v>5.081438114538761E-2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2.3171445289642545E-3</v>
      </c>
      <c r="F54" s="449" t="str">
        <f>IF(OR(E54&gt;=0.2,E54&lt;=-0.2),"超过20%","")</f>
        <v/>
      </c>
      <c r="G54" s="448">
        <f>IF(G49&lt;I49,I49/G49-1,G49/I49-1)</f>
        <v>6.8953438915159149E-2</v>
      </c>
      <c r="H54" s="449" t="str">
        <f>IF(OR(G54&gt;=0.2,G54&lt;=-0.2),"超过20%","")</f>
        <v/>
      </c>
      <c r="I54" s="448">
        <f>IF(I49&lt;E49,E49/I49-1,I49/E49-1)</f>
        <v>7.1430358527859061E-2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1.7244444444444396E-2</v>
      </c>
      <c r="F55" s="449" t="str">
        <f>IF(OR(E55&gt;=0.3,E55&lt;=-0.3),"超过30%","")</f>
        <v/>
      </c>
      <c r="G55" s="448">
        <f>IF(G48&lt;I48,I48/G48-1,G48/I48-1)</f>
        <v>8.9904761904761932E-2</v>
      </c>
      <c r="H55" s="449" t="str">
        <f>IF(OR(G55&gt;=0.3,G55&lt;=-0.3),"超过30%","")</f>
        <v/>
      </c>
      <c r="I55" s="448">
        <f>IF(I48&lt;E48,E48/I48-1,I48/E48-1)</f>
        <v>7.1428571428571397E-2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53" t="s">
        <v>3393</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3395</v>
      </c>
      <c r="D87" s="3454" t="s">
        <v>3396</v>
      </c>
      <c r="E87" s="3454" t="s">
        <v>3397</v>
      </c>
      <c r="F87" s="3454" t="s">
        <v>3398</v>
      </c>
      <c r="G87" s="3454" t="s">
        <v>3399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3401</v>
      </c>
      <c r="D89" s="3454" t="s">
        <v>3403</v>
      </c>
      <c r="E89" s="3454" t="s">
        <v>3405</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3407</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500(含)-1800</v>
      </c>
      <c r="F103" s="527" t="str">
        <f t="shared" si="23"/>
        <v>1800(含)-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1800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v>96</v>
      </c>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3409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3411</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3412</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3414</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3415</v>
      </c>
      <c r="D117" s="503" t="s">
        <v>3416</v>
      </c>
      <c r="E117" s="503" t="s">
        <v>3417</v>
      </c>
      <c r="F117" s="503" t="s">
        <v>3418</v>
      </c>
      <c r="G117" s="503" t="s">
        <v>3419</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3411</v>
      </c>
      <c r="D123" s="3454" t="s">
        <v>3421</v>
      </c>
      <c r="E123" s="3454" t="s">
        <v>3422</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3" t="s">
        <v>2842</v>
      </c>
      <c r="B1" s="3793"/>
      <c r="C1" s="3793"/>
      <c r="D1" s="3793"/>
      <c r="E1" s="3793"/>
      <c r="F1" s="3793"/>
      <c r="G1" s="3794"/>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791"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792"/>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5" t="s">
        <v>3184</v>
      </c>
      <c r="B1" s="3795"/>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96" t="s">
        <v>3235</v>
      </c>
      <c r="B1" s="3796"/>
      <c r="C1" s="3796"/>
      <c r="D1" s="3796"/>
      <c r="E1" s="3796"/>
      <c r="F1" s="3797"/>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45483</v>
      </c>
      <c r="B1" s="3206" t="s">
        <v>3372</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3380</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1" t="s">
        <v>3375</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3377</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3378</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3376</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3371</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3370</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3369</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3365</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3356</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2823</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2824</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2825</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2826</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2827</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3367</v>
      </c>
    </row>
    <row r="22" spans="1:30" s="3005" customFormat="1">
      <c r="I22" s="3204" t="s">
        <v>2828</v>
      </c>
    </row>
    <row r="23" spans="1:30" s="3005" customFormat="1"/>
    <row r="24" spans="1:30" s="3205" customFormat="1" ht="12.75">
      <c r="B24" s="3206" t="s">
        <v>3373</v>
      </c>
      <c r="C24" s="3207"/>
      <c r="D24" s="3207"/>
      <c r="E24" s="3207"/>
      <c r="F24" s="3207"/>
      <c r="G24" s="3207"/>
      <c r="H24" s="3207"/>
      <c r="I24" s="3207"/>
      <c r="J24" s="3161"/>
      <c r="K24" s="3207" t="s">
        <v>2829</v>
      </c>
      <c r="L24" s="3207"/>
      <c r="M24" s="3207"/>
      <c r="N24" s="3207"/>
      <c r="O24" s="3207"/>
      <c r="P24" s="3207"/>
      <c r="Q24" s="3161"/>
      <c r="R24" s="3798" t="s">
        <v>2830</v>
      </c>
      <c r="S24" s="3799"/>
      <c r="T24" s="3799"/>
      <c r="U24" s="3799"/>
      <c r="V24" s="3799"/>
      <c r="W24" s="3799"/>
      <c r="X24" s="3161"/>
      <c r="Y24" s="3798" t="s">
        <v>2831</v>
      </c>
      <c r="Z24" s="3799"/>
      <c r="AA24" s="3799"/>
      <c r="AB24" s="3799"/>
      <c r="AC24" s="3799"/>
      <c r="AD24" s="3799"/>
    </row>
    <row r="25" spans="1:30" s="3139" customFormat="1" ht="14.25" thickBot="1">
      <c r="B25" s="3140"/>
      <c r="C25" s="3141"/>
      <c r="D25" s="3142" t="s">
        <v>2832</v>
      </c>
      <c r="E25" s="3143" t="s">
        <v>2833</v>
      </c>
      <c r="F25" s="3143" t="s">
        <v>2834</v>
      </c>
      <c r="G25" s="3143" t="s">
        <v>2835</v>
      </c>
      <c r="H25" s="3143"/>
      <c r="I25" s="3143" t="s">
        <v>2836</v>
      </c>
      <c r="J25" s="3144"/>
      <c r="K25" s="3142" t="s">
        <v>2832</v>
      </c>
      <c r="L25" s="3143" t="s">
        <v>2833</v>
      </c>
      <c r="M25" s="3143" t="s">
        <v>2834</v>
      </c>
      <c r="N25" s="3143" t="s">
        <v>2835</v>
      </c>
      <c r="O25" s="3143"/>
      <c r="P25" s="3143" t="s">
        <v>2836</v>
      </c>
      <c r="Q25" s="3144"/>
      <c r="R25" s="3142" t="s">
        <v>2832</v>
      </c>
      <c r="S25" s="3143" t="s">
        <v>2833</v>
      </c>
      <c r="T25" s="3143" t="s">
        <v>2834</v>
      </c>
      <c r="U25" s="3143" t="s">
        <v>2835</v>
      </c>
      <c r="V25" s="3143"/>
      <c r="W25" s="3143" t="s">
        <v>2836</v>
      </c>
      <c r="X25" s="3144"/>
      <c r="Y25" s="3142" t="s">
        <v>2832</v>
      </c>
      <c r="Z25" s="3143" t="s">
        <v>2833</v>
      </c>
      <c r="AA25" s="3143" t="s">
        <v>2834</v>
      </c>
      <c r="AB25" s="3143" t="s">
        <v>2835</v>
      </c>
      <c r="AC25" s="3143"/>
      <c r="AD25" s="3143" t="s">
        <v>2836</v>
      </c>
    </row>
    <row r="26" spans="1:30" s="3157" customFormat="1" ht="12.75">
      <c r="A26" s="3145" t="s">
        <v>2837</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1" t="s">
        <v>3380</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1" t="s">
        <v>3375</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3377</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3379</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3376</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3374</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3370</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3369</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3366</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3356</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2838</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2839</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2840</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2841</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2827</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0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45483</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2312</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1" t="s">
        <v>925</v>
      </c>
      <c r="E3" s="851" t="s">
        <v>931</v>
      </c>
      <c r="F3" s="851" t="s">
        <v>925</v>
      </c>
      <c r="G3" s="851" t="s">
        <v>926</v>
      </c>
      <c r="H3" s="851" t="s">
        <v>925</v>
      </c>
      <c r="I3" s="851" t="s">
        <v>926</v>
      </c>
    </row>
    <row r="4" spans="1:9" ht="15">
      <c r="A4" s="1502" t="str">
        <f>项目基本情况!S2</f>
        <v>北京市房地产</v>
      </c>
      <c r="B4" s="851">
        <f>项目基本情况!C17</f>
        <v>2625.54</v>
      </c>
      <c r="C4" s="851">
        <f>项目基本情况!C18</f>
        <v>3870</v>
      </c>
      <c r="D4" s="851">
        <f ca="1">结果表!D118</f>
        <v>1616</v>
      </c>
      <c r="E4" s="851">
        <f ca="1">结果表!E118</f>
        <v>6154</v>
      </c>
      <c r="F4" s="851">
        <f ca="1">结果表!F118</f>
        <v>595</v>
      </c>
      <c r="G4" s="851">
        <f ca="1">结果表!G118</f>
        <v>2265</v>
      </c>
      <c r="H4" s="851">
        <f ca="1">结果表!H118</f>
        <v>2210</v>
      </c>
      <c r="I4" s="851">
        <f ca="1">结果表!I118</f>
        <v>8419</v>
      </c>
    </row>
    <row r="5" spans="1:9" ht="30" customHeight="1">
      <c r="A5" s="3484" t="s">
        <v>927</v>
      </c>
      <c r="B5" s="3484"/>
      <c r="C5" s="3484"/>
      <c r="D5" s="3484" t="str">
        <f ca="1">结果表!D119</f>
        <v>壹仟陆佰壹拾陆万元整</v>
      </c>
      <c r="E5" s="3484"/>
      <c r="F5" s="3484" t="str">
        <f ca="1">结果表!F119</f>
        <v>伍佰玖拾伍万元整</v>
      </c>
      <c r="G5" s="3484"/>
      <c r="H5" s="3484" t="str">
        <f ca="1">结果表!H119</f>
        <v>贰仟贰佰壹拾万元整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2210</v>
      </c>
      <c r="E8" s="3483"/>
      <c r="F8" s="3483"/>
      <c r="G8" s="3483"/>
      <c r="H8" s="3483"/>
      <c r="I8" s="3483"/>
    </row>
    <row r="9" spans="1:9" ht="15">
      <c r="A9" s="3484" t="s">
        <v>927</v>
      </c>
      <c r="B9" s="3484"/>
      <c r="C9" s="3484"/>
      <c r="D9" s="3484" t="str">
        <f ca="1">结果表!D123</f>
        <v>贰仟贰佰壹拾万元整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6" t="s">
        <v>949</v>
      </c>
      <c r="B1" s="3496"/>
      <c r="C1" s="3496"/>
      <c r="D1" s="3496"/>
    </row>
    <row r="2" spans="1:4" ht="18">
      <c r="A2" s="3497" t="s">
        <v>933</v>
      </c>
      <c r="B2" s="3497"/>
      <c r="C2" s="3497"/>
      <c r="D2" s="3497"/>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7" t="s">
        <v>939</v>
      </c>
      <c r="B6" s="3497"/>
      <c r="C6" s="3497"/>
      <c r="D6" s="3497"/>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4" t="s">
        <v>956</v>
      </c>
      <c r="B15" s="3499" t="s">
        <v>109</v>
      </c>
      <c r="C15" s="3500"/>
    </row>
    <row r="16" spans="1:7" ht="13.5">
      <c r="A16" s="3505"/>
      <c r="B16" s="3499" t="s">
        <v>42</v>
      </c>
      <c r="C16" s="3500"/>
    </row>
    <row r="17" spans="1:3" ht="13.5">
      <c r="A17" s="3505"/>
      <c r="B17" s="3502" t="s">
        <v>957</v>
      </c>
      <c r="C17" s="1529" t="s">
        <v>956</v>
      </c>
    </row>
    <row r="18" spans="1:3" ht="13.5">
      <c r="A18" s="3505"/>
      <c r="B18" s="3502"/>
      <c r="C18" s="1529" t="s">
        <v>958</v>
      </c>
    </row>
    <row r="19" spans="1:3" ht="13.5">
      <c r="A19" s="3505"/>
      <c r="B19" s="3502"/>
      <c r="C19" s="1529" t="s">
        <v>959</v>
      </c>
    </row>
    <row r="20" spans="1:3" ht="13.5">
      <c r="A20" s="3506"/>
      <c r="B20" s="3501" t="s">
        <v>960</v>
      </c>
      <c r="C20" s="3500"/>
    </row>
    <row r="21" spans="1:3" ht="13.5">
      <c r="A21" s="1530" t="s">
        <v>961</v>
      </c>
      <c r="B21" s="1531"/>
      <c r="C21" s="1532"/>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29" t="s">
        <v>967</v>
      </c>
    </row>
    <row r="26" spans="1:3" ht="13.5">
      <c r="A26" s="3503"/>
      <c r="B26" s="3502"/>
      <c r="C26" s="1529" t="s">
        <v>968</v>
      </c>
    </row>
    <row r="27" spans="1:3" ht="13.5">
      <c r="A27" s="3503"/>
      <c r="B27" s="3502"/>
      <c r="C27" s="1529" t="s">
        <v>969</v>
      </c>
    </row>
    <row r="28" spans="1:3" ht="13.5">
      <c r="A28" s="3503"/>
      <c r="B28" s="3502"/>
      <c r="C28" s="1529" t="s">
        <v>970</v>
      </c>
    </row>
    <row r="29" spans="1:3" ht="13.5">
      <c r="A29" s="3503"/>
      <c r="B29" s="3502"/>
      <c r="C29" s="1529" t="s">
        <v>971</v>
      </c>
    </row>
    <row r="30" spans="1:3" ht="13.5">
      <c r="A30" s="3503"/>
      <c r="B30" s="3502"/>
      <c r="C30" s="1529" t="s">
        <v>972</v>
      </c>
    </row>
    <row r="31" spans="1:3" ht="13.5">
      <c r="A31" s="3503"/>
      <c r="B31" s="3502"/>
      <c r="C31" s="1529" t="s">
        <v>973</v>
      </c>
    </row>
    <row r="32" spans="1:3" ht="13.5">
      <c r="A32" s="3503"/>
      <c r="B32" s="3502"/>
      <c r="C32" s="1529" t="s">
        <v>974</v>
      </c>
    </row>
    <row r="33" spans="1:3" ht="13.5">
      <c r="A33" s="3503"/>
      <c r="B33" s="3502"/>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45488</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t="str">
        <f ca="1">IF(C6&lt;B2,"已过期",1120050019)</f>
        <v>已过期</v>
      </c>
      <c r="C6" s="2341">
        <v>45410</v>
      </c>
      <c r="D6" s="2342" t="str">
        <f t="shared" ca="1" si="0"/>
        <v>王鹏（注册号：已过期）</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t="str">
        <f ca="1">IF(C13&lt;B2,"已过期",1120020033)</f>
        <v>已过期</v>
      </c>
      <c r="C13" s="2341">
        <v>45375</v>
      </c>
      <c r="D13" s="2342" t="str">
        <f t="shared" ca="1" si="0"/>
        <v>刘敬东（注册号：已过期）</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2440</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39"/>
      <c r="E18" s="3509" t="s">
        <v>2161</v>
      </c>
      <c r="F18" s="3508"/>
      <c r="G18" s="3508"/>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Sheet1</vt:lpstr>
      <vt:lpstr>典型户型修正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比较法-办公 (2)</vt:lpstr>
      <vt:lpstr>比较法-办公</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2024-07-15T08:40:45Z</dcterms:modified>
</cp:coreProperties>
</file>