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光大-杭州田园国际\"/>
    </mc:Choice>
  </mc:AlternateContent>
  <bookViews>
    <workbookView xWindow="48" yWindow="144" windowWidth="11568" windowHeight="9492"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土地案例" sheetId="68"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Sheet1"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L14" i="1"/>
  <c r="L7" i="1"/>
  <c r="E120" i="39"/>
  <c r="F120" i="39"/>
  <c r="G120" i="39"/>
  <c r="H120" i="39"/>
  <c r="I120" i="39"/>
  <c r="J120" i="39"/>
  <c r="K120" i="39"/>
  <c r="D120" i="39"/>
  <c r="E119" i="39"/>
  <c r="F119" i="39"/>
  <c r="G119" i="39"/>
  <c r="H119" i="39"/>
  <c r="I119" i="39"/>
  <c r="J119" i="39"/>
  <c r="K119" i="39"/>
  <c r="D119" i="39"/>
  <c r="I40" i="39"/>
  <c r="G40" i="39"/>
  <c r="E40" i="39"/>
  <c r="C40" i="39"/>
  <c r="D73" i="39"/>
  <c r="E73" i="39"/>
  <c r="F73" i="39"/>
  <c r="G73" i="39"/>
  <c r="H73" i="39"/>
  <c r="I73" i="39"/>
  <c r="J73" i="39"/>
  <c r="C13" i="39"/>
  <c r="I9" i="39"/>
  <c r="G9" i="39"/>
  <c r="E9" i="39"/>
  <c r="I7" i="39"/>
  <c r="G7" i="39"/>
  <c r="E7" i="39"/>
  <c r="I48" i="39"/>
  <c r="G48" i="39"/>
  <c r="E48" i="39"/>
  <c r="M7" i="1"/>
  <c r="M14" i="1"/>
  <c r="T7" i="1"/>
  <c r="B3" i="15"/>
  <c r="D8" i="12"/>
  <c r="C10" i="12"/>
  <c r="C8" i="12"/>
  <c r="I33" i="21"/>
  <c r="C33" i="21"/>
  <c r="E104" i="21"/>
  <c r="F104" i="21"/>
  <c r="G104" i="21"/>
  <c r="H104" i="21"/>
  <c r="I104" i="21"/>
  <c r="D104" i="21"/>
  <c r="E103" i="21"/>
  <c r="F103" i="21"/>
  <c r="G103" i="21"/>
  <c r="H103" i="21"/>
  <c r="I103" i="21"/>
  <c r="D103" i="21"/>
  <c r="C11" i="21"/>
  <c r="F20" i="6"/>
  <c r="F19" i="6"/>
  <c r="E9" i="6"/>
  <c r="K14" i="3"/>
  <c r="AH14" i="3"/>
  <c r="I13" i="3"/>
  <c r="AL13" i="3"/>
  <c r="AH13" i="3"/>
  <c r="C16" i="3"/>
  <c r="C15" i="3"/>
  <c r="C14" i="3"/>
  <c r="B16" i="3"/>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K20" i="6"/>
  <c r="S7" i="1"/>
  <c r="K19" i="6"/>
  <c r="S6" i="1"/>
  <c r="S8" i="1"/>
  <c r="S9" i="1"/>
  <c r="E6" i="6"/>
  <c r="L38" i="9"/>
  <c r="B14" i="66"/>
  <c r="B1" i="66"/>
  <c r="C45" i="9"/>
  <c r="H14" i="66"/>
  <c r="B7" i="66"/>
  <c r="C7" i="66"/>
  <c r="R9" i="1"/>
  <c r="M20" i="6"/>
  <c r="I20" i="6"/>
  <c r="H20" i="6"/>
  <c r="D20" i="6"/>
  <c r="R20" i="6"/>
  <c r="R7" i="1"/>
  <c r="R8" i="1"/>
  <c r="M19" i="6"/>
  <c r="I19" i="6"/>
  <c r="H19" i="6"/>
  <c r="D19" i="6"/>
  <c r="R19" i="6"/>
  <c r="R6" i="1"/>
  <c r="F9" i="39"/>
  <c r="AA9" i="39"/>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O7" i="1"/>
  <c r="P7" i="1"/>
  <c r="O14" i="1"/>
  <c r="P14" i="1"/>
  <c r="P16" i="1"/>
  <c r="I3" i="65"/>
  <c r="Q16" i="1"/>
  <c r="C25" i="12"/>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63" i="9"/>
  <c r="D71" i="9"/>
  <c r="D66" i="9"/>
  <c r="N72" i="9"/>
  <c r="C103" i="9"/>
  <c r="C111" i="9"/>
  <c r="C104" i="9"/>
  <c r="C113" i="9"/>
  <c r="C114" i="9"/>
  <c r="C115" i="9"/>
  <c r="D76" i="9"/>
  <c r="D74" i="9"/>
  <c r="N74" i="9"/>
  <c r="D77" i="9"/>
  <c r="N75" i="9"/>
  <c r="O77" i="9"/>
  <c r="O79"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28" i="6"/>
  <c r="O11" i="1"/>
  <c r="P11" i="1"/>
  <c r="O13" i="1"/>
  <c r="P13" i="1"/>
  <c r="O9" i="1"/>
  <c r="P9" i="1"/>
  <c r="E14" i="6"/>
  <c r="E15" i="6"/>
  <c r="E13" i="6"/>
  <c r="E12" i="6"/>
  <c r="E10" i="6"/>
  <c r="E11" i="6"/>
  <c r="O12" i="1"/>
  <c r="P12" i="1"/>
  <c r="AY6" i="3"/>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J5" i="65"/>
  <c r="J6" i="65"/>
  <c r="F31" i="15"/>
  <c r="F58" i="15"/>
  <c r="I7" i="65"/>
  <c r="I4" i="65"/>
  <c r="J3" i="65"/>
  <c r="J4" i="65"/>
  <c r="M17" i="15"/>
  <c r="M19" i="44"/>
  <c r="E65" i="40"/>
  <c r="D67" i="40"/>
  <c r="F7" i="21"/>
  <c r="E70" i="39"/>
  <c r="D72" i="39"/>
  <c r="AB7" i="21"/>
  <c r="T48" i="21"/>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6" i="59"/>
  <c r="C5" i="59"/>
  <c r="D5"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C98" i="9"/>
  <c r="C99" i="9"/>
  <c r="E98" i="9"/>
  <c r="E99" i="9"/>
  <c r="B7" i="67"/>
  <c r="C35" i="44"/>
  <c r="C33" i="44"/>
  <c r="J21" i="44"/>
  <c r="J19" i="44"/>
  <c r="J72" i="39"/>
  <c r="K70" i="39"/>
  <c r="K65" i="40"/>
  <c r="J67" i="40"/>
  <c r="B4" i="46"/>
  <c r="B2" i="67"/>
  <c r="B4" i="67"/>
  <c r="J59"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I49" i="39"/>
  <c r="W9" i="39"/>
  <c r="J9" i="40"/>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<sst xmlns="http://schemas.openxmlformats.org/spreadsheetml/2006/main" count="8698" uniqueCount="3525">
  <si>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</si>
  <si>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</si>
  <si>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</si>
  <si>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</si>
  <si>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</si>
  <si>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</si>
  <si>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</si>
  <si>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</si>
  <si>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</si>
  <si>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</si>
  <si>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</si>
  <si>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</si>
  <si>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</si>
  <si>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</si>
  <si>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</si>
  <si>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</si>
  <si>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</si>
  <si>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</si>
  <si>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</si>
  <si>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</si>
  <si>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</si>
  <si>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</si>
  <si>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</si>
  <si>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</si>
  <si>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</si>
  <si>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</si>
  <si>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</si>
  <si>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</si>
  <si>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</si>
  <si>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</si>
  <si>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</si>
  <si>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</si>
  <si>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</si>
  <si>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</si>
  <si>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</si>
  <si>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</si>
  <si>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</si>
  <si>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</si>
  <si>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</si>
  <si>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</si>
  <si>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</si>
  <si>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</si>
  <si>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</si>
  <si>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</si>
  <si>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</si>
  <si>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</si>
  <si>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</si>
  <si>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</si>
  <si>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</si>
  <si>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</si>
  <si>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</si>
  <si>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</si>
  <si>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</si>
  <si>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</si>
  <si>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</si>
  <si>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</si>
  <si>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</si>
  <si>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</si>
  <si>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</si>
  <si>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</si>
  <si>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</si>
  <si>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</si>
  <si>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</si>
  <si>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</si>
  <si>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</si>
  <si>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</si>
  <si>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</si>
  <si>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</si>
  <si>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</si>
  <si>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</si>
  <si>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</si>
  <si>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</si>
  <si>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</si>
  <si>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</si>
  <si>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</si>
  <si>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</si>
  <si>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</si>
  <si>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</si>
  <si>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</si>
  <si>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</si>
  <si>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</si>
  <si>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</si>
  <si>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</si>
  <si>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</si>
  <si>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</si>
  <si>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</si>
  <si>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</si>
  <si>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</si>
  <si>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</si>
  <si>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</si>
  <si>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</si>
  <si>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</si>
  <si>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</si>
  <si>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</si>
  <si>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</si>
  <si>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</si>
  <si>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</si>
  <si>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</si>
  <si>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</si>
  <si>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</si>
  <si>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</si>
  <si>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</si>
  <si>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</si>
  <si>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</si>
  <si>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</si>
  <si>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</si>
  <si>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</si>
  <si>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</si>
  <si>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</si>
  <si>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</si>
  <si>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</si>
  <si>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</si>
  <si>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</si>
  <si>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</si>
  <si>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</si>
  <si>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</si>
  <si>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</si>
  <si>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</si>
  <si>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</si>
  <si>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</si>
  <si>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</si>
  <si>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</si>
  <si>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</si>
  <si>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</si>
  <si>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</si>
  <si>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</si>
  <si>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</si>
  <si>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</si>
  <si>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</si>
  <si>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</si>
  <si>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</si>
  <si>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</si>
  <si>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</si>
  <si>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</si>
  <si>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</si>
  <si>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</si>
  <si>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</si>
  <si>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</si>
  <si>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</si>
  <si>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</si>
  <si>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</si>
  <si>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</si>
  <si>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</si>
  <si>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</si>
  <si>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</si>
  <si>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</si>
  <si>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</si>
  <si>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</si>
  <si>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</si>
  <si>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</si>
  <si>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</si>
  <si>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</si>
  <si>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</si>
  <si>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</si>
  <si>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</si>
  <si>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</si>
  <si>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</si>
  <si>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</si>
  <si>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</si>
  <si>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</si>
  <si>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</si>
  <si>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</si>
  <si>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</si>
  <si>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</si>
  <si>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</si>
  <si>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</si>
  <si>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</si>
  <si>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</si>
  <si>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</si>
  <si>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</si>
  <si>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</si>
  <si>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</si>
  <si>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</si>
  <si>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</si>
  <si>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</si>
  <si>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</si>
  <si>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</si>
  <si>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</si>
  <si>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</si>
  <si>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</si>
  <si>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</si>
  <si>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</si>
  <si>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</si>
  <si>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</si>
  <si>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</si>
  <si>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</si>
  <si>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</si>
  <si>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</si>
  <si>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</si>
  <si>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</si>
  <si>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</si>
  <si>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</si>
  <si>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</si>
  <si>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</si>
  <si>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</si>
  <si>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</si>
  <si>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</si>
  <si>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</si>
  <si>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</si>
  <si>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</si>
  <si>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</si>
  <si>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</si>
  <si>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</si>
  <si>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</si>
  <si>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</si>
  <si>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</si>
  <si>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</si>
  <si>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</si>
  <si>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</si>
  <si>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</si>
  <si>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</si>
  <si>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</si>
  <si>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</si>
  <si>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</si>
  <si>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</si>
  <si>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</si>
  <si>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</si>
  <si>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</si>
  <si>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</si>
  <si>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</si>
  <si>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</si>
  <si>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</si>
  <si>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</si>
  <si>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</si>
  <si>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</si>
  <si>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</si>
  <si>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</si>
  <si>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</si>
  <si>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</si>
  <si>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</si>
  <si>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</si>
  <si>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</si>
  <si>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</si>
  <si>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</si>
  <si>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</si>
  <si>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</si>
  <si>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</si>
  <si>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</si>
  <si>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</si>
  <si>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</si>
  <si>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</si>
  <si>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</si>
  <si>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</si>
  <si>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</si>
  <si>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</si>
  <si>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</si>
  <si>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</si>
  <si>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</si>
  <si>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</si>
  <si>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</si>
  <si>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</si>
  <si>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</si>
  <si>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</si>
  <si>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</si>
  <si>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</si>
  <si>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</si>
  <si>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</si>
  <si>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</si>
  <si>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</si>
  <si>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</si>
  <si>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</si>
  <si>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</si>
  <si>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</si>
  <si>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</si>
  <si>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</si>
  <si>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</si>
  <si>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</si>
  <si>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</si>
  <si>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</si>
  <si>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</si>
  <si>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</si>
  <si>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</si>
  <si>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</si>
  <si>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</si>
  <si>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</si>
  <si>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</si>
  <si>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</si>
  <si>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</si>
  <si>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</si>
  <si>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</si>
  <si>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</si>
  <si>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</si>
  <si>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</si>
  <si>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</si>
  <si>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</si>
  <si>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</si>
  <si>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</si>
  <si>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</si>
  <si>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</si>
  <si>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</si>
  <si>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</si>
  <si>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</si>
  <si>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</si>
  <si>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</si>
  <si>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</si>
  <si>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</si>
  <si>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</si>
  <si>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</si>
  <si>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</si>
  <si>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</si>
  <si>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</si>
  <si>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</si>
  <si>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</si>
  <si>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</si>
  <si>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</si>
  <si>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</si>
  <si>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</si>
  <si>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</si>
  <si>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</si>
  <si>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</si>
  <si>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</si>
  <si>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</si>
  <si>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</si>
  <si>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</si>
  <si>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</si>
  <si>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</si>
  <si>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</si>
  <si>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</si>
  <si>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</si>
  <si>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</si>
  <si>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</si>
  <si>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</si>
  <si>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</si>
  <si>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</si>
  <si>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</si>
  <si>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</si>
  <si>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</si>
  <si>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</si>
  <si>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</si>
  <si>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</si>
  <si>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</si>
  <si>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</si>
  <si>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</si>
  <si>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</si>
  <si>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</si>
  <si>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</si>
  <si>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</si>
  <si>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</si>
  <si>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</si>
  <si>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</si>
  <si>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</si>
  <si>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</si>
  <si>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</si>
  <si>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</si>
  <si>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</si>
  <si>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</si>
  <si>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</si>
  <si>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</si>
  <si>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</si>
  <si>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</si>
  <si>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</si>
  <si>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</si>
  <si>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</si>
  <si>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</si>
  <si>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</si>
  <si>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</si>
  <si>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</si>
  <si>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</si>
  <si>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</si>
  <si>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</si>
  <si>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</si>
  <si>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</si>
  <si>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</si>
  <si>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</si>
  <si>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</si>
  <si>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</si>
  <si>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</si>
  <si>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</si>
  <si>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</si>
  <si>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</si>
  <si>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</si>
  <si>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</si>
  <si>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</si>
  <si>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</si>
  <si>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</si>
  <si>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</si>
  <si>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</si>
  <si>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</si>
  <si>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</si>
  <si>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</si>
  <si>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</si>
  <si>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</si>
  <si>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</si>
  <si>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</si>
  <si>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</si>
  <si>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</si>
  <si>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</si>
  <si>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</si>
  <si>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</si>
  <si>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</si>
  <si>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</si>
  <si>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</si>
  <si>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</si>
  <si>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</si>
  <si>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</si>
  <si>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</si>
  <si>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</si>
  <si>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</si>
  <si>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</si>
  <si>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</si>
  <si>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</si>
  <si>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</si>
  <si>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</si>
  <si>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</si>
  <si>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</si>
  <si>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</si>
  <si>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</si>
  <si>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</si>
  <si>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</si>
  <si>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</si>
  <si>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</si>
  <si>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</si>
  <si>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</si>
  <si>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</si>
  <si>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</si>
  <si>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</si>
  <si>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</si>
  <si>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</si>
  <si>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</si>
  <si>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</si>
  <si>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</si>
  <si>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</si>
  <si>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</si>
  <si>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</si>
  <si>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</si>
  <si>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</si>
  <si>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</si>
  <si>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</si>
  <si>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</si>
  <si>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</si>
  <si>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</si>
  <si>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</si>
  <si>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</si>
  <si>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</si>
  <si>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</si>
  <si>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</si>
  <si>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</si>
  <si>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</si>
  <si>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</si>
  <si>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</si>
  <si>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</si>
  <si>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</si>
  <si>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</si>
  <si>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</si>
  <si>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</si>
  <si>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</si>
  <si>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</si>
  <si>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</si>
  <si>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</si>
  <si>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</si>
  <si>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</si>
  <si>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</si>
  <si>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</si>
  <si>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</si>
  <si>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</si>
  <si>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</si>
  <si>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</si>
  <si>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</si>
  <si>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</si>
  <si>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</si>
  <si>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</si>
  <si>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</si>
  <si>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</si>
  <si>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</si>
  <si>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</si>
  <si>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</si>
  <si>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</si>
  <si>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</si>
  <si>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</si>
  <si>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</si>
  <si>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</si>
  <si>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</si>
  <si>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</si>
  <si>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</si>
  <si>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</si>
  <si>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</si>
  <si>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</si>
  <si>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</si>
  <si>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</si>
  <si>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</si>
  <si>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</si>
  <si>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</si>
  <si>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</si>
  <si>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</si>
  <si>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</si>
  <si>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</si>
  <si>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</si>
  <si>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</si>
  <si>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</si>
  <si>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</si>
  <si>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</si>
  <si>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</si>
  <si>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</si>
  <si>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</si>
  <si>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</si>
  <si>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</si>
  <si>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</si>
  <si>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</si>
  <si>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</si>
  <si>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</si>
  <si>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</si>
  <si>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</si>
  <si>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</si>
  <si>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</si>
  <si>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</si>
  <si>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</si>
  <si>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</si>
  <si>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</si>
  <si>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</si>
  <si>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</si>
  <si>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</si>
  <si>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</si>
  <si>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</si>
  <si>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</si>
  <si>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</si>
  <si>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</si>
  <si>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</si>
  <si>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</si>
  <si>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</si>
  <si>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</si>
  <si>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</si>
  <si>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</si>
  <si>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</si>
  <si>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</si>
  <si>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</si>
  <si>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</si>
  <si>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</si>
  <si>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</si>
  <si>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</si>
  <si>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</si>
  <si>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</si>
  <si>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</si>
  <si>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</si>
  <si>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</si>
  <si>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</si>
  <si>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</si>
  <si>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</si>
  <si>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</si>
  <si>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</si>
  <si>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</si>
  <si>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</si>
  <si>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</si>
  <si>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</si>
  <si>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</si>
  <si>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</si>
  <si>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</si>
  <si>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</si>
  <si>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</si>
  <si>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</si>
  <si>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</si>
  <si>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</si>
  <si>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</si>
  <si>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</si>
  <si>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</si>
  <si>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</si>
  <si>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</si>
  <si>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</si>
  <si>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</si>
  <si>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</si>
  <si>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</si>
  <si>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</si>
  <si>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</si>
  <si>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</si>
  <si>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</si>
  <si>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</si>
  <si>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</si>
  <si>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</si>
  <si>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</si>
  <si>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</si>
  <si>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</si>
  <si>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</si>
  <si>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</si>
  <si>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</si>
  <si>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</si>
  <si>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</si>
  <si>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</si>
  <si>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</si>
  <si>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</si>
  <si>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</si>
  <si>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</si>
  <si>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</si>
  <si>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</si>
  <si>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</si>
  <si>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</si>
  <si>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</si>
  <si>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</si>
  <si>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</si>
  <si>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</si>
  <si>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</si>
  <si>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</si>
  <si>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</si>
  <si>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</si>
  <si>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</si>
  <si>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</si>
  <si>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</si>
  <si>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</si>
  <si>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</si>
  <si>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</si>
  <si>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</si>
  <si>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</si>
  <si>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</si>
  <si>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</si>
  <si>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</si>
  <si>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</si>
  <si>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</si>
  <si>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</si>
  <si>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</si>
  <si>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</si>
  <si>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</si>
  <si>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</si>
  <si>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</si>
  <si>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</si>
  <si>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</si>
  <si>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</si>
  <si>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</si>
  <si>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</si>
  <si>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</si>
  <si>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</si>
  <si>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</si>
  <si>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</si>
  <si>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</si>
  <si>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</si>
  <si>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</si>
  <si>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</si>
  <si>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</si>
  <si>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</si>
  <si>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</si>
  <si>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</si>
  <si>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</si>
  <si>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</si>
  <si>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</si>
  <si>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</si>
  <si>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</si>
  <si>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</si>
  <si>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</si>
  <si>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</si>
  <si>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</si>
  <si>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</si>
  <si>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</si>
  <si>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</si>
  <si>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</si>
  <si>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</si>
  <si>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</si>
  <si>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</si>
  <si>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</si>
  <si>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</si>
  <si>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</si>
  <si>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</si>
  <si>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</si>
  <si>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</si>
  <si>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</si>
  <si>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</si>
  <si>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</si>
  <si>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</si>
  <si>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</si>
  <si>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</si>
  <si>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</si>
  <si>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</si>
  <si>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</si>
  <si>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</si>
  <si>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</si>
  <si>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</si>
  <si>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</si>
  <si>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</si>
  <si>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</si>
  <si>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</si>
  <si>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</si>
  <si>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</si>
  <si>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</si>
  <si>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</si>
  <si>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</si>
  <si>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</si>
  <si>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</si>
  <si>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</si>
  <si>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</si>
  <si>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</si>
  <si>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</si>
  <si>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</si>
  <si>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</si>
  <si>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</si>
  <si>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</si>
  <si>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</si>
  <si>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</si>
  <si>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</si>
  <si>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</si>
  <si>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</si>
  <si>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</si>
  <si>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</si>
  <si>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</si>
  <si>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</si>
  <si>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</si>
  <si>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</si>
  <si>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</si>
  <si>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</si>
  <si>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</si>
  <si>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</si>
  <si>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</si>
  <si>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</si>
  <si>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</si>
  <si>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</si>
  <si>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</si>
  <si>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</si>
  <si>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</si>
  <si>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</si>
  <si>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</si>
  <si>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</si>
  <si>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</si>
  <si>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</si>
  <si>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</si>
  <si>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</si>
  <si>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</si>
  <si>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</si>
  <si>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</si>
  <si>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</si>
  <si>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</si>
  <si>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</si>
  <si>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</si>
  <si>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</si>
  <si>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</si>
  <si>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</si>
  <si>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</si>
  <si>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</si>
  <si>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</si>
  <si>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</si>
  <si>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</si>
  <si>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</si>
  <si>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</si>
  <si>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</si>
  <si>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</si>
  <si>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</si>
  <si>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</si>
  <si>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</si>
  <si>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</si>
  <si>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</si>
  <si>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</si>
  <si>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</si>
  <si>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</si>
  <si>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</si>
  <si>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</si>
  <si>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</si>
  <si>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</si>
  <si>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</si>
  <si>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</si>
  <si>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</si>
  <si>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</si>
  <si>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</si>
  <si>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</si>
  <si>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</si>
  <si>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</si>
  <si>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</si>
  <si>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</si>
  <si>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</si>
  <si>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</si>
  <si>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</si>
  <si>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</si>
  <si>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</si>
  <si>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</si>
  <si>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</si>
  <si>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</si>
  <si>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</si>
  <si>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</si>
  <si>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</si>
  <si>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</si>
  <si>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</si>
  <si>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</si>
  <si>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</si>
  <si>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</si>
  <si>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</si>
  <si>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</si>
  <si>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</si>
  <si>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</si>
  <si>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</si>
  <si>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</si>
  <si>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</si>
  <si>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</si>
  <si>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</si>
  <si>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</si>
  <si>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</si>
  <si>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</si>
  <si>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</si>
  <si>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</si>
  <si>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</si>
  <si>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</si>
  <si>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</si>
  <si>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</si>
  <si>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</si>
  <si>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</si>
  <si>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</si>
  <si>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</si>
  <si>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</si>
  <si>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</si>
  <si>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</si>
  <si>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</si>
  <si>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</si>
  <si>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</si>
  <si>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</si>
  <si>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</si>
  <si>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</si>
  <si>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</si>
  <si>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</si>
  <si>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</si>
  <si>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</si>
  <si>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</si>
  <si>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</si>
  <si>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</si>
  <si>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</si>
  <si>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</si>
  <si>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</si>
  <si>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</si>
  <si>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</si>
  <si>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</si>
  <si>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</si>
  <si>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</si>
  <si>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</si>
  <si>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</si>
  <si>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</si>
  <si>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</si>
  <si>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</si>
  <si>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</si>
  <si>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</si>
  <si>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</si>
  <si>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</si>
  <si>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</si>
  <si>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</si>
  <si>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</si>
  <si>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</si>
  <si>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</si>
  <si>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</si>
  <si>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</si>
  <si>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</si>
  <si>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</si>
  <si>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</si>
  <si>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</si>
  <si>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</si>
  <si>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</si>
  <si>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</si>
  <si>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</si>
  <si>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</si>
  <si>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</si>
  <si>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</si>
  <si>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</si>
  <si>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</si>
  <si>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</si>
  <si>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</si>
  <si>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</si>
  <si>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</si>
  <si>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</si>
  <si>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</si>
  <si>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</si>
  <si>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</si>
  <si>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</si>
  <si>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</si>
  <si>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</si>
  <si>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</si>
  <si>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</si>
  <si>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</si>
  <si>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</si>
  <si>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</si>
  <si>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</si>
  <si>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</si>
  <si>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</si>
  <si>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</si>
  <si>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</si>
  <si>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</si>
  <si>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</si>
  <si>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</si>
  <si>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</si>
  <si>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</si>
  <si>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</si>
  <si>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</si>
  <si>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</si>
  <si>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</si>
  <si>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</si>
  <si>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</si>
  <si>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</si>
  <si>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</si>
  <si>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</si>
  <si>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</si>
  <si>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</si>
  <si>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</si>
  <si>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</si>
  <si>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</si>
  <si>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</si>
  <si>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</si>
  <si>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</si>
  <si>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</si>
  <si>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</si>
  <si>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</si>
  <si>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</si>
  <si>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</si>
  <si>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</si>
  <si>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</si>
  <si>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</si>
  <si>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</si>
  <si>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</si>
  <si>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</si>
  <si>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</si>
  <si>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</si>
  <si>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</si>
  <si>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</si>
  <si>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</si>
  <si>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</si>
  <si>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</si>
  <si>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</si>
  <si>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</si>
  <si>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</si>
  <si>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</si>
  <si>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</si>
  <si>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</si>
  <si>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</si>
  <si>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</si>
  <si>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</si>
  <si>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</si>
  <si>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</si>
  <si>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</si>
  <si>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</si>
  <si>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</si>
  <si>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</si>
  <si>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</si>
  <si>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</si>
  <si>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</si>
  <si>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</si>
  <si>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</si>
  <si>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</si>
  <si>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</si>
  <si>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</si>
  <si>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</si>
  <si>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</si>
  <si>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</si>
  <si>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</si>
  <si>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</si>
  <si>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</si>
  <si>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</si>
  <si>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</si>
  <si>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</si>
  <si>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</si>
  <si>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</si>
  <si>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</si>
  <si>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</si>
  <si>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</si>
  <si>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</si>
  <si>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</si>
  <si>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</si>
  <si>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</si>
  <si>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</si>
  <si>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</si>
  <si>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</si>
  <si>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</si>
  <si>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</si>
  <si>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</si>
  <si>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</si>
  <si>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</si>
  <si>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</si>
  <si>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</si>
  <si>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</si>
  <si>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</si>
  <si>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</si>
  <si>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</si>
  <si>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</si>
  <si>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</si>
  <si>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</si>
  <si>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</si>
  <si>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</si>
  <si>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</si>
  <si>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</si>
  <si>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</si>
  <si>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</si>
  <si>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</si>
  <si>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</si>
  <si>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</si>
  <si>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</si>
  <si>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</si>
  <si>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</si>
  <si>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</si>
  <si>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</si>
  <si>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</si>
  <si>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</si>
  <si>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</si>
  <si>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</si>
  <si>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</si>
  <si>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</si>
  <si>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</si>
  <si>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</si>
  <si>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</si>
  <si>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</si>
  <si>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</si>
  <si>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</si>
  <si>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</si>
  <si>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</si>
  <si>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</si>
  <si>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</si>
  <si>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</si>
  <si>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</si>
  <si>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</si>
  <si>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</si>
  <si>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</si>
  <si>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</si>
  <si>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</si>
  <si>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</si>
  <si>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</si>
  <si>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</si>
  <si>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</si>
  <si>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</si>
  <si>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</si>
  <si>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</si>
  <si>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</si>
  <si>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</si>
  <si>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</si>
  <si>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</si>
  <si>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</si>
  <si>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</si>
  <si>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</si>
  <si>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</si>
  <si>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</si>
  <si>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</si>
  <si>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</si>
  <si>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</si>
  <si>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</si>
  <si>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</si>
  <si>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</si>
  <si>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</si>
  <si>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</si>
  <si>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</si>
  <si>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</si>
  <si>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</si>
  <si>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</si>
  <si>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</si>
  <si>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</si>
  <si>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</si>
  <si>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</si>
  <si>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</si>
  <si>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</si>
  <si>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</si>
  <si>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</si>
  <si>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</si>
  <si>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</si>
  <si>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</si>
  <si>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</si>
  <si>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</si>
  <si>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</si>
  <si>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</si>
  <si>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</si>
  <si>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</si>
  <si>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</si>
  <si>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</si>
  <si>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</si>
  <si>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</si>
  <si>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</si>
  <si>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</si>
  <si>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</si>
  <si>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</si>
  <si>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</si>
  <si>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</si>
  <si>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</si>
  <si>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</si>
  <si>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</si>
  <si>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</si>
  <si>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</si>
  <si>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</si>
  <si>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</si>
  <si>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</si>
  <si>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</si>
  <si>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</si>
  <si>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</si>
  <si>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</si>
  <si>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</si>
  <si>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</si>
  <si>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</si>
  <si>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</si>
  <si>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</si>
  <si>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</si>
  <si>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</si>
  <si>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</si>
  <si>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</si>
  <si>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</si>
  <si>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</si>
  <si>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</si>
  <si>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</si>
  <si>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</si>
  <si>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</si>
  <si>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</si>
  <si>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</si>
  <si>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</si>
  <si>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</si>
  <si>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</si>
  <si>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</si>
  <si>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</si>
  <si>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</si>
  <si>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</si>
  <si>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</si>
  <si>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</si>
  <si>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</si>
  <si>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</si>
  <si>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</si>
  <si>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</si>
  <si>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</si>
  <si>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</si>
  <si>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</si>
  <si>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</si>
  <si>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</si>
  <si>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</si>
  <si>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</si>
  <si>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</si>
  <si>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</si>
  <si>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</si>
  <si>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</si>
  <si>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</si>
  <si>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</si>
  <si>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</si>
  <si>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</si>
  <si>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</si>
  <si>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</si>
  <si>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</si>
  <si>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</si>
  <si>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</si>
  <si>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</si>
  <si>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</si>
  <si>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</si>
  <si>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</si>
  <si>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</si>
  <si>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</si>
  <si>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</si>
  <si>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</si>
  <si>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</si>
  <si>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</si>
  <si>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</si>
  <si>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</si>
  <si>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</si>
  <si>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</si>
  <si>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</si>
  <si>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</si>
  <si>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</si>
  <si>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</si>
  <si>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</si>
  <si>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</si>
  <si>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</si>
  <si>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</si>
  <si>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</si>
  <si>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</si>
  <si>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</si>
  <si>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</si>
  <si>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</si>
  <si>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</si>
  <si>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</si>
  <si>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</si>
  <si>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</si>
  <si>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</si>
  <si>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</si>
  <si>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</si>
  <si>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</si>
  <si>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</si>
  <si>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</si>
  <si>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</si>
  <si>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</si>
  <si>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</si>
  <si>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</si>
  <si>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</si>
  <si>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</si>
  <si>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</si>
  <si>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</si>
  <si>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</si>
  <si>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</si>
  <si>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</si>
  <si>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</si>
  <si>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</si>
  <si>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</si>
  <si>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</si>
  <si>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</si>
  <si>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</si>
  <si>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</si>
  <si>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</si>
  <si>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</si>
  <si>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</si>
  <si>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</si>
  <si>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</si>
  <si>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</si>
  <si>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</si>
  <si>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</si>
  <si>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</si>
  <si>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</si>
  <si>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</si>
  <si>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</si>
  <si>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</si>
  <si>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</si>
  <si>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</si>
  <si>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</si>
  <si>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</si>
  <si>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</si>
  <si>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</si>
  <si>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</si>
  <si>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</si>
  <si>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</si>
  <si>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</si>
  <si>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</si>
  <si>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</si>
  <si>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</si>
  <si>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</si>
  <si>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</si>
  <si>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</si>
  <si>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</si>
  <si>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</si>
  <si>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</si>
  <si>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</si>
  <si>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</si>
  <si>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</si>
  <si>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</si>
  <si>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</si>
  <si>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</si>
  <si>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</si>
  <si>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</si>
  <si>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</si>
  <si>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</si>
  <si>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</si>
  <si>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</si>
  <si>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</si>
  <si>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</si>
  <si>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</si>
  <si>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</si>
  <si>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</si>
  <si>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</si>
  <si>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</si>
  <si>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</si>
  <si>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</si>
  <si>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</si>
  <si>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</si>
  <si>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</si>
  <si>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</si>
  <si>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</si>
  <si>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</si>
  <si>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</si>
  <si>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</si>
  <si>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</si>
  <si>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</si>
  <si>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</si>
  <si>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</si>
  <si>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</si>
  <si>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</si>
  <si>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</si>
  <si>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</si>
  <si>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</si>
  <si>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</si>
  <si>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</si>
  <si>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</si>
  <si>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</si>
  <si>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</si>
  <si>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</si>
  <si>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</si>
  <si>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</si>
  <si>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</si>
  <si>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</si>
  <si>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</si>
  <si>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</si>
  <si>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</si>
  <si>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</si>
  <si>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</si>
  <si>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</si>
  <si>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</si>
  <si>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</si>
  <si>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</si>
  <si>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</si>
  <si>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</si>
  <si>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</si>
  <si>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</si>
  <si>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</si>
  <si>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</si>
  <si>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</si>
  <si>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</si>
  <si>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</si>
  <si>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</si>
  <si>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</si>
  <si>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</si>
  <si>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</si>
  <si>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</si>
  <si>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</si>
  <si>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</si>
  <si>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</si>
  <si>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</si>
  <si>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</si>
  <si>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</si>
  <si>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</si>
  <si>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</si>
  <si>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</si>
  <si>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</si>
  <si>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</si>
  <si>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</si>
  <si>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</si>
  <si>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</si>
  <si>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</si>
  <si>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</si>
  <si>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</si>
  <si>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</si>
  <si>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</si>
  <si>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</si>
  <si>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</si>
  <si>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</si>
  <si>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</si>
  <si>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</si>
  <si>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</si>
  <si>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</si>
  <si>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</si>
  <si>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</si>
  <si>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</si>
  <si>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</si>
  <si>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</si>
  <si>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</si>
  <si>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</si>
  <si>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</si>
  <si>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</si>
  <si>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</si>
  <si>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</si>
  <si>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</si>
  <si>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</si>
  <si>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</si>
  <si>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</si>
  <si>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</si>
  <si>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</si>
  <si>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</si>
  <si>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</si>
  <si>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</si>
  <si>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</si>
  <si>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</si>
  <si>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</si>
  <si>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</si>
  <si>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</si>
  <si>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</si>
  <si>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</si>
  <si>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</si>
  <si>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</si>
  <si>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</si>
  <si>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</si>
  <si>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</si>
  <si>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</si>
  <si>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</si>
  <si>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</si>
  <si>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</si>
  <si>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</si>
  <si>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</si>
  <si>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</si>
  <si>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</si>
  <si>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</si>
  <si>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</si>
  <si>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</si>
  <si>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</si>
  <si>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</si>
  <si>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</si>
  <si>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</si>
  <si>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</si>
  <si>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</si>
  <si>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</si>
  <si>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</si>
  <si>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</si>
  <si>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</si>
  <si>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</si>
  <si>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</si>
  <si>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</si>
  <si>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</si>
  <si>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</si>
  <si>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</si>
  <si>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</si>
  <si>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</si>
  <si>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</si>
  <si>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</si>
  <si>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</si>
  <si>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</si>
  <si>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</si>
  <si>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</si>
  <si>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</si>
  <si>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</si>
  <si>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</si>
  <si>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</si>
  <si>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</si>
  <si>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</si>
  <si>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</si>
  <si>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</si>
  <si>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</si>
  <si>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</si>
  <si>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</si>
  <si>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</si>
  <si>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</si>
  <si>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</si>
  <si>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</si>
  <si>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</si>
  <si>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</si>
  <si>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</si>
  <si>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</si>
  <si>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</si>
  <si>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</si>
  <si>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</si>
  <si>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</si>
  <si>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</si>
  <si>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</si>
  <si>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</si>
  <si>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</si>
  <si>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</si>
  <si>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</si>
  <si>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</si>
  <si>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</si>
  <si>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</si>
  <si>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</si>
  <si>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</si>
  <si>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</si>
  <si>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</si>
  <si>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</si>
  <si>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</si>
  <si>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</si>
  <si>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</si>
  <si>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</si>
  <si>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</si>
  <si>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</si>
  <si>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</si>
  <si>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</si>
  <si>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</si>
  <si>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</si>
  <si>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</si>
  <si>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</si>
  <si>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</si>
  <si>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</si>
  <si>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</si>
  <si>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</si>
  <si>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</si>
  <si>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</si>
  <si>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</si>
  <si>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</si>
  <si>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</si>
  <si>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</si>
  <si>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</si>
  <si>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</si>
  <si>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</si>
  <si>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</si>
  <si>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</si>
  <si>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</si>
  <si>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</si>
  <si>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</si>
  <si>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</si>
  <si>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</si>
  <si>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</si>
  <si>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</si>
  <si>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</si>
  <si>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</si>
  <si>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</si>
  <si>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</si>
  <si>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</si>
  <si>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</si>
  <si>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</si>
  <si>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</si>
  <si>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</si>
  <si>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</si>
  <si>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</si>
  <si>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</si>
  <si>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</si>
  <si>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</si>
  <si>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</si>
  <si>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</si>
  <si>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</si>
  <si>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</si>
  <si>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</si>
  <si>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</si>
  <si>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</si>
  <si>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</si>
  <si>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</si>
  <si>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</si>
  <si>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</si>
  <si>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</si>
  <si>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</si>
  <si>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</si>
  <si>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</si>
  <si>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</si>
  <si>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</si>
  <si>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</si>
  <si>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</si>
  <si>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</si>
  <si>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</si>
  <si>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</si>
  <si>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</si>
  <si>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</si>
  <si>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</si>
  <si>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</si>
  <si>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</si>
  <si>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</si>
  <si>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</si>
  <si>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</si>
  <si>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</si>
  <si>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</si>
  <si>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</si>
  <si>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</si>
  <si>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</si>
  <si>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</si>
  <si>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</si>
  <si>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</si>
  <si>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</si>
  <si>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</si>
  <si>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</si>
  <si>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</si>
  <si>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</si>
  <si>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</si>
  <si>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</si>
  <si>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</si>
  <si>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</si>
  <si>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</si>
  <si>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</si>
  <si>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</si>
  <si>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</si>
  <si>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</si>
  <si>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</si>
  <si>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</si>
  <si>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</si>
  <si>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</si>
  <si>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</si>
  <si>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</si>
  <si>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</si>
  <si>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</si>
  <si>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</si>
  <si>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</si>
  <si>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</si>
  <si>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</si>
  <si>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</si>
  <si>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</si>
  <si>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</si>
  <si>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</si>
  <si>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</si>
  <si>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</si>
  <si>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</si>
  <si>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</si>
  <si>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</si>
  <si>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</si>
  <si>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</si>
  <si>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</si>
  <si>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</si>
  <si>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</si>
  <si>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</si>
  <si>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</si>
  <si>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</si>
  <si>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</si>
  <si>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</si>
  <si>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</si>
  <si>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</si>
  <si>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</si>
  <si>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</si>
  <si>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</si>
  <si>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</si>
  <si>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</si>
  <si>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</si>
  <si>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</si>
  <si>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</si>
  <si>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</si>
  <si>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</si>
  <si>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</si>
  <si>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</si>
  <si>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</si>
  <si>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</si>
  <si>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</si>
  <si>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</si>
  <si>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</si>
  <si>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</si>
  <si>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</si>
  <si>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</si>
  <si>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</si>
  <si>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</si>
  <si>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</si>
  <si>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</si>
  <si>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</si>
  <si>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</si>
  <si>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</si>
  <si>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</si>
  <si>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</si>
  <si>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</si>
  <si>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</si>
  <si>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</si>
  <si>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</si>
  <si>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</si>
  <si>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</si>
  <si>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</si>
  <si>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</si>
  <si>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</si>
  <si>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</si>
  <si>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</si>
  <si>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</si>
  <si>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</si>
  <si>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</si>
  <si>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</si>
  <si>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</si>
  <si>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</si>
  <si>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</si>
  <si>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</si>
  <si>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</si>
  <si>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</si>
  <si>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</si>
  <si>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</si>
  <si>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</si>
  <si>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</si>
  <si>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</si>
  <si>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</si>
  <si>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</si>
  <si>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</si>
  <si>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</si>
  <si>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</si>
  <si>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</si>
  <si>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</si>
  <si>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</si>
  <si>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</si>
  <si>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</si>
  <si>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</si>
  <si>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</si>
  <si>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</si>
  <si>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</si>
  <si>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</si>
  <si>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</si>
  <si>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</si>
  <si>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</si>
  <si>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</si>
  <si>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</si>
  <si>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</si>
  <si>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</si>
  <si>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</si>
  <si>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</si>
  <si>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</si>
  <si>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</si>
  <si>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</si>
  <si>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</si>
  <si>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</si>
  <si>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</si>
  <si>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</si>
  <si>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</si>
  <si>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</si>
  <si>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</si>
  <si>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</si>
  <si>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</si>
  <si>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</si>
  <si>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</si>
  <si>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</si>
  <si>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</si>
  <si>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</si>
  <si>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</si>
  <si>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</si>
  <si>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</si>
  <si>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</si>
  <si>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</si>
  <si>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</si>
  <si>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</si>
  <si>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</si>
  <si>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</si>
  <si>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</si>
  <si>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</si>
  <si>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</si>
  <si>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</si>
  <si>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</si>
  <si>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</si>
  <si>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</si>
  <si>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</si>
  <si>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</si>
  <si>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</si>
  <si>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</si>
  <si>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</si>
  <si>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</si>
  <si>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</si>
  <si>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</si>
  <si>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</si>
  <si>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</si>
  <si>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</si>
  <si>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</si>
  <si>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</si>
  <si>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</si>
  <si>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</si>
  <si>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</si>
  <si>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</si>
  <si>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</si>
  <si>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</si>
  <si>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</si>
  <si>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</si>
  <si>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</si>
  <si>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</si>
  <si>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</si>
  <si>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</si>
  <si>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</si>
  <si>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</si>
  <si>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</si>
  <si>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</si>
  <si>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</si>
  <si>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</si>
  <si>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</si>
  <si>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</si>
  <si>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</si>
  <si>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</si>
  <si>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</si>
  <si>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</si>
  <si>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</si>
  <si>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</si>
  <si>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</si>
  <si>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</si>
  <si>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</si>
  <si>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</si>
  <si>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</si>
  <si>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</si>
  <si>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</si>
  <si>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</si>
  <si>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</si>
  <si>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</si>
  <si>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</si>
  <si>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</si>
  <si>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</si>
  <si>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</si>
  <si>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</si>
  <si>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</si>
  <si>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</si>
  <si>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</si>
  <si>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</si>
  <si>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</si>
  <si>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</si>
  <si>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</si>
  <si>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</si>
  <si>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</si>
  <si>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</si>
  <si>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</si>
  <si>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</si>
  <si>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</si>
  <si>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</si>
  <si>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</si>
  <si>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</si>
  <si>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</si>
  <si>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</si>
  <si>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</si>
  <si>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</si>
  <si>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</si>
  <si>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</si>
  <si>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</si>
  <si>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</si>
  <si>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</si>
  <si>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</si>
  <si>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</si>
  <si>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</si>
  <si>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</si>
  <si>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</si>
  <si>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</si>
  <si>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</si>
  <si>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</si>
  <si>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</si>
  <si>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</si>
  <si>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</si>
  <si>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</si>
  <si>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</si>
  <si>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</si>
  <si>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</si>
  <si>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</si>
  <si>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</si>
  <si>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</si>
  <si>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</si>
  <si>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</si>
  <si>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</si>
  <si>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</si>
  <si>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</si>
  <si>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</si>
  <si>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</si>
  <si>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</si>
  <si>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</si>
  <si>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</si>
  <si>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</si>
  <si>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</si>
  <si>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</si>
  <si>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</si>
  <si>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</si>
  <si>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</si>
  <si>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</si>
  <si>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</si>
  <si>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</si>
  <si>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</si>
  <si>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</si>
  <si>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</si>
  <si>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</si>
  <si>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</si>
  <si>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</si>
  <si>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</si>
  <si>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</si>
  <si>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</si>
  <si>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</si>
  <si>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</si>
  <si>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</si>
  <si>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</si>
  <si>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</si>
  <si>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</si>
  <si>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</si>
  <si>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</si>
  <si>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</si>
  <si>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</si>
  <si>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</si>
  <si>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</si>
  <si>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</si>
  <si>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</si>
  <si>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</si>
  <si>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</si>
  <si>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</si>
  <si>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</si>
  <si>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</si>
  <si>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</si>
  <si>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</si>
  <si>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</si>
  <si>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</si>
  <si>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</si>
  <si>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</si>
  <si>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</si>
  <si>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</si>
  <si>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</si>
  <si>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</si>
  <si>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</si>
  <si>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</si>
  <si>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</si>
  <si>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</si>
  <si>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</si>
  <si>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</si>
  <si>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</si>
  <si>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</si>
  <si>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</si>
  <si>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</si>
  <si>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</si>
  <si>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</si>
  <si>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</si>
  <si>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</si>
  <si>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</si>
  <si>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</si>
  <si>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</si>
  <si>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</si>
  <si>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</si>
  <si>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</si>
  <si>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</si>
  <si>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</si>
  <si>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</si>
  <si>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</si>
  <si>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</si>
  <si>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</si>
  <si>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</si>
  <si>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</si>
  <si>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</si>
  <si>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</si>
  <si>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</si>
  <si>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</si>
  <si>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</si>
  <si>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</si>
  <si>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</si>
  <si>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</si>
  <si>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</si>
  <si>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</si>
  <si>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</si>
  <si>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</si>
  <si>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</si>
  <si>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</si>
  <si>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</si>
  <si>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</si>
  <si>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</si>
  <si>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</si>
  <si>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</si>
  <si>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</si>
  <si>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</si>
  <si>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</si>
  <si>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</si>
  <si>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</si>
  <si>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</si>
  <si>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</si>
  <si>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</si>
  <si>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</si>
  <si>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</si>
  <si>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</si>
  <si>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</si>
  <si>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</si>
  <si>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</si>
  <si>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</si>
  <si>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</si>
  <si>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</si>
  <si>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</si>
  <si>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</si>
  <si>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</si>
  <si>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</si>
  <si>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</si>
  <si>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</si>
  <si>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</si>
  <si>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</si>
  <si>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</si>
  <si>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</si>
  <si>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</si>
  <si>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</si>
  <si>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</si>
  <si>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</si>
  <si>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</si>
  <si>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</si>
  <si>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</si>
  <si>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</si>
  <si>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</si>
  <si>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</si>
  <si>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</si>
  <si>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</si>
  <si>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</si>
  <si>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</si>
  <si>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</si>
  <si>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</si>
  <si>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</si>
  <si>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</si>
  <si>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</si>
  <si>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</si>
  <si>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</si>
  <si>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</si>
  <si>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</si>
  <si>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</si>
  <si>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</si>
  <si>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</si>
  <si>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</si>
  <si>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</si>
  <si>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</si>
  <si>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</si>
  <si>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</si>
  <si>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</si>
  <si>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</si>
  <si>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</si>
  <si>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</si>
  <si>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</si>
  <si>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</si>
  <si>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</si>
  <si>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</si>
  <si>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</si>
  <si>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</si>
  <si>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</si>
  <si>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</si>
  <si>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</si>
  <si>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</si>
  <si>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</si>
  <si>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</si>
  <si>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</si>
  <si>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</si>
  <si>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</si>
  <si>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</si>
  <si>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</si>
  <si>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</si>
  <si>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</si>
  <si>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</si>
  <si>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</si>
  <si>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</si>
  <si>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</si>
  <si>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</si>
  <si>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</si>
  <si>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</si>
  <si>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</si>
  <si>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</si>
  <si>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</si>
  <si>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</si>
  <si>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</si>
  <si>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</si>
  <si>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</si>
  <si>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</si>
  <si>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</si>
  <si>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</si>
  <si>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</si>
  <si>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</si>
  <si>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</si>
  <si>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</si>
  <si>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</si>
  <si>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</si>
  <si>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</si>
  <si>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</si>
  <si>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</si>
  <si>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</si>
  <si>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</si>
  <si>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</si>
  <si>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</si>
  <si>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</si>
  <si>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</si>
  <si>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</si>
  <si>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</si>
  <si>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</si>
  <si>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</si>
  <si>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</si>
  <si>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</si>
  <si>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</si>
  <si>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</si>
  <si>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</si>
  <si>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</si>
  <si>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</si>
  <si>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</si>
  <si>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</si>
  <si>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</si>
  <si>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</si>
  <si>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</si>
  <si>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</si>
  <si>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</si>
  <si>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</si>
  <si>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</si>
  <si>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</si>
  <si>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</si>
  <si>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</si>
  <si>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</si>
  <si>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</si>
  <si>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</si>
  <si>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</si>
  <si>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</si>
  <si>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</si>
  <si>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</si>
  <si>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</si>
  <si>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</si>
  <si>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</si>
  <si>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</si>
  <si>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</si>
  <si>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</si>
  <si>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</si>
  <si>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</si>
  <si>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</si>
  <si>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</si>
  <si>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</si>
  <si>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</si>
  <si>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</si>
  <si>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</si>
  <si>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</si>
  <si>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</si>
  <si>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</si>
  <si>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</si>
  <si>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</si>
  <si>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</si>
  <si>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</si>
  <si>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</si>
  <si>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</si>
  <si>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</si>
  <si>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</si>
  <si>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</si>
  <si>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</si>
  <si>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</si>
  <si>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</si>
  <si>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</si>
  <si>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</si>
  <si>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</si>
  <si>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</si>
  <si>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</si>
  <si>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</si>
  <si>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</si>
  <si>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</si>
  <si>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</si>
  <si>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</si>
  <si>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</si>
  <si>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</si>
  <si>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</si>
  <si>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</si>
  <si>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</si>
  <si>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</si>
  <si>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</si>
  <si>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</si>
  <si>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</si>
  <si>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</si>
  <si>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</si>
  <si>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</si>
  <si>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</si>
  <si>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</si>
  <si>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</si>
  <si>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</si>
  <si>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</si>
  <si>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</si>
  <si>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</si>
  <si>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</si>
  <si>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</si>
  <si>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</si>
  <si>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</si>
  <si>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</si>
  <si>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</si>
  <si>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</si>
  <si>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</si>
  <si>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</si>
  <si>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</si>
  <si>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</si>
  <si>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</si>
  <si>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</si>
  <si>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</si>
  <si>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</si>
  <si>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</si>
  <si>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</si>
  <si>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</si>
  <si>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</si>
  <si>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</si>
  <si>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</si>
  <si>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</si>
  <si>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</si>
  <si>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</si>
  <si>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</si>
  <si>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</si>
  <si>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</si>
  <si>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</si>
  <si>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</si>
  <si>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</si>
  <si>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</si>
  <si>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</si>
  <si>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</si>
  <si>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</si>
  <si>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</si>
  <si>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</si>
  <si>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</si>
  <si>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</si>
  <si>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</si>
  <si>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</si>
  <si>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</si>
  <si>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</si>
  <si>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</si>
  <si>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</si>
  <si>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</si>
  <si>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</si>
  <si>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</si>
  <si>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</si>
  <si>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</si>
  <si>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</si>
  <si>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</si>
  <si>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</si>
  <si>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</si>
  <si>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</si>
  <si>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</si>
  <si>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</si>
  <si>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</si>
  <si>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</si>
  <si>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</si>
  <si>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</si>
  <si>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</si>
  <si>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</si>
  <si>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</si>
  <si>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</si>
  <si>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</si>
  <si>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</si>
  <si>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</si>
  <si>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</si>
  <si>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</si>
  <si>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</si>
  <si>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</si>
  <si>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</si>
  <si>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</si>
  <si>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</si>
  <si>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</si>
  <si>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</si>
  <si>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</si>
  <si>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</si>
  <si>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</si>
  <si>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</si>
  <si>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</si>
  <si>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</si>
  <si>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</si>
  <si>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</si>
  <si>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</si>
  <si>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</si>
  <si>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</si>
  <si>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</si>
  <si>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</si>
  <si>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</si>
  <si>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</si>
  <si>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</si>
  <si>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</si>
  <si>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</si>
  <si>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</si>
  <si>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</si>
  <si>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</si>
  <si>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</si>
  <si>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</si>
  <si>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</si>
  <si>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</si>
  <si>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</si>
  <si>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</si>
  <si>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</si>
  <si>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</si>
  <si>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</si>
  <si>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</si>
  <si>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</si>
  <si>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</si>
  <si>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</si>
  <si>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</si>
  <si>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</si>
  <si>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</si>
  <si>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</si>
  <si>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</si>
  <si>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</si>
  <si>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</si>
  <si>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</si>
  <si>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</si>
  <si>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</si>
  <si>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</si>
  <si>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</si>
  <si>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</si>
  <si>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</si>
  <si>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</si>
  <si>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</si>
  <si>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</si>
  <si>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</si>
  <si>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</si>
  <si>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</si>
  <si>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</si>
  <si>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</si>
  <si>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</si>
  <si>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</si>
  <si>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</si>
  <si>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</si>
  <si>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</si>
  <si>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</si>
  <si>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</si>
  <si>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</si>
  <si>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</si>
  <si>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</si>
  <si>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</si>
  <si>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</si>
  <si>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</si>
  <si>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</si>
  <si>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</si>
  <si>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</si>
  <si>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</si>
  <si>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</si>
  <si>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</si>
  <si>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</si>
  <si>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</si>
  <si>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</si>
  <si>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</si>
  <si>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</si>
  <si>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</si>
  <si>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</si>
  <si>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</si>
  <si>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</si>
  <si>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</si>
  <si>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</si>
  <si>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</si>
  <si>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</si>
  <si>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</si>
  <si>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</si>
  <si>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</si>
  <si>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</si>
  <si>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</si>
  <si>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</si>
  <si>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</si>
  <si>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</si>
  <si>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</si>
  <si>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</si>
  <si>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</si>
  <si>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</si>
  <si>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</si>
  <si>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</si>
  <si>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</si>
  <si>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</si>
  <si>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</si>
  <si>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</si>
  <si>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</si>
  <si>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</si>
  <si>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</si>
  <si>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</si>
  <si>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</si>
  <si>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</si>
  <si>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</si>
  <si>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</si>
  <si>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</si>
  <si>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</si>
  <si>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</si>
  <si>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</si>
  <si>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</si>
  <si>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</si>
  <si>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</si>
  <si>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</si>
  <si>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</si>
  <si>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</si>
  <si>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</si>
  <si>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</si>
  <si>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</si>
  <si>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</si>
  <si>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</si>
  <si>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</si>
  <si>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</si>
  <si>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</si>
  <si>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</si>
  <si>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</si>
  <si>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</si>
  <si>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</si>
  <si>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</si>
  <si>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</si>
  <si>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</si>
  <si>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</si>
  <si>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</si>
  <si>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</si>
  <si>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</si>
  <si>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</si>
  <si>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</si>
  <si>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</si>
  <si>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</si>
  <si>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</si>
  <si>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</si>
  <si>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</si>
  <si>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</si>
  <si>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</si>
  <si>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</si>
  <si>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</si>
  <si>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</si>
  <si>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</si>
  <si>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</si>
  <si>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</si>
  <si>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</si>
  <si>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</si>
  <si>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</si>
  <si>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</si>
  <si>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</si>
  <si>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</si>
  <si>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</si>
  <si>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</si>
  <si>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</si>
  <si>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</si>
  <si>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</si>
  <si>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</si>
  <si>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</si>
  <si>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</si>
  <si>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</si>
  <si>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</si>
  <si>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</si>
  <si>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</si>
  <si>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</si>
  <si>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</si>
  <si>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</si>
  <si>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</si>
  <si>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</si>
  <si>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</si>
  <si>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</si>
  <si>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</si>
  <si>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</si>
  <si>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</si>
  <si>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</si>
  <si>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</si>
  <si>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</si>
  <si>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</si>
  <si>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</si>
  <si>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</si>
  <si>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</si>
  <si>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</si>
  <si>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</si>
  <si>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</si>
  <si>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</si>
  <si>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</si>
  <si>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</si>
  <si>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</si>
  <si>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</si>
  <si>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</si>
  <si>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</si>
  <si>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</si>
  <si>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</si>
  <si>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</si>
  <si>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</si>
  <si>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</si>
  <si>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</si>
  <si>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</si>
  <si>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</si>
  <si>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</si>
  <si>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</si>
  <si>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</si>
  <si>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</si>
  <si>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</si>
  <si>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</si>
  <si>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</si>
  <si>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</si>
  <si>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</si>
  <si>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</si>
  <si>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</si>
  <si>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</si>
  <si>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</si>
  <si>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</si>
  <si>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</si>
  <si>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</si>
  <si>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</si>
  <si>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</si>
  <si>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</si>
  <si>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</si>
  <si>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</si>
  <si>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</si>
  <si>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</si>
  <si>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</si>
  <si>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</si>
  <si>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</si>
  <si>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</si>
  <si>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</si>
  <si>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</si>
  <si>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</si>
  <si>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</si>
  <si>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</si>
  <si>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</si>
  <si>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</si>
  <si>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</si>
  <si>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</si>
  <si>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</si>
  <si>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</si>
  <si>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</si>
  <si>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</si>
  <si>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</si>
  <si>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</si>
  <si>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</si>
  <si>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</si>
  <si>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</si>
  <si>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</si>
  <si>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</si>
  <si>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</si>
  <si>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</si>
  <si>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</si>
  <si>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</si>
  <si>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</si>
  <si>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</si>
  <si>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</si>
  <si>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</si>
  <si>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</si>
  <si>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</si>
  <si>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</si>
  <si>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</si>
  <si>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</si>
  <si>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</si>
  <si>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</si>
  <si>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</si>
  <si>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</si>
  <si>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</si>
  <si>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</si>
  <si>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</si>
  <si>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</si>
  <si>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</si>
  <si>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</si>
  <si>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</si>
  <si>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</si>
  <si>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</si>
  <si>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</si>
  <si>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</si>
  <si>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</si>
  <si>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</si>
  <si>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</si>
  <si>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</si>
  <si>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</si>
  <si>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</si>
  <si>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</si>
  <si>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</si>
  <si>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</si>
  <si>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</si>
  <si>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</si>
  <si>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</si>
  <si>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</si>
  <si>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</si>
  <si>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</si>
  <si>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</si>
  <si>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</si>
  <si>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</si>
  <si>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</si>
  <si>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</si>
  <si>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</si>
  <si>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</si>
  <si>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</si>
  <si>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</si>
  <si>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</si>
  <si>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</si>
  <si>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</si>
  <si>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</si>
  <si>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</si>
  <si>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</si>
  <si>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</si>
  <si>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</si>
  <si>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</si>
  <si>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</si>
  <si>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</si>
  <si>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</si>
  <si>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</si>
  <si>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</si>
  <si>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</si>
  <si>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</si>
  <si>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</si>
  <si>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</si>
  <si>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</si>
  <si>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</si>
  <si>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</si>
  <si>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</si>
  <si>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</si>
  <si>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</si>
  <si>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</si>
  <si>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</si>
  <si>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</si>
  <si>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</si>
  <si>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</si>
  <si>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</si>
  <si>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</si>
  <si>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</si>
  <si>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</si>
  <si>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</si>
  <si>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</si>
  <si>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</si>
  <si>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</si>
  <si>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</si>
  <si>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</si>
  <si>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</si>
  <si>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</si>
  <si>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</si>
  <si>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</si>
  <si>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</si>
  <si>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</si>
  <si>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</si>
  <si>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</si>
  <si>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</si>
  <si>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</si>
  <si>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</si>
  <si>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</si>
  <si>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</si>
  <si>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</si>
  <si>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</si>
  <si>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</si>
  <si>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</si>
  <si>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</si>
  <si>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</si>
  <si>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</si>
  <si>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</si>
  <si>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</si>
  <si>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</si>
  <si>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</si>
  <si>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</si>
  <si>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</si>
  <si>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</si>
  <si>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</si>
  <si>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</si>
  <si>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</si>
  <si>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</si>
  <si>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</si>
  <si>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</si>
  <si>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</si>
  <si>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</si>
  <si>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</si>
  <si>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</si>
  <si>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</si>
  <si>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</si>
  <si>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</si>
  <si>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</si>
  <si>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</si>
  <si>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</si>
  <si>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</si>
  <si>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</si>
  <si>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</si>
  <si>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</si>
  <si>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</si>
  <si>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</si>
  <si>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</si>
  <si>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</si>
  <si>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</si>
  <si>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</si>
  <si>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</si>
  <si>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</si>
  <si>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</si>
  <si>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</si>
  <si>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</si>
  <si>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</si>
  <si>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</si>
  <si>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</si>
  <si>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</si>
  <si>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</si>
  <si>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</si>
  <si>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</si>
  <si>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</si>
  <si>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</si>
  <si>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</si>
  <si>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</si>
  <si>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</si>
  <si>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</si>
  <si>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</si>
  <si>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</si>
  <si>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</si>
  <si>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</si>
  <si>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</si>
  <si>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</si>
  <si>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</si>
  <si>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</si>
  <si>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</si>
  <si>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</si>
  <si>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</si>
  <si>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</si>
  <si>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</si>
  <si>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</si>
  <si>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</si>
  <si>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</si>
  <si>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</si>
  <si>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</si>
  <si>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</si>
  <si>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</si>
  <si>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</si>
  <si>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</si>
  <si>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</si>
  <si>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</si>
  <si>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</si>
  <si>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</si>
  <si>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</si>
  <si>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</si>
  <si>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</si>
  <si>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</si>
  <si>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</si>
  <si>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</si>
  <si>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</si>
  <si>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</si>
  <si>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</si>
  <si>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</si>
  <si>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</si>
  <si>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</si>
  <si>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</si>
  <si>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</si>
  <si>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</si>
  <si>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</si>
  <si>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</si>
  <si>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</si>
  <si>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</si>
  <si>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</si>
  <si>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</si>
  <si>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</si>
  <si>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</si>
  <si>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</si>
  <si>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</si>
  <si>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</si>
  <si>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</si>
  <si>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</si>
  <si>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</si>
  <si>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</si>
  <si>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</si>
  <si>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</si>
  <si>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</si>
  <si>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</si>
  <si>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</si>
  <si>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</si>
  <si>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</si>
  <si>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</si>
  <si>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</si>
  <si>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</si>
  <si>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</si>
  <si>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</si>
  <si>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</si>
  <si>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</si>
  <si>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</si>
  <si>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</si>
  <si>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</si>
  <si>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</si>
  <si>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</si>
  <si>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</si>
  <si>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</si>
  <si>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</si>
  <si>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</si>
  <si>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</si>
  <si>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</si>
  <si>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</si>
  <si>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</si>
  <si>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</si>
  <si>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</si>
  <si>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</si>
  <si>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</si>
  <si>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</si>
  <si>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</si>
  <si>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</si>
  <si>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</si>
  <si>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</si>
  <si>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</si>
  <si>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</si>
  <si>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</si>
  <si>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</si>
  <si>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</si>
  <si>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</si>
  <si>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</si>
  <si>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</si>
  <si>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</si>
  <si>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</si>
  <si>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</si>
  <si>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</si>
  <si>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</si>
  <si>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</si>
  <si>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</si>
  <si>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</si>
  <si>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</si>
  <si>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</si>
  <si>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</si>
  <si>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</si>
  <si>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</si>
  <si>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</si>
  <si>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</si>
  <si>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</si>
  <si>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</si>
  <si>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</si>
  <si>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</si>
  <si>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</si>
  <si>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</si>
  <si>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</si>
  <si>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</si>
  <si>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</si>
  <si>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</si>
  <si>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</si>
  <si>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</si>
  <si>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</si>
  <si>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</si>
  <si>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</si>
  <si>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</si>
  <si>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</si>
  <si>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</si>
  <si>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</si>
  <si>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</si>
  <si>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</si>
  <si>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</si>
  <si>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</si>
  <si>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</si>
  <si>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</si>
  <si>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</si>
  <si>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</si>
  <si>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</si>
  <si>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</si>
  <si>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</si>
  <si>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</si>
  <si>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</si>
  <si>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</si>
  <si>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</si>
  <si>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</si>
  <si>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</si>
  <si>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</si>
  <si>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</si>
  <si>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</si>
  <si>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</si>
  <si>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</si>
  <si>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</si>
  <si>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</si>
  <si>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</si>
  <si>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</si>
  <si>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</si>
  <si>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</si>
  <si>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</si>
  <si>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</si>
  <si>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</si>
  <si>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</si>
  <si>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</si>
  <si>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</si>
  <si>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</si>
  <si>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</si>
  <si>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</si>
  <si>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</si>
  <si>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</si>
  <si>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</si>
  <si>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</si>
  <si>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</si>
  <si>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</si>
  <si>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</si>
  <si>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</si>
  <si>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</si>
  <si>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</si>
  <si>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</si>
  <si>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</si>
  <si>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</si>
  <si>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</si>
  <si>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</si>
  <si>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</si>
  <si>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</si>
  <si>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</si>
  <si>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</si>
  <si>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</si>
  <si>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</si>
  <si>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</si>
  <si>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</si>
  <si>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</si>
  <si>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</si>
  <si>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</si>
  <si>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</si>
  <si>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</si>
  <si>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</si>
  <si>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</si>
  <si>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</si>
  <si>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</si>
  <si>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</si>
  <si>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</si>
  <si>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</si>
  <si>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</si>
  <si>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</si>
  <si>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</si>
  <si>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</si>
  <si>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</si>
  <si>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</si>
  <si>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</si>
  <si>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</si>
  <si>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</si>
  <si>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</si>
  <si>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</si>
  <si>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</si>
  <si>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</si>
  <si>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</si>
  <si>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</si>
  <si>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</si>
  <si>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</si>
  <si>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</si>
  <si>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</si>
  <si>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</si>
  <si>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</si>
  <si>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</si>
  <si>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</si>
  <si>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</si>
  <si>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</si>
  <si>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</si>
  <si>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</si>
  <si>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</si>
  <si>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</si>
  <si>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</si>
  <si>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</si>
  <si>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</si>
  <si>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</si>
  <si>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</si>
  <si>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</si>
  <si>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</si>
  <si>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</si>
  <si>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</si>
  <si>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</si>
  <si>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</si>
  <si>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</si>
  <si>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</si>
  <si>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</si>
  <si>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</si>
  <si>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</si>
  <si>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</si>
  <si>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</si>
  <si>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</si>
  <si>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</si>
  <si>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</si>
  <si>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</si>
  <si>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</si>
  <si>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</si>
  <si>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</si>
  <si>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</si>
  <si>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</si>
  <si>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</si>
  <si>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</si>
  <si>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</si>
  <si>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</si>
  <si>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</si>
  <si>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</si>
  <si>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</si>
  <si>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</si>
  <si>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</si>
  <si>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</si>
  <si>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</si>
  <si>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</si>
  <si>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</si>
  <si>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</si>
  <si>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</si>
  <si>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</si>
  <si>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</si>
  <si>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</si>
  <si>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</si>
  <si>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</si>
  <si>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</si>
  <si>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</si>
  <si>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</si>
  <si>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</si>
  <si>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</si>
  <si>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</si>
  <si>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</si>
  <si>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</si>
  <si>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</si>
  <si>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</si>
  <si>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</si>
  <si>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</si>
  <si>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</si>
  <si>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</si>
  <si>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</si>
  <si>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</si>
  <si>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</si>
  <si>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</si>
  <si>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</si>
  <si>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</si>
  <si>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</si>
  <si>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</si>
  <si>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</si>
  <si>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</si>
  <si>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</si>
  <si>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</si>
  <si>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</si>
  <si>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</si>
  <si>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</si>
  <si>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</si>
  <si>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</si>
  <si>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</si>
  <si>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</si>
  <si>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</si>
  <si>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</si>
  <si>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</si>
  <si>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</si>
  <si>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</si>
  <si>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</si>
  <si>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</si>
  <si>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</si>
  <si>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</si>
  <si>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</si>
  <si>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</si>
  <si>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</si>
  <si>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</si>
  <si>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</si>
  <si>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</si>
  <si>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</si>
  <si>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</si>
  <si>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</si>
  <si>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</si>
  <si>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</si>
  <si>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</si>
  <si>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</si>
  <si>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</si>
  <si>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</si>
  <si>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</si>
  <si>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</si>
  <si>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</si>
  <si>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</si>
  <si>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</si>
  <si>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</si>
  <si>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</si>
  <si>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</si>
  <si>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</si>
  <si>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</si>
  <si>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</si>
  <si>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</si>
  <si>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</si>
  <si>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</si>
  <si>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</si>
  <si>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</si>
  <si>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</si>
  <si>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</si>
  <si>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</si>
  <si>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</si>
  <si>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</si>
  <si>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</si>
  <si>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</si>
  <si>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</si>
  <si>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</si>
  <si>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</si>
  <si>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</si>
  <si>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</si>
  <si>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</si>
  <si>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</si>
  <si>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</si>
  <si>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</si>
  <si>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</si>
  <si>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</si>
  <si>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</si>
  <si>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</si>
  <si>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</si>
  <si>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</si>
  <si>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</si>
  <si>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</si>
  <si>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</si>
  <si>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</si>
  <si>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</si>
  <si>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</si>
  <si>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</si>
  <si>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</si>
  <si>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</si>
  <si>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</si>
  <si>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</si>
  <si>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</si>
  <si>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</si>
  <si>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</si>
  <si>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</si>
  <si>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</si>
  <si>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</si>
  <si>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</si>
  <si>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</si>
  <si>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</si>
  <si>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</si>
  <si>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</si>
  <si>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</si>
  <si>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</si>
  <si>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</si>
  <si>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</si>
  <si>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</si>
  <si>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</si>
  <si>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</si>
  <si>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</si>
  <si>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</si>
  <si>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</si>
  <si>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</si>
  <si>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</si>
  <si>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</si>
  <si>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</si>
  <si>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</si>
  <si>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</si>
  <si>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</si>
  <si>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</si>
  <si>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</si>
  <si>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</si>
  <si>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</si>
  <si>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</si>
  <si>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</si>
  <si>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</si>
  <si>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</si>
  <si>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</si>
  <si>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</si>
  <si>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</si>
  <si>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</si>
  <si>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</si>
  <si>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</si>
  <si>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</si>
  <si>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</si>
  <si>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</si>
  <si>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</si>
  <si>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</si>
  <si>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</si>
  <si>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</si>
  <si>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</si>
  <si>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</si>
  <si>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</si>
  <si>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</si>
  <si>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</si>
  <si>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</si>
  <si>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</si>
  <si>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</si>
  <si>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</si>
  <si>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</si>
  <si>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</si>
  <si>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</si>
  <si>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</si>
  <si>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</si>
  <si>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</si>
  <si>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</si>
  <si>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</si>
  <si>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</si>
  <si>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浙江省</t>
    <phoneticPr fontId="6" type="noConversion"/>
  </si>
  <si>
    <t>杭州市萧山区进化镇天乐村</t>
    <phoneticPr fontId="6" type="noConversion"/>
  </si>
  <si>
    <t>企业</t>
  </si>
  <si>
    <t>一致</t>
  </si>
  <si>
    <t>符合</t>
  </si>
  <si>
    <t>商业</t>
  </si>
  <si>
    <t>通电</t>
  </si>
  <si>
    <t>场地未平整</t>
  </si>
  <si>
    <t>未平整</t>
  </si>
  <si>
    <t>地上</t>
  </si>
  <si>
    <t>平层住宅</t>
  </si>
  <si>
    <t>酒店</t>
  </si>
  <si>
    <t>住宅</t>
    <phoneticPr fontId="3" type="noConversion"/>
  </si>
  <si>
    <t>商业</t>
    <phoneticPr fontId="3" type="noConversion"/>
  </si>
  <si>
    <t>土地</t>
    <phoneticPr fontId="3" type="noConversion"/>
  </si>
  <si>
    <t>合计</t>
    <phoneticPr fontId="3" type="noConversion"/>
  </si>
  <si>
    <t>建筑</t>
    <phoneticPr fontId="3" type="noConversion"/>
  </si>
  <si>
    <t>住宅</t>
    <phoneticPr fontId="7" type="noConversion"/>
  </si>
  <si>
    <t>商业</t>
    <phoneticPr fontId="7" type="noConversion"/>
  </si>
  <si>
    <t>比较法-住宅、综合</t>
  </si>
  <si>
    <t>剩余法-待开发</t>
  </si>
  <si>
    <t>不动产收益法</t>
  </si>
  <si>
    <t>售价</t>
  </si>
  <si>
    <t>风荷锦庭</t>
    <phoneticPr fontId="3" type="noConversion"/>
  </si>
  <si>
    <t>欣明望江府</t>
    <phoneticPr fontId="3" type="noConversion"/>
  </si>
  <si>
    <t>永利天桥府</t>
    <phoneticPr fontId="3" type="noConversion"/>
  </si>
  <si>
    <t>普装</t>
    <phoneticPr fontId="21" type="noConversion"/>
  </si>
  <si>
    <t>简装</t>
    <phoneticPr fontId="21" type="noConversion"/>
  </si>
  <si>
    <t>毛坯</t>
  </si>
  <si>
    <t>毛坯</t>
    <phoneticPr fontId="21" type="noConversion"/>
  </si>
  <si>
    <t>精装</t>
  </si>
  <si>
    <t>精装</t>
    <phoneticPr fontId="21" type="noConversion"/>
  </si>
  <si>
    <t>六通</t>
  </si>
  <si>
    <t>六通</t>
    <phoneticPr fontId="21" type="noConversion"/>
  </si>
  <si>
    <t>五通</t>
    <phoneticPr fontId="21" type="noConversion"/>
  </si>
  <si>
    <t>四通</t>
    <phoneticPr fontId="21" type="noConversion"/>
  </si>
  <si>
    <t>三通</t>
    <phoneticPr fontId="21" type="noConversion"/>
  </si>
  <si>
    <t>二通</t>
    <phoneticPr fontId="21" type="noConversion"/>
  </si>
  <si>
    <t>一通</t>
    <phoneticPr fontId="21" type="noConversion"/>
  </si>
  <si>
    <t>正常</t>
  </si>
  <si>
    <t>住宅</t>
    <phoneticPr fontId="21" type="noConversion"/>
  </si>
  <si>
    <t>一般</t>
  </si>
  <si>
    <t>较差</t>
  </si>
  <si>
    <t>较好</t>
  </si>
  <si>
    <t>押一</t>
  </si>
  <si>
    <t>按租金收入计税</t>
  </si>
  <si>
    <t>钢混</t>
  </si>
  <si>
    <t>楼面地价</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</si>
  <si>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</si>
  <si>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</si>
  <si>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</si>
  <si>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</si>
  <si>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</si>
  <si>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</si>
  <si>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</si>
  <si>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</si>
  <si>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</si>
  <si>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</si>
  <si>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</si>
  <si>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</si>
  <si>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</si>
  <si>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</si>
  <si>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</si>
  <si>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</si>
  <si>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</si>
  <si>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</si>
  <si>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</si>
  <si>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</si>
  <si>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</si>
  <si>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</si>
  <si>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</si>
  <si>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</si>
  <si>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</si>
  <si>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</si>
  <si>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</si>
  <si>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</si>
  <si>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</si>
  <si>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</si>
  <si>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</si>
  <si>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</si>
  <si>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</si>
  <si>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</si>
  <si>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</si>
  <si>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</si>
  <si>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</si>
  <si>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</si>
  <si>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</si>
  <si>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</si>
  <si>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</si>
  <si>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</si>
  <si>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</si>
  <si>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</si>
  <si>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市北西单元兴议区块B-23地块</t>
  </si>
  <si>
    <t>杭州市</t>
  </si>
  <si>
    <t>综合用地(含住宅)</t>
  </si>
  <si>
    <t>萧山区</t>
  </si>
  <si>
    <t>东至规划萧邮路,南至规划兴九路,西至规划风情大道防护绿带,北至规划B6路。</t>
  </si>
  <si>
    <t>挂牌</t>
  </si>
  <si>
    <t>萧政储出(2019)23号</t>
  </si>
  <si>
    <t>居住用地</t>
  </si>
  <si>
    <t>＞1.0≤2.4</t>
  </si>
  <si>
    <t>≤22</t>
  </si>
  <si>
    <t>≤80</t>
  </si>
  <si>
    <t>公共租赁房,</t>
  </si>
  <si>
    <t>限地价,限房价,竞自持,竞配建,含保障房用地</t>
  </si>
  <si>
    <t>限地价</t>
  </si>
  <si>
    <t>未开工</t>
  </si>
  <si>
    <t>2019-06-19</t>
  </si>
  <si>
    <t>2019-07-19</t>
  </si>
  <si>
    <t>2019-07-29</t>
  </si>
  <si>
    <t>萧土资告【2019】01009号</t>
  </si>
  <si>
    <t>已成交</t>
  </si>
  <si>
    <t>杭州滨禹企业管理有限公司</t>
  </si>
  <si>
    <t>70年,40年</t>
  </si>
  <si>
    <t>5星</t>
  </si>
  <si>
    <t>蜀山西单元C-07地块</t>
  </si>
  <si>
    <t>住宅用地</t>
  </si>
  <si>
    <t>东至规划崇化路,南至规划沿河绿地,西至规划小白线,北至南环路。</t>
  </si>
  <si>
    <t>萧政储出(2019)22号</t>
  </si>
  <si>
    <t>商住用地</t>
  </si>
  <si>
    <t>＞1.0≤2.6</t>
  </si>
  <si>
    <t>≤35</t>
  </si>
  <si>
    <t>杭州东原益丰科技有限公司</t>
  </si>
  <si>
    <t>3星</t>
  </si>
  <si>
    <t>世纪城核心区块单元SJC0305-03/04/05/06/09/11地块</t>
  </si>
  <si>
    <t>东至永晖路、南至经二十一路、西至纬二十一路、北至飞虹路。</t>
  </si>
  <si>
    <t>萧政储出(2019)26号</t>
  </si>
  <si>
    <t>居住、幼儿园、道路、公园绿地、公园绿地(附建地下公共停车场)、社会福利用地(居住区养老院)</t>
  </si>
  <si>
    <t>＞1.0≤3.0</t>
  </si>
  <si>
    <t>限地价,限房价,竞自持,竞配建</t>
  </si>
  <si>
    <t>杭州滨碌企业管理有限公司</t>
  </si>
  <si>
    <t>住宅70年,社会福利用地(居住区养老院)50年</t>
  </si>
  <si>
    <t>空港核心区1号地块</t>
  </si>
  <si>
    <t>东至潮都西路,南至空港新城城市示范村(南阳区块)二期,西至南阳大道,北至港城大道。</t>
  </si>
  <si>
    <t>萧政储出(2019)25号</t>
  </si>
  <si>
    <t>商业、居住用地(B/R)</t>
  </si>
  <si>
    <t>＞1.0≤2.1</t>
  </si>
  <si>
    <t>≤43.5</t>
  </si>
  <si>
    <t>杭州兴耀投资有限公司</t>
  </si>
  <si>
    <t>4星</t>
  </si>
  <si>
    <t>钱塘新区新湾街道</t>
  </si>
  <si>
    <t>位于钱塘新区新湾街道,东至新湾大道,南至复兴路,西至抢险湾绿化带,北至横一路。</t>
  </si>
  <si>
    <t>杭钱塘储出〔2019〕3号</t>
  </si>
  <si>
    <t>住宅(设配套公建)、商业商务</t>
  </si>
  <si>
    <t>DJD1106-15:≤40;DJD1106-16:≤28</t>
  </si>
  <si>
    <t>DJD1106-15:≤100;DJD1106-16:≥24≤80</t>
  </si>
  <si>
    <t>2019-06-29</t>
  </si>
  <si>
    <t>杭钱塘储出〔2019〕2-3号</t>
  </si>
  <si>
    <t>浙江万固实业集团有限公司</t>
  </si>
  <si>
    <t>蜀山西单元C-26、D20地块</t>
  </si>
  <si>
    <t>南至规划南三路,北、西至规划河道绿地及规划小白线,东至规划防护绿地。</t>
  </si>
  <si>
    <t>萧政储出(2019)21号</t>
  </si>
  <si>
    <t>C-26:居住用地;D-20:服务设施用地(幼儿园18班)</t>
  </si>
  <si>
    <t>＞1.0≤2.7</t>
  </si>
  <si>
    <t>C-26地块:≤28;D20地块:≤30</t>
  </si>
  <si>
    <t>C-26地块:≤80;D20地块:≤12</t>
  </si>
  <si>
    <t>限地价,竞自持,竞配建,含保障房用地</t>
  </si>
  <si>
    <t>2019-05-25</t>
  </si>
  <si>
    <t>2019-06-14</t>
  </si>
  <si>
    <t>2019-06-24</t>
  </si>
  <si>
    <t>萧土资告【2019】01008号</t>
  </si>
  <si>
    <t>杭州滨谷企业管理有限公司</t>
  </si>
  <si>
    <t>70年</t>
  </si>
  <si>
    <t>城厢单元A-44、A-45地块</t>
  </si>
  <si>
    <t>东至通惠路,西至洄澜北路,南至徐家河公寓,北至育才东苑。</t>
  </si>
  <si>
    <t>萧政储出(2019)18号</t>
  </si>
  <si>
    <t>＞1.0≤1.72</t>
  </si>
  <si>
    <t>A-44地块:≤30;A-45地块:≤22</t>
  </si>
  <si>
    <t>A-44地块:≤24;A-45地块:≤65</t>
  </si>
  <si>
    <t>限地价,竞自持,竞配建</t>
  </si>
  <si>
    <t>中天美好集团有限公司</t>
  </si>
  <si>
    <t>70年、40年</t>
  </si>
  <si>
    <t>杭州南站综合交通枢纽区D-56地块</t>
  </si>
  <si>
    <t>东至高新五路,南至官河,西至郎家浜河,北至商聚街。</t>
  </si>
  <si>
    <t>萧政储出(2019)19号</t>
  </si>
  <si>
    <t>＞1.0≤2.2</t>
  </si>
  <si>
    <t>≤70</t>
  </si>
  <si>
    <t>限地价,竞自持</t>
  </si>
  <si>
    <t>杭州协新企业管理有限公司</t>
  </si>
  <si>
    <t>萧山城区市北东单元G-11地块(原G-16地块)</t>
  </si>
  <si>
    <t>东至经十三路,南至规划大地路,西至通惠北路,北至建设二路、经十三路。</t>
  </si>
  <si>
    <t>萧政储出(2019)17号</t>
  </si>
  <si>
    <t>＞1.0≤2.5</t>
  </si>
  <si>
    <t>杭州璟慧商贸有限责任公司</t>
  </si>
  <si>
    <t>杭州南站综合交通枢纽区D-60地块</t>
  </si>
  <si>
    <t>东至长山直河,南至官河,西至高新五路,北至郎家浜河。</t>
  </si>
  <si>
    <t>萧政储出(2019)20号</t>
  </si>
  <si>
    <t>≤30</t>
  </si>
  <si>
    <t>≤54</t>
  </si>
  <si>
    <t>浙江赞成控股集团有限公司</t>
  </si>
  <si>
    <t>萧山经济技术开发区新街区块</t>
  </si>
  <si>
    <t>本地块位于萧山经济技术开发区新街区块,东至高新十一路,南至解放河绿化带,西至香樟路,北至建设二路。</t>
  </si>
  <si>
    <t>萧政储出(2019)16号</t>
  </si>
  <si>
    <t>居住用地(R2,含配套幼儿园)</t>
  </si>
  <si>
    <t>≥1.01≤2.4</t>
  </si>
  <si>
    <t>≤16</t>
  </si>
  <si>
    <t>限地价,竞自持,竞配建,含租赁用地</t>
  </si>
  <si>
    <t>限地价,竞自持,含租赁用地</t>
  </si>
  <si>
    <t>2019-04-09</t>
  </si>
  <si>
    <t>2019-04-29</t>
  </si>
  <si>
    <t>2019-05-09</t>
  </si>
  <si>
    <t>萧土资告【2019】01006号</t>
  </si>
  <si>
    <t>浙江保利房地产开发有限公司</t>
  </si>
  <si>
    <t>蜀山单元良种场区块</t>
  </si>
  <si>
    <t>东至通城快速路,南至规划新螺路,西至通惠南路,北至南环路。</t>
  </si>
  <si>
    <t>萧政储出(2019)9号</t>
  </si>
  <si>
    <t>D-21-1地块为商业/*商务用地、D-21-2地块为居住用地、D-22地块为居住用地、D-20地块为防护绿地。</t>
  </si>
  <si>
    <t>≤40</t>
  </si>
  <si>
    <t>≤100</t>
  </si>
  <si>
    <t>2019-03-29</t>
  </si>
  <si>
    <t>2019-04-18</t>
  </si>
  <si>
    <t>萧土资告【2019】01005号</t>
  </si>
  <si>
    <t>杭州融悦企业管理咨询合伙企业(有限合伙)</t>
  </si>
  <si>
    <t>70、40年</t>
  </si>
  <si>
    <t>杭州市铁路萧山站综合交通枢纽区A-47-2地块</t>
  </si>
  <si>
    <t>杭州市铁路萧山站综合交通枢纽区A-47-2地块。东、南至山北河,西至通惠路,北至金城路。</t>
  </si>
  <si>
    <t>萧政储出(2019)8号</t>
  </si>
  <si>
    <t>≥1.01≤2.7</t>
  </si>
  <si>
    <t>2019-03-13</t>
  </si>
  <si>
    <t>2019-04-02</t>
  </si>
  <si>
    <t>2019-04-12</t>
  </si>
  <si>
    <t>萧土资告【2019】01004号</t>
  </si>
  <si>
    <t>嘉兴臻岳置业有限公司</t>
  </si>
  <si>
    <t>市北西单元兴议区块B-16地块</t>
  </si>
  <si>
    <t>市北西单元兴议区块B-16地块。东至兴议路、南至B6路、西至萧邮路、北至现状电信用地。</t>
  </si>
  <si>
    <t>萧政储出(2019)4号</t>
  </si>
  <si>
    <t>居住用地(含配套商业)</t>
  </si>
  <si>
    <t>≥1.01≤2.5</t>
  </si>
  <si>
    <t>≤28</t>
  </si>
  <si>
    <t>2019-02-27</t>
  </si>
  <si>
    <t>2019-03-19</t>
  </si>
  <si>
    <t>萧土资告【2019】01003号</t>
  </si>
  <si>
    <t>杭州致申投资有限公司</t>
  </si>
  <si>
    <t>戴村镇仙女湖(七都溪西侧)住宅用地</t>
  </si>
  <si>
    <t>戴村镇仙女湖(七都溪西侧)住宅用地。东至七都溪,南、西、北至自然山体。</t>
  </si>
  <si>
    <t>萧政储出(2019)5号</t>
  </si>
  <si>
    <t>住宅用地(R21)</t>
  </si>
  <si>
    <t>≥1.01≤1.1</t>
  </si>
  <si>
    <t>北京银泰置地商业有限公司</t>
  </si>
  <si>
    <t>1星</t>
  </si>
  <si>
    <t>戴村镇市政路恒达路交叉口东侧住宅A区块</t>
  </si>
  <si>
    <t>戴村镇市政路恒达路交叉口东侧住宅A区块。东至规划校前大道、南至华诚路、西至规划市政路、北至恒达路。</t>
  </si>
  <si>
    <t>萧政储出(2019)6号</t>
  </si>
  <si>
    <t>A-1地块为居住用地(含配套商业),A-2地块为服务设施用地</t>
  </si>
  <si>
    <t>≥1.01≤1.8</t>
  </si>
  <si>
    <t>≤50</t>
  </si>
  <si>
    <t>杭州凯燊投资管理有限公司</t>
  </si>
  <si>
    <t>大江东产业集聚区核心区</t>
  </si>
  <si>
    <t>位于大江东产业集聚区核心区,东至青六路,南至北一路,西至通慧湖绿化带,北至国环三路。</t>
  </si>
  <si>
    <t>杭大江东储出〔2018〕4号</t>
  </si>
  <si>
    <t>住宅(设配套公建)、商业兼容商务</t>
  </si>
  <si>
    <t>≥1.2≤3.8</t>
  </si>
  <si>
    <t>≤150</t>
  </si>
  <si>
    <t>2018-12-28</t>
  </si>
  <si>
    <t>2019-01-18</t>
  </si>
  <si>
    <t>2019-02-01</t>
  </si>
  <si>
    <t>嘉兴融盈置业有限公司</t>
  </si>
  <si>
    <t>70年;40年</t>
  </si>
  <si>
    <t>萧山城区蜀山单元-1</t>
  </si>
  <si>
    <t>东至规划西河路、规划一路,南至规划B22路、规划一路,北、西至沿河绿地</t>
  </si>
  <si>
    <t>萧政储出[2018]24号</t>
  </si>
  <si>
    <t>A-06-2地块为居住用地</t>
  </si>
  <si>
    <t>≥1≤2.6</t>
  </si>
  <si>
    <t>开工中</t>
  </si>
  <si>
    <t>2018-07-06</t>
  </si>
  <si>
    <t>2018-07-26</t>
  </si>
  <si>
    <t>2018-08-06</t>
  </si>
  <si>
    <t>萧土资告【2018】01012号</t>
  </si>
  <si>
    <t>深圳安创投资管理有限公司</t>
  </si>
  <si>
    <t>住宅70年</t>
  </si>
  <si>
    <t>萧山区蜀山单元F-06-1地块</t>
  </si>
  <si>
    <t>东至通惠路、南至南三路、西至王有史河、北至规划一路</t>
  </si>
  <si>
    <t>萧政储出[2018]23号</t>
  </si>
  <si>
    <t>≥1≤2.8</t>
  </si>
  <si>
    <t>2018-06-29</t>
  </si>
  <si>
    <t>2018-07-19</t>
  </si>
  <si>
    <t>2018-07-30</t>
  </si>
  <si>
    <t>萧土资告【2018】01011号</t>
  </si>
  <si>
    <t>杭州盛锋商务信息咨询有限公司</t>
  </si>
  <si>
    <t>萧山区南站单元</t>
  </si>
  <si>
    <t>东至新城路、南至山南路,西至下潦路、北至彩虹大道</t>
  </si>
  <si>
    <t>萧政储出[2018]21号</t>
  </si>
  <si>
    <t>≥1.0≤2.5</t>
  </si>
  <si>
    <t>2018-06-11</t>
  </si>
  <si>
    <t>2018-07-01</t>
  </si>
  <si>
    <t>2018-07-11</t>
  </si>
  <si>
    <t>萧土资告【2018】01010号</t>
  </si>
  <si>
    <t>杭州奥克斯置业有限公司</t>
  </si>
  <si>
    <t>住宅70年,商业40年</t>
  </si>
  <si>
    <t>萧山区戴村镇</t>
  </si>
  <si>
    <t>东至闻戴公路,南至华城路,西至校前大道,北至恒大路</t>
  </si>
  <si>
    <t>萧政储出[2018]20号</t>
  </si>
  <si>
    <t>商住用地(B/R)</t>
  </si>
  <si>
    <t>≥1.0≤2.6</t>
  </si>
  <si>
    <t>杭州银泰农旅投资发展有限公司&amp;amp;云南城投置业股份有限公司</t>
  </si>
  <si>
    <t>萧山经济技术开发区市北东部区块</t>
  </si>
  <si>
    <t>东至河道,南至建设三路、规划体育用地、规划绿地,西至经四路,北至加贸路</t>
  </si>
  <si>
    <t>萧政储出[2018]22号</t>
  </si>
  <si>
    <t>居住用地(R2)</t>
  </si>
  <si>
    <t>成都时盛商贸有限责任公司</t>
  </si>
  <si>
    <t>空港新城</t>
  </si>
  <si>
    <t>东至南庄路,南至港城大道,西至南丰路,北至南义路</t>
  </si>
  <si>
    <t>萧政储出[2018]19号</t>
  </si>
  <si>
    <t>≥1.0≤2.1</t>
  </si>
  <si>
    <t>2018-06-04</t>
  </si>
  <si>
    <t>2018-06-24</t>
  </si>
  <si>
    <t>2018-07-04</t>
  </si>
  <si>
    <t>萧土资告【2018】01009号</t>
  </si>
  <si>
    <t>浙江锦玉投资管理有限公司</t>
  </si>
  <si>
    <t>萧山城区市北东单元C-21地块</t>
  </si>
  <si>
    <t>位于市北东单元,东至宁东路,南至建设三路,西至宁安路,北至规划商业商务用地、规划体育用地、绿地等</t>
  </si>
  <si>
    <t>萧政储出[2018]18号</t>
  </si>
  <si>
    <t>≥1≤2.5</t>
  </si>
  <si>
    <t>≤25</t>
  </si>
  <si>
    <t>2018-05-16</t>
  </si>
  <si>
    <t>2018-06-05</t>
  </si>
  <si>
    <t>2018-06-15</t>
  </si>
  <si>
    <t>萧土资告【2018】01008号</t>
  </si>
  <si>
    <t>杭州滨星企业管理有限公司</t>
  </si>
  <si>
    <t>大江东产业集聚区江东片区</t>
  </si>
  <si>
    <t>位于大江东产业集聚区江东片区,东至金融小镇和规划道路,南至规划道路,西至青西一路,北至金领公寓项目</t>
  </si>
  <si>
    <t>杭大江东储出[2018]3号</t>
  </si>
  <si>
    <t>住宅用地(设配套公建)</t>
  </si>
  <si>
    <t>＞1≤2.5</t>
  </si>
  <si>
    <t>2018-05-10</t>
  </si>
  <si>
    <t>2018-05-30</t>
  </si>
  <si>
    <t>杭大江东储出【2018】3号</t>
  </si>
  <si>
    <t>杭州耀邦贸易有限公司</t>
  </si>
  <si>
    <t>大江东产业集聚区前进街道</t>
  </si>
  <si>
    <t>位于大江东产业集聚区前进街道,东至规划道路,南至前进小市集,西至梅林大道绿化带,北至江东六路。</t>
  </si>
  <si>
    <t>杭大江东储出[2018]1号</t>
  </si>
  <si>
    <t>住宅用地(租赁住房)</t>
  </si>
  <si>
    <t>含租赁用地</t>
  </si>
  <si>
    <t>2018-05-03</t>
  </si>
  <si>
    <t>2018-05-23</t>
  </si>
  <si>
    <t>杭大江东储出【2018】1、2号</t>
  </si>
  <si>
    <t>杭州市城市土地发展有限公司</t>
  </si>
  <si>
    <t>市北西单元兴议村C-21地块</t>
  </si>
  <si>
    <t>位于市北西单元,东至兴议中心河绿化带,南至建设一路,西至萧邮路,北至兴五路</t>
  </si>
  <si>
    <t>萧政储出[2018]17号</t>
  </si>
  <si>
    <t>C-21地块为居住用地(R2)</t>
  </si>
  <si>
    <t>2018-04-19</t>
  </si>
  <si>
    <t>2018-05-09</t>
  </si>
  <si>
    <t>2018-05-21</t>
  </si>
  <si>
    <t>萧土资告【2018】01007号</t>
  </si>
  <si>
    <t>招商局地产(杭州)有限公司</t>
  </si>
  <si>
    <t>萧山新街单元地块</t>
  </si>
  <si>
    <t>位于萧山新街单元,东至香樟路、西至高新九路、南至前解放河、北至建设二路</t>
  </si>
  <si>
    <t>萧政储出[2018]15号</t>
  </si>
  <si>
    <t>≥1≤2.7</t>
  </si>
  <si>
    <t>2018-02-28</t>
  </si>
  <si>
    <t>2018-03-20</t>
  </si>
  <si>
    <t>2018-03-30</t>
  </si>
  <si>
    <t>萧土资告【2018】01005号</t>
  </si>
  <si>
    <t>中铁置业集团上海有限公司</t>
  </si>
  <si>
    <t>萧山钱江世纪城M-04地块</t>
  </si>
  <si>
    <t>位于萧山钱江世纪城M-04地块,东至皓月路,南至金鸡路,西至盈丰路,北至民和路</t>
  </si>
  <si>
    <t>萧政储出[2018]13号</t>
  </si>
  <si>
    <t>≥1≤2.9</t>
  </si>
  <si>
    <t>萧山城区蜀山南单元B-18-1地块</t>
  </si>
  <si>
    <t>位于萧山城区蜀山南单元,东至B-18-2地块、南至南五路、西至蜀山西路、北至南四路</t>
  </si>
  <si>
    <t>萧政储出[2018]14号</t>
  </si>
  <si>
    <t>B-18-1地块居住用地(R)</t>
  </si>
  <si>
    <t>浙江恺泽房地产开发有限公司</t>
  </si>
  <si>
    <t>2星</t>
  </si>
  <si>
    <t>萧山区市北东单元内</t>
  </si>
  <si>
    <t>位于萧山区市北东单元内,东至经十三路,西至佳农路、支一路,北至大地路,南至建设一路辅路</t>
  </si>
  <si>
    <t>萧政储出[2018]10号</t>
  </si>
  <si>
    <t>2018-02-25</t>
  </si>
  <si>
    <t>2018-03-17</t>
  </si>
  <si>
    <t>2018-03-27</t>
  </si>
  <si>
    <t>萧土资告【2018】01004号</t>
  </si>
  <si>
    <t>成都同新商贸有限责任公司</t>
  </si>
  <si>
    <t>萧山城区蜀山南单元地块</t>
  </si>
  <si>
    <t>位于萧山城区蜀山南单元,东至规划蜀山西路,南至规划南五路,西至湘湖三期金西安置房项目地块,北至规划南四路</t>
  </si>
  <si>
    <t>萧政储出[2018]12号</t>
  </si>
  <si>
    <t>浙江佳源杭城房地产集团有限公司</t>
  </si>
  <si>
    <t>萧山城区市北东单元</t>
  </si>
  <si>
    <t>位于萧山城区市北东单元,东至万向路,南至友成路,北至建设一路,西至经十一路</t>
  </si>
  <si>
    <t>萧政储出[2018]11号</t>
  </si>
  <si>
    <t>杭州港中旅城市发展有限公司</t>
  </si>
  <si>
    <t>萧山区党湾镇</t>
  </si>
  <si>
    <t>东至幸福西直湾、南至文化路、西至梅林大道、北至规划支路</t>
  </si>
  <si>
    <t>萧政储出[2018]7号</t>
  </si>
  <si>
    <t>商业服务业设施用地兼容居住用地(B/R*)</t>
  </si>
  <si>
    <t>2018-02-07</t>
  </si>
  <si>
    <t>2018-02-27</t>
  </si>
  <si>
    <t>2018-03-09</t>
  </si>
  <si>
    <t>萧土资告【2018】01002号</t>
  </si>
  <si>
    <t>中量建工股份有限公司</t>
  </si>
  <si>
    <t>萧山区河上镇</t>
  </si>
  <si>
    <t>东至杭州航波纸塑包装有限公司,西至03省道,北至纬三路,南至大泥线</t>
  </si>
  <si>
    <t>萧政储出[2018]6号</t>
  </si>
  <si>
    <t>商业、住宅用地</t>
  </si>
  <si>
    <t>华景川集团有限公司</t>
  </si>
  <si>
    <t>萧山城区上湘湖单元</t>
  </si>
  <si>
    <t>东至规划道路,南至湘溪路,西至东风河沿河绿地,北至规划道路</t>
  </si>
  <si>
    <t>萧政储出[2018]5号</t>
  </si>
  <si>
    <t>居住用地(R21)</t>
  </si>
  <si>
    <t>＞1≤1.01</t>
  </si>
  <si>
    <t>≤20</t>
  </si>
  <si>
    <t>2018-01-06</t>
  </si>
  <si>
    <t>2018-01-26</t>
  </si>
  <si>
    <t>2018-02-05</t>
  </si>
  <si>
    <t>萧土资告【2018】01001号</t>
  </si>
  <si>
    <t>杭州滨江盛元房地产开发有限公司</t>
  </si>
  <si>
    <t>大江东产业集聚区</t>
  </si>
  <si>
    <t>位于大江东产业集聚区新湾街道,东至新四路,南至冯溇路,西至建华路,北至闸口路。</t>
  </si>
  <si>
    <t>杭大江东储出〔2017〕8号</t>
  </si>
  <si>
    <t>＞1.2≤2.2</t>
  </si>
  <si>
    <t>&amp;lt;60</t>
  </si>
  <si>
    <t>2017-12-28</t>
  </si>
  <si>
    <t>2018-01-17</t>
  </si>
  <si>
    <t>2018-01-29</t>
  </si>
  <si>
    <t>杭大江东告(2017)2号</t>
  </si>
  <si>
    <t>杭州滨江房产集团股份有限公司</t>
  </si>
  <si>
    <t>40、70年</t>
  </si>
  <si>
    <t>萧山城区蜀山单元A-10-1地块</t>
  </si>
  <si>
    <t>东至市心南路,南至规划一路,西至规划西河路,北至规划二路。</t>
  </si>
  <si>
    <t>萧政储出[2018]4号</t>
  </si>
  <si>
    <t>2017-12-29</t>
  </si>
  <si>
    <t>2018-01-18</t>
  </si>
  <si>
    <t>萧土资告【2017】01004号</t>
  </si>
  <si>
    <t>德信地产集团有限公司</t>
  </si>
  <si>
    <t>位于大江东产业集聚区河庄街道,东至钱民花苑,南至至高钱塘一品,西至河庄路,北至纬九路。</t>
  </si>
  <si>
    <t>杭大江东储出〔2017〕9号</t>
  </si>
  <si>
    <t>商住兼容用地</t>
  </si>
  <si>
    <t>≥1.2≤2.8</t>
  </si>
  <si>
    <t>义桥镇FG08-R-13/FG08-R14号地块</t>
  </si>
  <si>
    <t>东至腾飞路,南至新城路,西至新峡路,北至义达路.</t>
  </si>
  <si>
    <t>萧政储出[2018]3号</t>
  </si>
  <si>
    <t>临安临嘉投资管理有限公司</t>
  </si>
  <si>
    <t>铁路杭州南站(萧山站)综合交通枢纽区D-03地块</t>
  </si>
  <si>
    <t>东至高新五路,西至规划公园绿地,北至规划公园绿地,南至规划商业商务用地。</t>
  </si>
  <si>
    <t>萧政储出[2018]2号</t>
  </si>
  <si>
    <t>重庆业博实业有限公司</t>
  </si>
  <si>
    <t>位于大江东产业集聚区新湾街道,东至规划新二路,南至南沙大堤绿化带,西至新湾大道,北至现状河道绿化带。</t>
  </si>
  <si>
    <t>杭大江东储出〔2017〕7号</t>
  </si>
  <si>
    <t>≥1≤1.2</t>
  </si>
  <si>
    <t>≤24</t>
  </si>
  <si>
    <t>杭州嘉裕房地产开发经营有限公司</t>
  </si>
  <si>
    <t>杨岐山单元控规内地块</t>
  </si>
  <si>
    <t>北至规划商住用地,西至规划沿河绿地,东至规划绿地,南至规划杨岐山路、商业用地及居住用地</t>
  </si>
  <si>
    <t>萧政储出[2017]26号</t>
  </si>
  <si>
    <t>普通商品住房用地/商业、居住用地</t>
  </si>
  <si>
    <t>≥1≤1.6</t>
  </si>
  <si>
    <t>2017-12-01</t>
  </si>
  <si>
    <t>2017-12-21</t>
  </si>
  <si>
    <t>2017-12-31</t>
  </si>
  <si>
    <t>萧土资告【2017】01003号</t>
  </si>
  <si>
    <t>浙江保亿投资有限公司</t>
  </si>
  <si>
    <t>住宅70年、商业40年</t>
  </si>
  <si>
    <t>蜀山街道朝阳社区</t>
  </si>
  <si>
    <t>东至市心南路西侧绿化带,南至规划南六路,西至规划西河路,北至规划南五路</t>
  </si>
  <si>
    <t>萧政储出(2017)23号</t>
  </si>
  <si>
    <t>＞1≤2.8</t>
  </si>
  <si>
    <t>&amp;lt;100</t>
  </si>
  <si>
    <t>2017-11-06</t>
  </si>
  <si>
    <t>2017-11-27</t>
  </si>
  <si>
    <t>2017-12-07</t>
  </si>
  <si>
    <t>萧土资告[2017]01001</t>
  </si>
  <si>
    <t>杭州致谦投资有限公司</t>
  </si>
  <si>
    <t>核心区北二路南地块</t>
  </si>
  <si>
    <t>东、南至国环三路,西至青六路,北至北二路</t>
  </si>
  <si>
    <t>杭大江东储出(2017)4号</t>
  </si>
  <si>
    <t>商业地产、商务、住宅用地、服务设施用地</t>
  </si>
  <si>
    <t>≥2≤3.2</t>
  </si>
  <si>
    <t>≥28≤60</t>
  </si>
  <si>
    <t>≤130</t>
  </si>
  <si>
    <t>2017-09-30</t>
  </si>
  <si>
    <t>2017-10-20</t>
  </si>
  <si>
    <t>2017-10-30</t>
  </si>
  <si>
    <t>杭大江东储出告字[2017]3号</t>
  </si>
  <si>
    <t>宁波弘禄房地产信息咨询有限公司</t>
  </si>
  <si>
    <t>义蓬街道住宅地块</t>
  </si>
  <si>
    <t>东至青六路,南至向阳路,西至规划道路,北至规划地块</t>
  </si>
  <si>
    <t>杭大江东储出(2017)5号</t>
  </si>
  <si>
    <t>杭州荣都企业管理有限公司</t>
  </si>
  <si>
    <t>萧山城区下湘湖单元</t>
  </si>
  <si>
    <t>东至规划经三路,南至穿村河,西至西兴路,北至彩虹大道</t>
  </si>
  <si>
    <t>萧政储出[2017]20号</t>
  </si>
  <si>
    <t>居住用地(R2)(含配套商业)</t>
  </si>
  <si>
    <t>＞1≤2.6</t>
  </si>
  <si>
    <t>2017-08-15</t>
  </si>
  <si>
    <t>2017-09-05</t>
  </si>
  <si>
    <t>2017-09-14</t>
  </si>
  <si>
    <t>萧政储出告字[2017]20号</t>
  </si>
  <si>
    <t>杭州大文投资管理有限公司</t>
  </si>
  <si>
    <t>萧山宁围单元A-30地块</t>
  </si>
  <si>
    <t>东至规划生兴路、南至规划A一37幼儿园地块、西至规划学东路、北至规划利华路</t>
  </si>
  <si>
    <t>萧政储出[2017]16号</t>
  </si>
  <si>
    <t>≥24≤80</t>
  </si>
  <si>
    <t>萧政储出告字[2017]16号</t>
  </si>
  <si>
    <t>位于空港新城,东至南阳大道,南至港城大道,西至南庄路,北至南义路</t>
  </si>
  <si>
    <t>萧政储出[2017]19号</t>
  </si>
  <si>
    <t>＞1≤2.2</t>
  </si>
  <si>
    <t>≤45</t>
  </si>
  <si>
    <t>萧政储出告字[2017]19号</t>
  </si>
  <si>
    <t>浙江润庆投资管理有限公司</t>
  </si>
  <si>
    <t>位于萧山区市北东单元内</t>
  </si>
  <si>
    <t>位于萧山区市北东单元内,东至规划绿化带、西至经十二路、南至规划绿化带、北至建设一路。</t>
  </si>
  <si>
    <t>萧政储出(2017)21号</t>
  </si>
  <si>
    <t>1＜≤2.5</t>
  </si>
  <si>
    <t>≤60</t>
  </si>
  <si>
    <t>2017-08-12</t>
  </si>
  <si>
    <t>2017-08-31</t>
  </si>
  <si>
    <t>2017-09-11</t>
  </si>
  <si>
    <t>萧政储出告字[2017]21号</t>
  </si>
  <si>
    <t>杭州新城创宏房地产开发有限公司</t>
  </si>
  <si>
    <t>住宅</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</si>
  <si>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</si>
  <si>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</si>
  <si>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</si>
  <si>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</si>
  <si>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</si>
  <si>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</si>
  <si>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六通</t>
    <phoneticPr fontId="26" type="noConversion"/>
  </si>
  <si>
    <t>五通</t>
    <phoneticPr fontId="26" type="noConversion"/>
  </si>
  <si>
    <t>四通</t>
    <phoneticPr fontId="26" type="noConversion"/>
  </si>
  <si>
    <t>三通</t>
    <phoneticPr fontId="26" type="noConversion"/>
  </si>
  <si>
    <t>二通</t>
    <phoneticPr fontId="26" type="noConversion"/>
  </si>
  <si>
    <t>一通</t>
    <phoneticPr fontId="26" type="noConversion"/>
  </si>
  <si>
    <t>住宅、商业</t>
  </si>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</sst>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1" fillId="0" borderId="2" xfId="0" applyFont="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58" fillId="0" borderId="0" xfId="0" applyFont="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26</xdr:col>
      <xdr:colOff>419685</xdr:colOff>
      <xdr:row>90</xdr:row>
      <xdr:rowOff>77204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281160"/>
          <a:ext cx="10561905" cy="7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2656</v>
      </c>
      <c r="B1" s="2846" t="s">
        <v>2753</v>
      </c>
    </row>
    <row r="2" spans="1:55" s="2850" customFormat="1" ht="16.2" thickTop="1">
      <c r="A2" s="2848" t="s">
        <v>2660</v>
      </c>
      <c r="B2" s="2849" t="str">
        <f>'预评函-封皮'!B37</f>
        <v>浙江省杭州市萧山区进化镇天乐村出让国有建设用地使用权抵押价格预评估</v>
      </c>
      <c r="AX2" s="2851"/>
      <c r="AZ2" s="2851"/>
      <c r="BA2" s="2852"/>
      <c r="BC2" s="2852"/>
    </row>
    <row r="3" spans="1:55" s="2853" customFormat="1">
      <c r="A3" s="2832" t="s">
        <v>2661</v>
      </c>
      <c r="B3" s="2835">
        <f>'预评函-封皮'!B40</f>
        <v>0</v>
      </c>
    </row>
    <row r="4" spans="1:55" s="2834" customFormat="1">
      <c r="A4" s="2832" t="s">
        <v>2662</v>
      </c>
      <c r="B4" s="2833" t="str">
        <f>'预评函-封皮'!B46</f>
        <v>土地估价师、土地估价师</v>
      </c>
      <c r="N4" s="2834" t="str">
        <f>'预评函-1'!A28</f>
        <v/>
      </c>
    </row>
    <row r="5" spans="1:55" s="2847" customFormat="1" ht="16.2" thickBot="1">
      <c r="A5" s="2854" t="s">
        <v>2663</v>
      </c>
      <c r="B5" s="2855" t="str">
        <f>'预评函-封皮'!B49</f>
        <v>康正预评字号</v>
      </c>
    </row>
    <row r="6" spans="1:55" s="2856" customFormat="1" ht="16.2" thickTop="1">
      <c r="A6" s="2848" t="s">
        <v>2705</v>
      </c>
      <c r="B6" s="2849" t="str">
        <f>'预评函-1'!A4</f>
        <v>受贵公司委托，我公司对浙江省杭州市萧山区进化镇天乐村出让国有建设用地使用权抵押价格进行了预评估。</v>
      </c>
      <c r="AM6" s="2857"/>
    </row>
    <row r="7" spans="1:55" s="2831" customFormat="1">
      <c r="A7" s="2832" t="s">
        <v>2657</v>
      </c>
      <c r="B7" s="2833" t="str">
        <f>'预评函-1'!A6</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191218.2平方米。</v>
      </c>
    </row>
    <row r="8" spans="1:55" s="2831" customFormat="1">
      <c r="A8" s="2832" t="s">
        <v>2658</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2708</v>
      </c>
      <c r="B9" s="2833" t="str">
        <f>'预评函-1'!A9</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2659</v>
      </c>
      <c r="B10" s="2833" t="str">
        <f>'预评函-1'!A11</f>
        <v>2019年7月30日（评估专业人员勘察现场之日）</v>
      </c>
    </row>
    <row r="11" spans="1:55" s="2831" customFormat="1">
      <c r="A11" s="2832" t="s">
        <v>2665</v>
      </c>
      <c r="B11" s="2833" t="str">
        <f>'预评函-1'!A14</f>
        <v>根据《国有土地使用证》[]，本次评估估价对象证载（地类）用途为。</v>
      </c>
    </row>
    <row r="12" spans="1:55" s="2831" customFormat="1">
      <c r="A12" s="2832" t="s">
        <v>2666</v>
      </c>
      <c r="B12" s="2833" t="str">
        <f>'预评函-1'!A15</f>
        <v>本次评估设定用途即为证载用途。</v>
      </c>
    </row>
    <row r="13" spans="1:55" s="2831" customFormat="1">
      <c r="A13" s="2832" t="s">
        <v>2667</v>
      </c>
      <c r="B13" s="2833" t="str">
        <f>'预评函-1'!A17</f>
        <v>根据委托估价方介绍及评估专业人员现场勘查，本次评估估价对象实际土地开发程度为红线外市政基础设施达“七通”（即通电、、、、、、）、宗地红线内场地未平整，。</v>
      </c>
    </row>
    <row r="14" spans="1:55" s="2831" customFormat="1">
      <c r="A14" s="2832" t="s">
        <v>2668</v>
      </c>
      <c r="B14" s="2833" t="str">
        <f>'预评函-1'!A18</f>
        <v>本次评估设定土地开发程度为红线外市政基础设施达“七通”、宗地红线内场地未平整。</v>
      </c>
    </row>
    <row r="15" spans="1:55" s="2831" customFormat="1">
      <c r="A15" s="2832" t="s">
        <v>2664</v>
      </c>
      <c r="B15" s="2833" t="str">
        <f>'预评函-1'!A20</f>
        <v>根据《国有土地使用证》[]，估价对象（分摊）出让国有建设用地使用权面积为153132平方米。根据《建设工程规划许可证》[]、《出让合同》[]，估价对象规划建筑面积为191218.2平方米。</v>
      </c>
    </row>
    <row r="16" spans="1:55" s="2831" customFormat="1">
      <c r="A16" s="2832" t="s">
        <v>2669</v>
      </c>
      <c r="B16" s="2833" t="str">
        <f>'预评函-1'!A22</f>
        <v>本次估价对象为出让国有建设用地使用权，《国有土地使用证》[]证载土地终止日期为住宅2080年6月29日、商业2050年6月29日。截至估价期日，出让国有建设用地使用权剩余土地使用年限为。</v>
      </c>
    </row>
    <row r="17" spans="1:48" s="2831" customFormat="1">
      <c r="A17" s="2832" t="s">
        <v>2670</v>
      </c>
      <c r="B17" s="2833" t="str">
        <f>'预评函-1'!A23</f>
        <v>本次评估设定估价对象剩余土地使用年限为。</v>
      </c>
    </row>
    <row r="18" spans="1:48" s="2831" customFormat="1">
      <c r="A18" s="2832" t="s">
        <v>2671</v>
      </c>
      <c r="B18" s="2833" t="str">
        <f>'预评函-1'!A25</f>
        <v>本次估价的“出让国有建设用地使用权价格”是指在估价对象土地所有权为国家所有，使用权性质为出让，在公开市场条件下、于估价期日2019年7月30日，在规划利用条件下、设定土地开发程度为红线外“七通”、宗地内场地未平整，设定用途为，剩余土地使用年限为的出让国有建设用地使用权价格。</v>
      </c>
    </row>
    <row r="19" spans="1:48" s="2831" customFormat="1">
      <c r="A19" s="2832" t="s">
        <v>2672</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2673</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2674</v>
      </c>
      <c r="B21" s="2855" t="str">
        <f>'预评函-1'!A28</f>
        <v/>
      </c>
    </row>
    <row r="22" spans="1:48" ht="16.2" thickTop="1">
      <c r="A22" s="2843" t="s">
        <v>2675</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2676</v>
      </c>
      <c r="B23" s="2833" t="str">
        <f>'预评函-2'!K2</f>
        <v>估价期日：2019年7月30日</v>
      </c>
    </row>
    <row r="24" spans="1:48">
      <c r="A24" s="2832" t="s">
        <v>2677</v>
      </c>
      <c r="B24" s="2833" t="str">
        <f>'预评函-2'!R2</f>
        <v>估价期日的国有建设用地使用权性质：出让</v>
      </c>
    </row>
    <row r="25" spans="1:48">
      <c r="A25" s="2832" t="s">
        <v>2733</v>
      </c>
      <c r="B25" s="2833" t="str">
        <f>'预评函-2'!A3</f>
        <v>估价期日土地使用者</v>
      </c>
    </row>
    <row r="26" spans="1:48">
      <c r="A26" s="2832" t="s">
        <v>2709</v>
      </c>
      <c r="B26" s="2833" t="str">
        <f>'预评函-2'!A5</f>
        <v>中信开发</v>
      </c>
    </row>
    <row r="27" spans="1:48">
      <c r="A27" s="2832" t="s">
        <v>2734</v>
      </c>
      <c r="B27" s="2833" t="str">
        <f>'预评函-2'!B3</f>
        <v>宗地编号/不动产单元号</v>
      </c>
    </row>
    <row r="28" spans="1:48">
      <c r="A28" s="2832" t="s">
        <v>2710</v>
      </c>
      <c r="B28" s="2833" t="str">
        <f>'预评函-2'!B5</f>
        <v>11111111111</v>
      </c>
    </row>
    <row r="29" spans="1:48">
      <c r="A29" s="2832" t="s">
        <v>2736</v>
      </c>
      <c r="B29" s="2833">
        <f>'预评函-2'!C5</f>
        <v>22</v>
      </c>
    </row>
    <row r="30" spans="1:48">
      <c r="A30" s="2832" t="s">
        <v>2737</v>
      </c>
      <c r="B30" s="2833" t="str">
        <f>'预评函-2'!D3</f>
        <v>土地使用证编号/不动产权证书编号</v>
      </c>
    </row>
    <row r="31" spans="1:48">
      <c r="A31" s="2832" t="s">
        <v>2711</v>
      </c>
      <c r="B31" s="2833" t="str">
        <f>'预评函-2'!D5</f>
        <v>京国土字第111号</v>
      </c>
    </row>
    <row r="32" spans="1:48">
      <c r="A32" s="2832" t="s">
        <v>2712</v>
      </c>
      <c r="B32" s="2833">
        <f>'预评函-2'!E5</f>
        <v>0</v>
      </c>
      <c r="AV32" s="2837"/>
    </row>
    <row r="33" spans="1:2">
      <c r="A33" s="2832" t="s">
        <v>2713</v>
      </c>
      <c r="B33" s="2833">
        <f>'预评函-2'!F5</f>
        <v>258</v>
      </c>
    </row>
    <row r="34" spans="1:2">
      <c r="A34" s="2832" t="s">
        <v>2714</v>
      </c>
      <c r="B34" s="2833">
        <f>'预评函-2'!G5</f>
        <v>0</v>
      </c>
    </row>
    <row r="35" spans="1:2">
      <c r="A35" s="2832" t="s">
        <v>2715</v>
      </c>
      <c r="B35" s="2833">
        <f>'预评函-2'!H5</f>
        <v>1.5</v>
      </c>
    </row>
    <row r="36" spans="1:2">
      <c r="A36" s="2832" t="s">
        <v>2716</v>
      </c>
      <c r="B36" s="2833">
        <f>'预评函-2'!I5</f>
        <v>1.5</v>
      </c>
    </row>
    <row r="37" spans="1:2">
      <c r="A37" s="2832" t="s">
        <v>2717</v>
      </c>
      <c r="B37" s="2833">
        <f>'预评函-2'!J5</f>
        <v>1.5</v>
      </c>
    </row>
    <row r="38" spans="1:2">
      <c r="A38" s="2832" t="s">
        <v>2718</v>
      </c>
      <c r="B38" s="2833" t="str">
        <f>'预评函-2'!K5</f>
        <v>红线外七通、宗地红线内场地未平整</v>
      </c>
    </row>
    <row r="39" spans="1:2">
      <c r="A39" s="2832" t="s">
        <v>2719</v>
      </c>
      <c r="B39" s="2833" t="str">
        <f>'预评函-2'!L5</f>
        <v>红线外七通、宗地红线内场地未平整</v>
      </c>
    </row>
    <row r="40" spans="1:2">
      <c r="A40" s="2832" t="s">
        <v>2738</v>
      </c>
      <c r="B40" s="2833" t="str">
        <f>'预评函-2'!M3</f>
        <v>（剩余）土地使用年限/年</v>
      </c>
    </row>
    <row r="41" spans="1:2">
      <c r="A41" s="2832" t="s">
        <v>2720</v>
      </c>
      <c r="B41" s="2833">
        <f>'预评函-2'!M5</f>
        <v>0</v>
      </c>
    </row>
    <row r="42" spans="1:2">
      <c r="A42" s="2832" t="s">
        <v>2739</v>
      </c>
      <c r="B42" s="2833" t="str">
        <f>'预评函-2'!N3</f>
        <v>（分摊）出让国有建设用地使用权面积/㎡</v>
      </c>
    </row>
    <row r="43" spans="1:2">
      <c r="A43" s="2832" t="s">
        <v>2721</v>
      </c>
      <c r="B43" s="2833">
        <f>'预评函-2'!N5</f>
        <v>153132</v>
      </c>
    </row>
    <row r="44" spans="1:2">
      <c r="A44" s="2832" t="s">
        <v>2740</v>
      </c>
      <c r="B44" s="2833" t="str">
        <f>'预评函-2'!O3</f>
        <v>规划建筑面积/㎡</v>
      </c>
    </row>
    <row r="45" spans="1:2">
      <c r="A45" s="2832" t="s">
        <v>2722</v>
      </c>
      <c r="B45" s="2833">
        <f>'预评函-2'!O5</f>
        <v>191218.19999999998</v>
      </c>
    </row>
    <row r="46" spans="1:2">
      <c r="A46" s="2832" t="s">
        <v>2723</v>
      </c>
      <c r="B46" s="2833">
        <f ca="1">'预评函-2'!P5</f>
        <v>7289</v>
      </c>
    </row>
    <row r="47" spans="1:2">
      <c r="A47" s="2832" t="s">
        <v>2724</v>
      </c>
      <c r="B47" s="2833">
        <f ca="1">'预评函-2'!Q5</f>
        <v>5837</v>
      </c>
    </row>
    <row r="48" spans="1:2">
      <c r="A48" s="2832" t="s">
        <v>2725</v>
      </c>
      <c r="B48" s="2833">
        <f ca="1">'预评函-2'!R5</f>
        <v>111618</v>
      </c>
    </row>
    <row r="49" spans="1:2">
      <c r="A49" s="2832" t="s">
        <v>2741</v>
      </c>
      <c r="B49" s="2833" t="str">
        <f>'预评函-2'!A6</f>
        <v>抵押价格</v>
      </c>
    </row>
    <row r="50" spans="1:2">
      <c r="A50" s="2832" t="s">
        <v>2726</v>
      </c>
      <c r="B50" s="2833">
        <f ca="1">'预评函-2'!R6</f>
        <v>111618</v>
      </c>
    </row>
    <row r="51" spans="1:2">
      <c r="A51" s="2832" t="s">
        <v>2742</v>
      </c>
      <c r="B51" s="2833" t="str">
        <f>'预评函-2'!A7</f>
        <v>——</v>
      </c>
    </row>
    <row r="52" spans="1:2">
      <c r="A52" s="2832" t="s">
        <v>2727</v>
      </c>
      <c r="B52" s="2833" t="str">
        <f>'预评函-2'!R7</f>
        <v>——</v>
      </c>
    </row>
    <row r="53" spans="1:2">
      <c r="A53" s="2832" t="s">
        <v>2743</v>
      </c>
      <c r="B53" s="2833" t="str">
        <f>'预评函-2'!A8</f>
        <v>——</v>
      </c>
    </row>
    <row r="54" spans="1:2" s="2847" customFormat="1" ht="16.2" thickBot="1">
      <c r="A54" s="2854" t="s">
        <v>2728</v>
      </c>
      <c r="B54" s="2855" t="str">
        <f>'预评函-2'!R8</f>
        <v>——</v>
      </c>
    </row>
    <row r="55" spans="1:2" ht="16.2" thickTop="1">
      <c r="A55" s="2843" t="s">
        <v>2678</v>
      </c>
      <c r="B55" s="2844" t="str">
        <f>'预评函-3'!A2</f>
        <v>1.权利限制：根据估价对象《不动产权证书》原件、《国有土地使用权》复印件，截至估价期日，估价对象抵押权未见登记。未设定租赁等其他他项权利。</v>
      </c>
    </row>
    <row r="56" spans="1:2">
      <c r="A56" s="2832" t="s">
        <v>2679</v>
      </c>
      <c r="B56" s="2833" t="str">
        <f>'预评函-3'!A3</f>
        <v>2.基础设施条件：估价对象实际开发程度为红线外七通、宗地红线内场地未平整；本次评估设定开发程度为红线外七通、宗地红线内场地未平整。</v>
      </c>
    </row>
    <row r="57" spans="1:2">
      <c r="A57" s="2832" t="s">
        <v>2680</v>
      </c>
      <c r="B57" s="2833" t="str">
        <f>'预评函-3'!A4</f>
        <v>3.估价规划限制条件：详见《建设工程规划许可证》[]、《出让合同》[]。</v>
      </c>
    </row>
    <row r="58" spans="1:2" s="2847" customFormat="1" ht="16.2" thickBot="1">
      <c r="A58" s="2854" t="s">
        <v>2729</v>
      </c>
      <c r="B58" s="2855" t="str">
        <f>'预评函-3'!A5</f>
        <v>4.影响价格的其他限定条件：无。</v>
      </c>
    </row>
    <row r="59" spans="1:2" ht="16.2" thickTop="1">
      <c r="A59" s="2843" t="s">
        <v>2681</v>
      </c>
      <c r="B59" s="2844" t="str">
        <f>'预评函-3'!A8</f>
        <v>2.本《评估意见函》仅供金融机构进行内部审核使用，不做其他目的之用。</v>
      </c>
    </row>
    <row r="60" spans="1:2">
      <c r="A60" s="2832" t="s">
        <v>2682</v>
      </c>
      <c r="B60" s="2833" t="str">
        <f>'预评函-3'!A9</f>
        <v>3.抵押双方在办理抵押登记手续时，应使用本公司出具的正式《土地估价报告》，特提请报告使用者注意。</v>
      </c>
    </row>
    <row r="61" spans="1:2">
      <c r="A61" s="2832" t="s">
        <v>2684</v>
      </c>
      <c r="B61" s="2833" t="str">
        <f>'预评函-3'!A10</f>
        <v>4.估价师所知悉的法定优先受偿款情况为：</v>
      </c>
    </row>
    <row r="62" spans="1:2">
      <c r="A62" s="2832" t="s">
        <v>2683</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2685</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2686</v>
      </c>
      <c r="B64" s="2838" t="str">
        <f>'预评函-3'!A13</f>
        <v>（3）。</v>
      </c>
    </row>
    <row r="65" spans="1:2">
      <c r="A65" s="2832" t="s">
        <v>2687</v>
      </c>
      <c r="B65" s="2839" t="str">
        <f>'预评函-3'!A14</f>
        <v>综上，本次评估不存在估价师知悉的法定优先受偿款</v>
      </c>
    </row>
    <row r="66" spans="1:2">
      <c r="A66" s="2832" t="s">
        <v>2688</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2689</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2692</v>
      </c>
      <c r="B68" s="2858">
        <f>'预评函-3'!D30</f>
        <v>42558</v>
      </c>
    </row>
    <row r="69" spans="1:2" ht="16.2" thickTop="1">
      <c r="A69" s="2843" t="s">
        <v>2690</v>
      </c>
      <c r="B69" s="2844" t="str">
        <f>'预评函-3'!A20</f>
        <v>土地估价师</v>
      </c>
    </row>
    <row r="70" spans="1:2">
      <c r="A70" s="2832" t="s">
        <v>2690</v>
      </c>
      <c r="B70" s="2839">
        <f>'预评函-3'!B20</f>
        <v>0</v>
      </c>
    </row>
    <row r="71" spans="1:2">
      <c r="A71" s="2832" t="s">
        <v>2691</v>
      </c>
      <c r="B71" s="2833" t="str">
        <f>'预评函-3'!A21</f>
        <v>土地估价师</v>
      </c>
    </row>
    <row r="72" spans="1:2" s="2847" customFormat="1" ht="16.2" thickBot="1">
      <c r="A72" s="2854" t="s">
        <v>2691</v>
      </c>
      <c r="B72" s="2860">
        <f>'预评函-3'!B21</f>
        <v>0</v>
      </c>
    </row>
    <row r="73" spans="1:2" ht="16.2" thickTop="1">
      <c r="A73" s="2843" t="s">
        <v>2750</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2751</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2752</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2787</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6" sqref="D36"/>
    </sheetView>
  </sheetViews>
  <sheetFormatPr defaultColWidth="10" defaultRowHeight="15.6"/>
  <cols>
    <col min="1" max="1" width="15.33203125" style="1675" customWidth="1"/>
    <col min="2" max="2" width="11.33203125" style="1675" customWidth="1"/>
    <col min="3" max="3" width="12.6640625" style="1675" customWidth="1"/>
    <col min="4" max="4" width="13.21875"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22" t="str">
        <f>IF(B10="北京市","北京市",C10)&amp;F10&amp;B16&amp;"国有建设用地使用权"&amp;B9&amp;"预评估"</f>
        <v>浙江省杭州市萧山区进化镇天乐村出让国有建设用地使用权抵押价格预评估</v>
      </c>
      <c r="C1" s="3223"/>
      <c r="D1" s="3223"/>
      <c r="E1" s="3223"/>
      <c r="F1" s="3223"/>
      <c r="G1" s="3223"/>
      <c r="H1" s="3223"/>
      <c r="I1" s="3224"/>
      <c r="J1" s="1678"/>
      <c r="K1" s="2418" t="str">
        <f>IF(B10="北京市","北京市",C10)&amp;F10&amp;B16&amp;"国有建设用地使用权"&amp;B9</f>
        <v>浙江省杭州市萧山区进化镇天乐村出让国有建设用地使用权抵押价格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8" t="str">
        <f>IF(B10="北京市","北京市",C10)&amp;F10&amp;B16&amp;"国有建设用地使用权"</f>
        <v>浙江省杭州市萧山区进化镇天乐村出让国有建设用地使用权</v>
      </c>
      <c r="L2" s="1707"/>
      <c r="M2" s="1707"/>
      <c r="N2" s="1678"/>
      <c r="O2" s="1679"/>
      <c r="P2" s="1678"/>
      <c r="Q2" s="1678"/>
      <c r="R2" s="1678"/>
      <c r="S2" s="1678"/>
      <c r="T2" s="1678"/>
      <c r="U2" s="1678"/>
    </row>
    <row r="3" spans="1:21">
      <c r="A3" s="1645" t="s">
        <v>1939</v>
      </c>
      <c r="B3" s="1646">
        <v>43676</v>
      </c>
      <c r="C3" s="1647" t="s">
        <v>1995</v>
      </c>
      <c r="D3" s="1646">
        <f>B3</f>
        <v>43676</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8"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28" t="s">
        <v>1944</v>
      </c>
      <c r="E8" s="1828" t="s">
        <v>2999</v>
      </c>
      <c r="F8" s="1656"/>
      <c r="G8" s="1644"/>
      <c r="H8" s="1644"/>
      <c r="I8" s="1691"/>
      <c r="J8" s="1678"/>
      <c r="K8" s="1758"/>
      <c r="L8" s="1707"/>
      <c r="M8" s="1707"/>
      <c r="N8" s="1678"/>
      <c r="O8" s="1679"/>
      <c r="P8" s="1678"/>
      <c r="Q8" s="1678"/>
      <c r="R8" s="1678"/>
      <c r="S8" s="1678"/>
      <c r="T8" s="1678"/>
      <c r="U8" s="1678"/>
    </row>
    <row r="9" spans="1:21" ht="16.2" thickBot="1">
      <c r="A9" s="1657" t="s">
        <v>1943</v>
      </c>
      <c r="B9" s="1658" t="s">
        <v>2999</v>
      </c>
      <c r="C9" s="1659"/>
      <c r="D9" s="3229"/>
      <c r="E9" s="1658" t="s">
        <v>952</v>
      </c>
      <c r="F9" s="1731"/>
      <c r="G9" s="1726"/>
      <c r="H9" s="1726"/>
      <c r="I9" s="1727"/>
      <c r="J9" s="1678"/>
      <c r="K9" s="1758"/>
      <c r="L9" s="1707"/>
      <c r="M9" s="1707"/>
      <c r="N9" s="1678"/>
      <c r="O9" s="1679"/>
      <c r="P9" s="1678"/>
      <c r="Q9" s="1678"/>
      <c r="R9" s="1678"/>
      <c r="S9" s="1678"/>
      <c r="T9" s="1678"/>
      <c r="U9" s="1678"/>
    </row>
    <row r="10" spans="1:21" ht="16.2" thickTop="1">
      <c r="A10" s="1728" t="s">
        <v>1999</v>
      </c>
      <c r="B10" s="1703" t="s">
        <v>3000</v>
      </c>
      <c r="C10" s="1660" t="s">
        <v>3001</v>
      </c>
      <c r="D10" s="1651"/>
      <c r="E10" s="1661" t="s">
        <v>1946</v>
      </c>
      <c r="F10" s="1662" t="s">
        <v>3002</v>
      </c>
      <c r="G10" s="1729"/>
      <c r="H10" s="1730"/>
      <c r="I10" s="1651"/>
      <c r="J10" s="1678"/>
      <c r="K10" s="1758"/>
      <c r="L10" s="1707"/>
      <c r="M10" s="1707"/>
      <c r="N10" s="1678"/>
      <c r="O10" s="1679"/>
      <c r="P10" s="1678"/>
      <c r="Q10" s="1678"/>
      <c r="R10" s="1678"/>
      <c r="S10" s="1678"/>
      <c r="T10" s="1678"/>
      <c r="U10" s="1678"/>
    </row>
    <row r="11" spans="1:21">
      <c r="A11" s="1681" t="s">
        <v>2000</v>
      </c>
      <c r="B11" s="1682" t="s">
        <v>3003</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5"/>
      <c r="C12" s="3226"/>
      <c r="D12" s="3227"/>
      <c r="E12" s="1683" t="s">
        <v>2061</v>
      </c>
      <c r="F12" s="3243" t="s">
        <v>2890</v>
      </c>
      <c r="G12" s="3244"/>
      <c r="H12" s="3244"/>
      <c r="I12" s="3245"/>
      <c r="J12" s="1678"/>
      <c r="K12" s="1758"/>
      <c r="L12" s="1707"/>
      <c r="M12" s="1707"/>
      <c r="N12" s="1678"/>
      <c r="O12" s="1679"/>
      <c r="P12" s="1678"/>
      <c r="Q12" s="1678"/>
      <c r="R12" s="1678"/>
      <c r="S12" s="1678"/>
      <c r="T12" s="1678"/>
      <c r="U12" s="1678"/>
    </row>
    <row r="13" spans="1:21">
      <c r="A13" s="1671" t="s">
        <v>2059</v>
      </c>
      <c r="B13" s="3225"/>
      <c r="C13" s="3226"/>
      <c r="D13" s="3227"/>
      <c r="E13" s="1683" t="s">
        <v>2061</v>
      </c>
      <c r="F13" s="3243" t="s">
        <v>2891</v>
      </c>
      <c r="G13" s="3244"/>
      <c r="H13" s="3244"/>
      <c r="I13" s="3245"/>
      <c r="J13" s="1678"/>
      <c r="K13" s="1758"/>
      <c r="L13" s="1707"/>
      <c r="M13" s="1707"/>
      <c r="N13" s="1678"/>
      <c r="O13" s="1679"/>
      <c r="P13" s="1678"/>
      <c r="Q13" s="1678"/>
      <c r="R13" s="1678"/>
      <c r="S13" s="1678"/>
      <c r="T13" s="1678"/>
      <c r="U13" s="1678"/>
    </row>
    <row r="14" spans="1:21">
      <c r="A14" s="1645" t="s">
        <v>2062</v>
      </c>
      <c r="B14" s="1683"/>
      <c r="C14" s="1829" t="s">
        <v>3004</v>
      </c>
      <c r="D14" s="1717" t="str">
        <f>IF(C14="不一致","是否符合证载地类范围","")</f>
        <v/>
      </c>
      <c r="E14" s="1683"/>
      <c r="F14" s="1774" t="s">
        <v>3005</v>
      </c>
      <c r="G14" s="1712"/>
      <c r="H14" s="1712"/>
      <c r="I14" s="1821"/>
      <c r="J14" s="1678"/>
      <c r="K14" s="1758"/>
      <c r="L14" s="1707"/>
      <c r="M14" s="1707"/>
      <c r="N14" s="1678"/>
      <c r="O14" s="1679"/>
      <c r="P14" s="1678"/>
      <c r="Q14" s="1678"/>
      <c r="R14" s="1678"/>
      <c r="S14" s="1678"/>
      <c r="T14" s="1678"/>
      <c r="U14" s="1678"/>
    </row>
    <row r="15" spans="1:21" hidden="1">
      <c r="A15" s="2608"/>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6.8">
      <c r="A16" s="1664" t="s">
        <v>1947</v>
      </c>
      <c r="B16" s="1665" t="s">
        <v>2991</v>
      </c>
      <c r="C16" s="1683" t="s">
        <v>1948</v>
      </c>
      <c r="D16" s="2609" t="s">
        <v>1949</v>
      </c>
      <c r="E16" s="1706" t="s">
        <v>3006</v>
      </c>
      <c r="F16" s="1706"/>
      <c r="G16" s="1706"/>
      <c r="H16" s="1706"/>
      <c r="I16" s="1670" t="s">
        <v>1954</v>
      </c>
      <c r="J16" s="1678"/>
      <c r="K16" s="2419" t="str">
        <f>IF(D17="","",D16&amp;TEXT(D17,"yyyy年m月d日;;"))</f>
        <v>住宅2080年6月29日</v>
      </c>
      <c r="L16" s="1683" t="str">
        <f>IF(OR(K16="",M16=""),"","、")</f>
        <v>、</v>
      </c>
      <c r="M16" s="2419" t="str">
        <f>IF(E17="","",E16&amp;TEXT(E17,"yyyy年m月d日;;"))</f>
        <v>商业2050年6月29日</v>
      </c>
      <c r="N16" s="1683" t="str">
        <f>IF(OR(M16="",O16=""),"","、")</f>
        <v/>
      </c>
      <c r="O16" s="2419" t="str">
        <f>IF(F17="","",F16&amp;TEXT(F17,"yyyy年m月d日;;"))</f>
        <v/>
      </c>
      <c r="P16" s="1683" t="str">
        <f>IF(OR(O16="",Q16=""),"","、")</f>
        <v/>
      </c>
      <c r="Q16" s="2419" t="str">
        <f>IF(G17="","",G16&amp;TEXT(G17,"yyyy年m月d日;;"))</f>
        <v/>
      </c>
      <c r="R16" s="1683" t="str">
        <f>IF(OR(Q16="",S16=""),"","、")</f>
        <v/>
      </c>
      <c r="S16" s="2419" t="str">
        <f>IF(H17="","",H16&amp;TEXT(H17,"yyyy年m月d日;;"))</f>
        <v/>
      </c>
      <c r="T16" s="1683" t="str">
        <f>IF(OR(S16="",U16=""),"","、")</f>
        <v/>
      </c>
      <c r="U16" s="2419" t="str">
        <f>IF(I17="","",I16&amp;TEXT(I17,"yyyy年m月d日;;"))</f>
        <v/>
      </c>
    </row>
    <row r="17" spans="1:21">
      <c r="A17" s="1747"/>
      <c r="B17" s="1666"/>
      <c r="C17" s="1667" t="s">
        <v>1955</v>
      </c>
      <c r="D17" s="1684">
        <v>65926</v>
      </c>
      <c r="E17" s="1684">
        <v>54968</v>
      </c>
      <c r="F17" s="1684"/>
      <c r="G17" s="1684"/>
      <c r="H17" s="1684"/>
      <c r="I17" s="1684"/>
      <c r="J17" s="1678"/>
      <c r="K17" s="2418" t="str">
        <f>CONCATENATE(K16,L16,M16,N16,O16,P16,Q16,R16,S16,T16,,U16)</f>
        <v>住宅2080年6月29日、商业2050年6月29日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60.95</v>
      </c>
      <c r="E19" s="1669">
        <f>IF(B16="出让",IF(E17="","",ROUNDDOWN(MIN((E17-$D$3)/365,E18),2)),E18)</f>
        <v>30.93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0"/>
      <c r="E20" s="3241"/>
      <c r="F20" s="3241"/>
      <c r="G20" s="3241"/>
      <c r="H20" s="3241"/>
      <c r="I20" s="3242"/>
      <c r="J20" s="1678"/>
      <c r="K20" s="1758"/>
      <c r="L20" s="1707"/>
      <c r="M20" s="1707"/>
      <c r="N20" s="1678"/>
      <c r="O20" s="1679"/>
      <c r="P20" s="1678"/>
      <c r="Q20" s="1678"/>
      <c r="R20" s="1678"/>
      <c r="S20" s="1678"/>
      <c r="T20" s="1678"/>
      <c r="U20" s="1678"/>
    </row>
    <row r="21" spans="1:21">
      <c r="A21" s="1747" t="s">
        <v>1958</v>
      </c>
      <c r="B21" s="1748" t="s">
        <v>1959</v>
      </c>
      <c r="C21" s="1743">
        <f>'数据-汇总表'!E3</f>
        <v>191218.19999999998</v>
      </c>
      <c r="D21" s="1744" t="s">
        <v>1960</v>
      </c>
      <c r="E21" s="3230" t="s">
        <v>1998</v>
      </c>
      <c r="F21" s="3231"/>
      <c r="G21" s="3231"/>
      <c r="H21" s="3231"/>
      <c r="I21" s="3232"/>
      <c r="J21" s="1678"/>
      <c r="K21" s="1758"/>
      <c r="L21" s="1707"/>
      <c r="M21" s="1707"/>
      <c r="N21" s="1678"/>
      <c r="O21" s="1679"/>
      <c r="P21" s="1678"/>
      <c r="Q21" s="1678"/>
      <c r="R21" s="1678"/>
      <c r="S21" s="1678"/>
      <c r="T21" s="1678"/>
      <c r="U21" s="1678"/>
    </row>
    <row r="22" spans="1:21">
      <c r="A22" s="3096" t="s">
        <v>952</v>
      </c>
      <c r="B22" s="1645" t="s">
        <v>1961</v>
      </c>
      <c r="C22" s="1670">
        <f>'数据-汇总表'!D3</f>
        <v>153132</v>
      </c>
      <c r="D22" s="1671" t="s">
        <v>1960</v>
      </c>
      <c r="E22" s="3230" t="s">
        <v>2892</v>
      </c>
      <c r="F22" s="3231"/>
      <c r="G22" s="3231"/>
      <c r="H22" s="3231"/>
      <c r="I22" s="3232"/>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3" t="s">
        <v>1966</v>
      </c>
      <c r="C24" s="3234"/>
      <c r="D24" s="3235" t="s">
        <v>1967</v>
      </c>
      <c r="E24" s="3236"/>
      <c r="F24" s="1692" t="s">
        <v>1968</v>
      </c>
      <c r="G24" s="1678"/>
      <c r="H24" s="1678"/>
      <c r="I24" s="1691"/>
      <c r="J24" s="1678"/>
      <c r="K24" s="3221" t="s">
        <v>1969</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21"/>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21"/>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4"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5"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5"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6"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48" t="s">
        <v>2001</v>
      </c>
      <c r="B31" s="1748" t="s">
        <v>2002</v>
      </c>
      <c r="C31" s="3246"/>
      <c r="D31" s="3247"/>
      <c r="E31" s="1678"/>
      <c r="F31" s="1678"/>
      <c r="G31" s="1678"/>
      <c r="H31" s="1678"/>
      <c r="I31" s="1691"/>
      <c r="J31" s="1678"/>
      <c r="K31" s="2421"/>
      <c r="L31" s="1678"/>
      <c r="M31" s="1678"/>
      <c r="N31" s="1678"/>
      <c r="O31" s="1678"/>
      <c r="P31" s="1678"/>
      <c r="Q31" s="1678"/>
      <c r="R31" s="1678"/>
      <c r="S31" s="1678"/>
      <c r="T31" s="1678"/>
      <c r="U31" s="1678"/>
    </row>
    <row r="32" spans="1:21">
      <c r="A32" s="3248"/>
      <c r="B32" s="1645" t="s">
        <v>2003</v>
      </c>
      <c r="C32" s="1703"/>
      <c r="D32" s="1704"/>
      <c r="E32" s="1678"/>
      <c r="F32" s="1678"/>
      <c r="G32" s="1678"/>
      <c r="H32" s="1678"/>
      <c r="I32" s="1691"/>
      <c r="J32" s="1678"/>
      <c r="K32" s="2421"/>
      <c r="L32" s="1678"/>
      <c r="M32" s="1678"/>
      <c r="N32" s="1678"/>
      <c r="O32" s="1678"/>
      <c r="P32" s="1678"/>
      <c r="Q32" s="1678"/>
      <c r="R32" s="1678"/>
      <c r="S32" s="1678"/>
      <c r="T32" s="1678"/>
      <c r="U32" s="1678"/>
    </row>
    <row r="33" spans="1:21">
      <c r="A33" s="3248"/>
      <c r="B33" s="1645" t="s">
        <v>2004</v>
      </c>
      <c r="C33" s="1705"/>
      <c r="D33" s="1822"/>
      <c r="E33" s="1678"/>
      <c r="F33" s="1678"/>
      <c r="G33" s="1678"/>
      <c r="H33" s="1678"/>
      <c r="I33" s="1691"/>
      <c r="J33" s="1678"/>
      <c r="K33" s="2421"/>
      <c r="L33" s="1678"/>
      <c r="M33" s="1678"/>
      <c r="N33" s="1678"/>
      <c r="O33" s="1678"/>
      <c r="P33" s="1678"/>
      <c r="Q33" s="1678"/>
      <c r="R33" s="1678"/>
      <c r="S33" s="1678"/>
      <c r="T33" s="1678"/>
      <c r="U33" s="1678"/>
    </row>
    <row r="34" spans="1:21">
      <c r="A34" s="3249"/>
      <c r="B34" s="1645" t="s">
        <v>2005</v>
      </c>
      <c r="C34" s="3250"/>
      <c r="D34" s="3251"/>
      <c r="E34" s="1678"/>
      <c r="F34" s="1678"/>
      <c r="G34" s="1678"/>
      <c r="H34" s="1678"/>
      <c r="I34" s="1691"/>
      <c r="J34" s="1678"/>
      <c r="K34" s="2421"/>
      <c r="L34" s="1678"/>
      <c r="M34" s="1678"/>
      <c r="N34" s="1678"/>
      <c r="O34" s="1678"/>
      <c r="P34" s="1678"/>
      <c r="Q34" s="1678"/>
      <c r="R34" s="1678"/>
      <c r="S34" s="1678"/>
      <c r="T34" s="1678"/>
      <c r="U34" s="1678"/>
    </row>
    <row r="35" spans="1:21" ht="31.2">
      <c r="A35" s="3252" t="s">
        <v>847</v>
      </c>
      <c r="B35" s="1706" t="s">
        <v>3008</v>
      </c>
      <c r="C35" s="1760" t="str">
        <f>IF(B35="场地平整","——","具体情况：")</f>
        <v>具体情况：</v>
      </c>
      <c r="D35" s="3254"/>
      <c r="E35" s="3255"/>
      <c r="F35" s="3255"/>
      <c r="G35" s="3255"/>
      <c r="H35" s="3255"/>
      <c r="I35" s="3256"/>
      <c r="J35" s="1678"/>
      <c r="K35" s="1759"/>
      <c r="L35" s="1707"/>
      <c r="M35" s="1707"/>
      <c r="N35" s="1678"/>
      <c r="O35" s="1679"/>
      <c r="P35" s="1678"/>
      <c r="Q35" s="1678"/>
      <c r="R35" s="1678"/>
      <c r="S35" s="1678"/>
      <c r="T35" s="1678"/>
      <c r="U35" s="1678"/>
    </row>
    <row r="36" spans="1:21" ht="31.2">
      <c r="A36" s="3248"/>
      <c r="B36" s="3257" t="s">
        <v>2054</v>
      </c>
      <c r="C36" s="3258"/>
      <c r="D36" s="1776" t="s">
        <v>3009</v>
      </c>
      <c r="E36" s="3259"/>
      <c r="F36" s="3259"/>
      <c r="G36" s="1671" t="str">
        <f>IF(B35="场地未平整","估价结果处理","")</f>
        <v>估价结果处理</v>
      </c>
      <c r="H36" s="3260"/>
      <c r="I36" s="3260"/>
      <c r="J36" s="1678"/>
      <c r="K36" s="1759"/>
      <c r="L36" s="1707"/>
      <c r="M36" s="1707"/>
      <c r="N36" s="1678"/>
      <c r="O36" s="1679"/>
      <c r="P36" s="1678"/>
      <c r="Q36" s="1678"/>
      <c r="R36" s="1678"/>
      <c r="S36" s="1678"/>
      <c r="T36" s="1678"/>
      <c r="U36" s="1678"/>
    </row>
    <row r="37" spans="1:21" ht="31.2">
      <c r="A37" s="3248"/>
      <c r="B37" s="323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8"/>
      <c r="B38" s="3238"/>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49"/>
      <c r="B39" s="323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t="s">
        <v>3007</v>
      </c>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0" t="s">
        <v>1985</v>
      </c>
      <c r="T40" s="1715" t="str">
        <f>NUMBERSTRING(7-K40,1)&amp;"通"</f>
        <v>七通</v>
      </c>
      <c r="U40" s="1678"/>
    </row>
    <row r="41" spans="1:21">
      <c r="A41" s="1647"/>
      <c r="B41" s="3253" t="s">
        <v>1721</v>
      </c>
      <c r="C41" s="3253"/>
      <c r="D41" s="3253"/>
      <c r="E41" s="3253"/>
      <c r="F41" s="1716" t="str">
        <f>C10</f>
        <v>浙江省</v>
      </c>
      <c r="G41" s="1678"/>
      <c r="H41" s="1678"/>
      <c r="I41" s="1691"/>
      <c r="J41" s="1678"/>
      <c r="K41" s="1683"/>
      <c r="L41" s="1680" t="str">
        <f>B40</f>
        <v>通电</v>
      </c>
      <c r="M41" s="1717" t="str">
        <f>B40&amp;"、"&amp;C40</f>
        <v>通电、</v>
      </c>
      <c r="N41" s="1718" t="str">
        <f>B40&amp;"、"&amp;C40&amp;"、"&amp;D40</f>
        <v>通电、、</v>
      </c>
      <c r="O41" s="1718" t="str">
        <f>B40&amp;"、"&amp;C40&amp;"、"&amp;D40&amp;"、"&amp;E40</f>
        <v>通电、、、</v>
      </c>
      <c r="P41" s="1718" t="str">
        <f>B40&amp;"、"&amp;C40&amp;"、"&amp;D40&amp;"、"&amp;E40&amp;"、"&amp;F40</f>
        <v>通电、、、、</v>
      </c>
      <c r="Q41" s="1718" t="str">
        <f>B40&amp;"、"&amp;C40&amp;"、"&amp;D40&amp;"、"&amp;E40&amp;"、"&amp;F40&amp;"、"&amp;G40</f>
        <v>通电、、、、、</v>
      </c>
      <c r="R41" s="1718" t="str">
        <f>B40&amp;"、"&amp;C40&amp;"、"&amp;D40&amp;"、"&amp;E40&amp;"、"&amp;F40&amp;"、"&amp;G40&amp;"、"&amp;H40</f>
        <v>通电、、、、、、</v>
      </c>
      <c r="S41" s="3220"/>
      <c r="T41" s="1717" t="str">
        <f>IF(T40="一通",L41,IF(T40="二通",M41,IF(T40="三通",N41,IF(T40="四通",O41,IF(T40="五通",P41,IF(T40="六通",Q41,R41))))))</f>
        <v>通电、、、、、、</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J23" sqref="AJ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hidden="1" customWidth="1"/>
    <col min="11" max="11" width="11" style="15"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3" width="9.44140625" style="15" customWidth="1"/>
    <col min="34" max="34" width="11.44140625" style="15" customWidth="1"/>
    <col min="35"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153132</v>
      </c>
      <c r="B3" s="22">
        <f>IF(C3="否",G5-AT5,G5)</f>
        <v>191218.19999999998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191218.19999999998</v>
      </c>
      <c r="H5" s="27">
        <f t="shared" ref="H5:AT5" si="0">SUM(H13:H641)</f>
        <v>182332.9</v>
      </c>
      <c r="I5" s="27">
        <f t="shared" si="0"/>
        <v>145145.79999999999</v>
      </c>
      <c r="J5" s="27">
        <f t="shared" si="0"/>
        <v>0</v>
      </c>
      <c r="K5" s="27">
        <f t="shared" si="0"/>
        <v>37187.1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8885.2999999999993</v>
      </c>
      <c r="AD5" s="27">
        <f t="shared" si="0"/>
        <v>0</v>
      </c>
      <c r="AE5" s="27">
        <f t="shared" si="0"/>
        <v>0</v>
      </c>
      <c r="AF5" s="27">
        <f t="shared" si="0"/>
        <v>0</v>
      </c>
      <c r="AG5" s="27">
        <f t="shared" si="0"/>
        <v>0</v>
      </c>
      <c r="AH5" s="27">
        <f t="shared" si="0"/>
        <v>1189.3400000000001</v>
      </c>
      <c r="AI5" s="27">
        <f t="shared" si="0"/>
        <v>0</v>
      </c>
      <c r="AJ5" s="27">
        <f t="shared" si="0"/>
        <v>0</v>
      </c>
      <c r="AK5" s="27">
        <f t="shared" si="0"/>
        <v>0</v>
      </c>
      <c r="AL5" s="27">
        <f t="shared" si="0"/>
        <v>7695.96</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191218.19999999998</v>
      </c>
      <c r="BA5" s="29">
        <f t="shared" si="1"/>
        <v>182332.9</v>
      </c>
      <c r="BB5" s="29">
        <f t="shared" si="1"/>
        <v>145145.79999999999</v>
      </c>
      <c r="BC5" s="29">
        <f t="shared" si="1"/>
        <v>37187.1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8885.2999999999993</v>
      </c>
      <c r="BM5" s="29">
        <f t="shared" si="1"/>
        <v>0</v>
      </c>
      <c r="BN5" s="29">
        <f t="shared" si="1"/>
        <v>0</v>
      </c>
      <c r="BO5" s="29">
        <f t="shared" si="1"/>
        <v>1189.3400000000001</v>
      </c>
      <c r="BP5" s="29">
        <f t="shared" si="1"/>
        <v>0</v>
      </c>
      <c r="BQ5" s="29">
        <f t="shared" si="1"/>
        <v>7695.96</v>
      </c>
      <c r="BR5" s="29">
        <f t="shared" si="1"/>
        <v>0</v>
      </c>
      <c r="BS5" s="29">
        <f t="shared" si="1"/>
        <v>0</v>
      </c>
      <c r="BT5" s="30">
        <f t="shared" si="1"/>
        <v>0</v>
      </c>
    </row>
    <row r="6" spans="1:72" s="37" customFormat="1" ht="13.2">
      <c r="A6" s="26" t="s">
        <v>169</v>
      </c>
      <c r="B6" s="31"/>
      <c r="C6" s="31"/>
      <c r="D6" s="32"/>
      <c r="E6" s="27">
        <f>H6+AC6+AT6</f>
        <v>153131.99999999997</v>
      </c>
      <c r="F6" s="27" t="s">
        <v>1</v>
      </c>
      <c r="G6" s="27" t="s">
        <v>2</v>
      </c>
      <c r="H6" s="33">
        <f>SUMIF(I$12:AB$12,"总值",I6:AB6)</f>
        <v>146016.44999999998</v>
      </c>
      <c r="I6" s="27">
        <f t="shared" ref="I6:AB6" si="2">ROUND($A$3*I5/$B$3,2)</f>
        <v>116236.15</v>
      </c>
      <c r="J6" s="27">
        <f t="shared" si="2"/>
        <v>0</v>
      </c>
      <c r="K6" s="27">
        <f t="shared" si="2"/>
        <v>29780.3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7115.55</v>
      </c>
      <c r="AD6" s="27">
        <f t="shared" ref="AD6:AS6" si="3">ROUND($A$3*AD5/$B$3,2)</f>
        <v>0</v>
      </c>
      <c r="AE6" s="27">
        <f t="shared" si="3"/>
        <v>0</v>
      </c>
      <c r="AF6" s="27">
        <f t="shared" si="3"/>
        <v>0</v>
      </c>
      <c r="AG6" s="27">
        <f t="shared" si="3"/>
        <v>0</v>
      </c>
      <c r="AH6" s="27">
        <f t="shared" si="3"/>
        <v>952.45</v>
      </c>
      <c r="AI6" s="27">
        <f t="shared" si="3"/>
        <v>0</v>
      </c>
      <c r="AJ6" s="27">
        <f t="shared" si="3"/>
        <v>0</v>
      </c>
      <c r="AK6" s="27">
        <f t="shared" si="3"/>
        <v>0</v>
      </c>
      <c r="AL6" s="27">
        <f t="shared" si="3"/>
        <v>6163.1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153132</v>
      </c>
      <c r="AZ6" s="27" t="s">
        <v>3</v>
      </c>
      <c r="BA6" s="27">
        <f>ROUND($AY$6*BA5/$AZ$5,2)</f>
        <v>146016.44</v>
      </c>
      <c r="BB6" s="27">
        <f>ROUND($AY$6*BB5/$AZ$5,2)</f>
        <v>116236.15</v>
      </c>
      <c r="BC6" s="27">
        <f t="shared" ref="BC6:BH6" si="4">ROUND($AY$6*BC5/$AZ$5,2)</f>
        <v>29780.3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7115.56</v>
      </c>
      <c r="BM6" s="27">
        <f t="shared" si="5"/>
        <v>0</v>
      </c>
      <c r="BN6" s="27">
        <f t="shared" si="5"/>
        <v>0</v>
      </c>
      <c r="BO6" s="27">
        <f t="shared" si="5"/>
        <v>952.45</v>
      </c>
      <c r="BP6" s="27">
        <f t="shared" si="5"/>
        <v>0</v>
      </c>
      <c r="BQ6" s="27">
        <f t="shared" si="5"/>
        <v>6163.1</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3010</v>
      </c>
      <c r="J9" s="51"/>
      <c r="K9" s="2970" t="s">
        <v>3010</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923</v>
      </c>
      <c r="J10" s="51"/>
      <c r="K10" s="2972" t="s">
        <v>3006</v>
      </c>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3011</v>
      </c>
      <c r="J11" s="71"/>
      <c r="K11" s="2971" t="s">
        <v>3012</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酒店</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184"/>
      <c r="B13" s="3184" t="s">
        <v>3015</v>
      </c>
      <c r="C13" s="3184" t="s">
        <v>3017</v>
      </c>
      <c r="D13" s="2966" t="s">
        <v>1678</v>
      </c>
      <c r="E13" s="27">
        <f t="shared" ref="E13:E20" si="6">IF($C$3="是",ROUND($A$3*G13/$B$3,2),ROUND($A$3*(G13-AT13)/$B$3,2))</f>
        <v>123262.09</v>
      </c>
      <c r="F13" s="81"/>
      <c r="G13" s="82">
        <f t="shared" ref="G13:G20" si="7">H13+AC13+AT13</f>
        <v>153919.19999999998</v>
      </c>
      <c r="H13" s="33">
        <f t="shared" ref="H13:H20" si="8">SUMIF(I$12:AB$12,"总值",I13:AB13)</f>
        <v>145145.79999999999</v>
      </c>
      <c r="I13" s="2969">
        <f>C14-AH13-AL13</f>
        <v>145145.79999999999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8773.4</v>
      </c>
      <c r="AD13" s="2973"/>
      <c r="AE13" s="2973"/>
      <c r="AF13" s="2973"/>
      <c r="AG13" s="2973"/>
      <c r="AH13" s="2973">
        <f>ROUNDUP(C14*0.007,2)</f>
        <v>1077.44</v>
      </c>
      <c r="AI13" s="2973"/>
      <c r="AJ13" s="2973"/>
      <c r="AK13" s="2973"/>
      <c r="AL13" s="2973">
        <f>ROUNDUP(C14*0.05,2)</f>
        <v>7695.96</v>
      </c>
      <c r="AM13" s="2973"/>
      <c r="AN13" s="2973"/>
      <c r="AO13" s="2973"/>
      <c r="AP13" s="2973"/>
      <c r="AQ13" s="2973"/>
      <c r="AR13" s="2973"/>
      <c r="AS13" s="2973"/>
      <c r="AT13" s="2974"/>
      <c r="AU13" s="2975"/>
      <c r="AV13" s="17">
        <f t="shared" ref="AV13:AX20" si="10">A13</f>
        <v>0</v>
      </c>
      <c r="AW13" s="17" t="str">
        <f t="shared" si="10"/>
        <v>土地</v>
      </c>
      <c r="AX13" s="17" t="str">
        <f t="shared" si="10"/>
        <v>建筑</v>
      </c>
      <c r="AY13" s="996">
        <f t="shared" ref="AY13:AY20" si="11">ROUND($AY$6*AZ13/$AZ$5,2)</f>
        <v>123262.09</v>
      </c>
      <c r="AZ13" s="27">
        <f t="shared" ref="AZ13:AZ20" si="12">BA13+BL13</f>
        <v>153919.19999999998</v>
      </c>
      <c r="BA13" s="27">
        <f t="shared" ref="BA13:BA20" si="13">SUM(BB13:BK13)</f>
        <v>145145.79999999999</v>
      </c>
      <c r="BB13" s="27">
        <f t="shared" ref="BB13:BB20" si="14">IF($D13="是",I13-J13,0)</f>
        <v>145145.79999999999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8773.4</v>
      </c>
      <c r="BM13" s="27">
        <f t="shared" ref="BM13:BM20" si="25">IF($D13="是",AD13-AE13,0)</f>
        <v>0</v>
      </c>
      <c r="BN13" s="27">
        <f t="shared" ref="BN13:BN20" si="26">IF($D13="是",AF13-AG13,0)</f>
        <v>0</v>
      </c>
      <c r="BO13" s="27">
        <f t="shared" ref="BO13:BO20" si="27">IF($D13="是",AH13-AI13,0)</f>
        <v>1077.44</v>
      </c>
      <c r="BP13" s="27">
        <f t="shared" ref="BP13:BP20" si="28">IF($D13="是",AJ13-AK13,0)</f>
        <v>0</v>
      </c>
      <c r="BQ13" s="27">
        <f t="shared" ref="BQ13:BQ20" si="29">IF($D13="是",AL13-AM13,0)</f>
        <v>7695.96</v>
      </c>
      <c r="BR13" s="27">
        <f t="shared" ref="BR13:BR20" si="30">IF($D13="是",AN13-AO13,0)</f>
        <v>0</v>
      </c>
      <c r="BS13" s="27">
        <f t="shared" ref="BS13:BS20" si="31">IF($D13="是",AP13-AQ13,0)</f>
        <v>0</v>
      </c>
      <c r="BT13" s="36">
        <f t="shared" ref="BT13:BT20" si="32">IF($D13="是",AR13-AS13,0)</f>
        <v>0</v>
      </c>
    </row>
    <row r="14" spans="1:72" s="18" customFormat="1" ht="13.2">
      <c r="A14" s="3184" t="s">
        <v>3013</v>
      </c>
      <c r="B14" s="3184">
        <v>128266</v>
      </c>
      <c r="C14" s="3184">
        <f>B14*1.2</f>
        <v>153919.19999999998</v>
      </c>
      <c r="D14" s="2966" t="s">
        <v>1678</v>
      </c>
      <c r="E14" s="27">
        <f t="shared" si="6"/>
        <v>29869.91</v>
      </c>
      <c r="F14" s="81"/>
      <c r="G14" s="82">
        <f t="shared" si="7"/>
        <v>37299</v>
      </c>
      <c r="H14" s="33">
        <f t="shared" si="8"/>
        <v>37187.1</v>
      </c>
      <c r="I14" s="2969"/>
      <c r="J14" s="2969"/>
      <c r="K14" s="2969">
        <f>C15-AH14</f>
        <v>37187.1</v>
      </c>
      <c r="L14" s="2969"/>
      <c r="M14" s="2969"/>
      <c r="N14" s="83"/>
      <c r="O14" s="83"/>
      <c r="P14" s="83"/>
      <c r="Q14" s="83"/>
      <c r="R14" s="83"/>
      <c r="S14" s="83"/>
      <c r="T14" s="83"/>
      <c r="U14" s="83"/>
      <c r="V14" s="83"/>
      <c r="W14" s="83"/>
      <c r="X14" s="83"/>
      <c r="Y14" s="83"/>
      <c r="Z14" s="83"/>
      <c r="AA14" s="83"/>
      <c r="AB14" s="83"/>
      <c r="AC14" s="27">
        <f t="shared" si="9"/>
        <v>111.9</v>
      </c>
      <c r="AD14" s="2973"/>
      <c r="AE14" s="2973"/>
      <c r="AF14" s="2973"/>
      <c r="AG14" s="2973"/>
      <c r="AH14" s="2973">
        <f>ROUNDUP(C15*0.003,2)</f>
        <v>111.9</v>
      </c>
      <c r="AI14" s="2973"/>
      <c r="AJ14" s="2973"/>
      <c r="AK14" s="2973"/>
      <c r="AL14" s="2973"/>
      <c r="AM14" s="2973"/>
      <c r="AN14" s="2973"/>
      <c r="AO14" s="2973"/>
      <c r="AP14" s="2973"/>
      <c r="AQ14" s="2973"/>
      <c r="AR14" s="2973"/>
      <c r="AS14" s="2973"/>
      <c r="AT14" s="2974"/>
      <c r="AU14" s="2975"/>
      <c r="AV14" s="17" t="str">
        <f t="shared" si="10"/>
        <v>住宅</v>
      </c>
      <c r="AW14" s="17">
        <f t="shared" si="10"/>
        <v>128266</v>
      </c>
      <c r="AX14" s="17">
        <f t="shared" si="10"/>
        <v>153919.19999999998</v>
      </c>
      <c r="AY14" s="996">
        <f t="shared" si="11"/>
        <v>29869.91</v>
      </c>
      <c r="AZ14" s="27">
        <f t="shared" si="12"/>
        <v>37299</v>
      </c>
      <c r="BA14" s="27">
        <f t="shared" si="13"/>
        <v>37187.1</v>
      </c>
      <c r="BB14" s="27">
        <f t="shared" si="14"/>
        <v>0</v>
      </c>
      <c r="BC14" s="27">
        <f t="shared" si="15"/>
        <v>37187.1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111.9</v>
      </c>
      <c r="BM14" s="27">
        <f t="shared" si="25"/>
        <v>0</v>
      </c>
      <c r="BN14" s="27">
        <f t="shared" si="26"/>
        <v>0</v>
      </c>
      <c r="BO14" s="27">
        <f t="shared" si="27"/>
        <v>111.9</v>
      </c>
      <c r="BP14" s="27">
        <f t="shared" si="28"/>
        <v>0</v>
      </c>
      <c r="BQ14" s="27">
        <f t="shared" si="29"/>
        <v>0</v>
      </c>
      <c r="BR14" s="27">
        <f t="shared" si="30"/>
        <v>0</v>
      </c>
      <c r="BS14" s="27">
        <f t="shared" si="31"/>
        <v>0</v>
      </c>
      <c r="BT14" s="36">
        <f t="shared" si="32"/>
        <v>0</v>
      </c>
    </row>
    <row r="15" spans="1:72" s="18" customFormat="1" ht="13.2">
      <c r="A15" s="3184" t="s">
        <v>3014</v>
      </c>
      <c r="B15" s="3184">
        <v>24866</v>
      </c>
      <c r="C15" s="3184">
        <f>B15*1.5</f>
        <v>37299</v>
      </c>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商业</v>
      </c>
      <c r="AW15" s="17">
        <f t="shared" si="10"/>
        <v>24866</v>
      </c>
      <c r="AX15" s="17">
        <f t="shared" si="10"/>
        <v>37299</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184" t="s">
        <v>3016</v>
      </c>
      <c r="B16" s="3184">
        <f>B14+B15</f>
        <v>153132</v>
      </c>
      <c r="C16" s="3184">
        <f>C14+C15</f>
        <v>191218.19999999998</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合计</v>
      </c>
      <c r="AW16" s="17">
        <f t="shared" si="10"/>
        <v>153132</v>
      </c>
      <c r="AX16" s="17">
        <f t="shared" si="10"/>
        <v>191218.19999999998</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46.8">
      <c r="A3" s="3261"/>
      <c r="B3" s="3261"/>
      <c r="C3" s="3261"/>
      <c r="D3" s="3262"/>
      <c r="E3" s="326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I7" sqref="I7"/>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2" t="s">
        <v>203</v>
      </c>
      <c r="B2" s="3272"/>
      <c r="C2" s="3272"/>
      <c r="D2" s="1960" t="s">
        <v>204</v>
      </c>
      <c r="E2" s="106" t="s">
        <v>205</v>
      </c>
      <c r="F2" s="1969"/>
      <c r="G2" s="1194"/>
      <c r="H2" s="1195"/>
      <c r="I2" s="1196" t="s">
        <v>857</v>
      </c>
      <c r="J2" s="1969"/>
      <c r="K2" s="1969"/>
      <c r="L2" s="1969"/>
    </row>
    <row r="3" spans="1:16" ht="15" thickBot="1">
      <c r="A3" s="3273" t="s">
        <v>206</v>
      </c>
      <c r="B3" s="3273"/>
      <c r="C3" s="3273"/>
      <c r="D3" s="107">
        <f>'数据-基础表'!AY6</f>
        <v>153132</v>
      </c>
      <c r="E3" s="107">
        <f>'数据-基础表'!AZ5</f>
        <v>191218.19999999998</v>
      </c>
      <c r="F3" s="1969"/>
      <c r="G3" s="280" t="s">
        <v>858</v>
      </c>
      <c r="H3" s="275" t="s">
        <v>859</v>
      </c>
      <c r="I3" s="1961">
        <f>ROUND('数据-基础表'!B3/'数据-基础表'!A3,2)</f>
        <v>1.25</v>
      </c>
      <c r="J3" s="1969"/>
      <c r="K3" s="1969"/>
      <c r="L3" s="1969"/>
    </row>
    <row r="4" spans="1:16" ht="14.4">
      <c r="A4" s="3274"/>
      <c r="B4" s="3275"/>
      <c r="C4" s="3276"/>
      <c r="D4" s="108" t="s">
        <v>204</v>
      </c>
      <c r="E4" s="109" t="s">
        <v>205</v>
      </c>
      <c r="F4" s="1969"/>
      <c r="G4" s="1197"/>
      <c r="H4" s="275" t="s">
        <v>860</v>
      </c>
      <c r="I4" s="1961">
        <f>ROUND(SUMIF('数据-基础表'!I9:AS9,"地上",'数据-基础表'!I5:AS5)/'数据-基础表'!A3,2)</f>
        <v>1.25</v>
      </c>
      <c r="J4" s="1969"/>
      <c r="K4" s="1969"/>
      <c r="L4" s="1969"/>
    </row>
    <row r="5" spans="1:16" ht="14.4">
      <c r="A5" s="110" t="s">
        <v>207</v>
      </c>
      <c r="B5" s="3277" t="s">
        <v>230</v>
      </c>
      <c r="C5" s="3277"/>
      <c r="D5" s="111">
        <f>ROUND($D$3*E5/$E$3,2)</f>
        <v>116236.15</v>
      </c>
      <c r="E5" s="112">
        <f>SUMIF('数据-基础表'!$11:$11,"住宅",'数据-基础表'!$5:$5)</f>
        <v>145145.79999999999</v>
      </c>
      <c r="F5" s="1969"/>
      <c r="G5" s="280" t="s">
        <v>861</v>
      </c>
      <c r="H5" s="275" t="s">
        <v>859</v>
      </c>
      <c r="I5" s="1961">
        <f>ROUND(E31/D31,2)</f>
        <v>1.25</v>
      </c>
      <c r="J5" s="1969"/>
      <c r="K5" s="1969"/>
      <c r="L5" s="1969"/>
    </row>
    <row r="6" spans="1:16" ht="15" thickBot="1">
      <c r="A6" s="113"/>
      <c r="B6" s="3277" t="s">
        <v>208</v>
      </c>
      <c r="C6" s="3277"/>
      <c r="D6" s="111">
        <f>ROUND($D$3*E6/$E$3,2)</f>
        <v>36895.85</v>
      </c>
      <c r="E6" s="112">
        <f>E3-E5</f>
        <v>46072.399999999994</v>
      </c>
      <c r="F6" s="1969"/>
      <c r="G6" s="1197"/>
      <c r="H6" s="275" t="s">
        <v>860</v>
      </c>
      <c r="I6" s="1961">
        <f>ROUND(F31/D31,2)</f>
        <v>1.25</v>
      </c>
      <c r="J6" s="1969"/>
      <c r="K6" s="1969"/>
      <c r="L6" s="1969"/>
    </row>
    <row r="7" spans="1:16" ht="14.4">
      <c r="A7" s="3269"/>
      <c r="B7" s="3270"/>
      <c r="C7" s="3271"/>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146016.44</v>
      </c>
      <c r="E8" s="116">
        <f>SUMIF('数据-基础表'!BB10:BK10,"地上",'数据-基础表'!BB5:BK5)</f>
        <v>182332.9</v>
      </c>
      <c r="F8" s="1969"/>
      <c r="G8" s="1971"/>
      <c r="H8" s="1971"/>
      <c r="I8" s="1969"/>
      <c r="J8" s="1969"/>
      <c r="K8" s="1969"/>
      <c r="L8" s="1969"/>
    </row>
    <row r="9" spans="1:16" ht="14.4">
      <c r="A9" s="117"/>
      <c r="B9" s="118"/>
      <c r="C9" s="111" t="s">
        <v>212</v>
      </c>
      <c r="D9" s="111">
        <f t="shared" si="0"/>
        <v>952.45</v>
      </c>
      <c r="E9" s="119">
        <f>'数据-基础表'!AH5</f>
        <v>1189.3400000000001</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146968.89000000001</v>
      </c>
      <c r="E16" s="120">
        <f>SUM(E8:E15)</f>
        <v>183522.24</v>
      </c>
      <c r="F16" s="1969"/>
      <c r="G16" s="1971"/>
      <c r="H16" s="968" t="s">
        <v>219</v>
      </c>
      <c r="I16" s="969"/>
      <c r="J16" s="1969"/>
      <c r="K16" s="3263" t="s">
        <v>2566</v>
      </c>
      <c r="L16" s="3264"/>
      <c r="M16" s="3264"/>
      <c r="N16" s="3264"/>
      <c r="O16" s="3264"/>
      <c r="P16" s="3265"/>
    </row>
    <row r="17" spans="1:19" ht="14.4">
      <c r="A17" s="121" t="s">
        <v>216</v>
      </c>
      <c r="B17" s="122" t="s">
        <v>217</v>
      </c>
      <c r="C17" s="2283" t="s">
        <v>2313</v>
      </c>
      <c r="D17" s="108" t="s">
        <v>204</v>
      </c>
      <c r="E17" s="124" t="s">
        <v>205</v>
      </c>
      <c r="F17" s="125"/>
      <c r="G17" s="1362"/>
      <c r="H17" s="970" t="s">
        <v>218</v>
      </c>
      <c r="I17" s="971" t="s">
        <v>2312</v>
      </c>
      <c r="J17" s="1969"/>
      <c r="K17" s="3266" t="s">
        <v>2567</v>
      </c>
      <c r="L17" s="3267"/>
      <c r="M17" s="3268"/>
      <c r="N17" s="3266" t="s">
        <v>2568</v>
      </c>
      <c r="O17" s="3267"/>
      <c r="P17" s="3268"/>
      <c r="R17" s="2284" t="s">
        <v>2311</v>
      </c>
      <c r="S17" s="144"/>
    </row>
    <row r="18" spans="1:19" ht="14.4">
      <c r="A18" s="117"/>
      <c r="B18" s="128"/>
      <c r="C18" s="129"/>
      <c r="D18" s="2605"/>
      <c r="E18" s="130" t="s">
        <v>220</v>
      </c>
      <c r="F18" s="131" t="s">
        <v>221</v>
      </c>
      <c r="G18" s="1363" t="s">
        <v>222</v>
      </c>
      <c r="H18" s="972" t="s">
        <v>223</v>
      </c>
      <c r="I18" s="973" t="s">
        <v>224</v>
      </c>
      <c r="J18" s="1969"/>
      <c r="K18" s="2568" t="s">
        <v>2569</v>
      </c>
      <c r="L18" s="2569" t="s">
        <v>2570</v>
      </c>
      <c r="M18" s="2570" t="s">
        <v>2571</v>
      </c>
      <c r="N18" s="2568" t="s">
        <v>2569</v>
      </c>
      <c r="O18" s="2569" t="s">
        <v>2570</v>
      </c>
      <c r="P18" s="2570" t="s">
        <v>2571</v>
      </c>
      <c r="R18" s="2285" t="s">
        <v>2309</v>
      </c>
      <c r="S18" s="2285" t="s">
        <v>2310</v>
      </c>
    </row>
    <row r="19" spans="1:19" ht="14.4">
      <c r="A19" s="133"/>
      <c r="B19" s="115" t="s">
        <v>225</v>
      </c>
      <c r="C19" s="2976" t="s">
        <v>3018</v>
      </c>
      <c r="D19" s="111">
        <f t="shared" ref="D19:D26" si="1">ROUND($D$3*E19/$E$3,2)</f>
        <v>116236.15</v>
      </c>
      <c r="E19" s="134">
        <f t="shared" ref="E19:E26" si="2">SUM(F19:G19)</f>
        <v>145145.79999999999</v>
      </c>
      <c r="F19" s="135">
        <f>'数据-基础表'!I13</f>
        <v>145145.79999999999</v>
      </c>
      <c r="G19" s="1364"/>
      <c r="H19" s="974">
        <f>ROUND($D$3*I19/$E$3,2)</f>
        <v>5858.58</v>
      </c>
      <c r="I19" s="116">
        <f>IF($I$17="自定义",P19,M19)</f>
        <v>7315.7</v>
      </c>
      <c r="J19" s="1969"/>
      <c r="K19" s="2571">
        <f t="shared" ref="K19:K26" si="3">ROUND(E$28*E19/E$27,2)</f>
        <v>6126.36</v>
      </c>
      <c r="L19" s="275">
        <f t="shared" ref="L19:L26" si="4">ROUND(IF(COUNTIF(C19,"*住宅*")&gt;0,E$29*E19/E$32,0),2)</f>
        <v>1189.3399999999999</v>
      </c>
      <c r="M19" s="2572">
        <f>K19+L19</f>
        <v>7315.7</v>
      </c>
      <c r="N19" s="2573"/>
      <c r="O19" s="2574"/>
      <c r="P19" s="2575">
        <f>N19+O19</f>
        <v>0</v>
      </c>
      <c r="R19" s="275">
        <f t="shared" ref="R19:S26" si="5">D19+H19</f>
        <v>122094.73</v>
      </c>
      <c r="S19" s="2286">
        <f t="shared" si="5"/>
        <v>152461.5</v>
      </c>
    </row>
    <row r="20" spans="1:19" ht="14.4">
      <c r="A20" s="138"/>
      <c r="B20" s="115" t="s">
        <v>226</v>
      </c>
      <c r="C20" s="2976" t="s">
        <v>3019</v>
      </c>
      <c r="D20" s="111">
        <f t="shared" si="1"/>
        <v>29780.3</v>
      </c>
      <c r="E20" s="134">
        <f t="shared" si="2"/>
        <v>37187.1</v>
      </c>
      <c r="F20" s="135">
        <f>'数据-基础表'!K14</f>
        <v>37187.1</v>
      </c>
      <c r="G20" s="1364"/>
      <c r="H20" s="974">
        <f t="shared" ref="H20:H26" si="6">ROUND($D$3*I20/$E$3,2)</f>
        <v>1256.97</v>
      </c>
      <c r="I20" s="116">
        <f t="shared" ref="I20:I26" si="7">IF($I$17="自定义",P20,M20)</f>
        <v>1569.6</v>
      </c>
      <c r="J20" s="1969"/>
      <c r="K20" s="2571">
        <f t="shared" si="3"/>
        <v>1569.6</v>
      </c>
      <c r="L20" s="275">
        <f t="shared" si="4"/>
        <v>0</v>
      </c>
      <c r="M20" s="2572">
        <f t="shared" ref="M20:M26" si="8">K20+L20</f>
        <v>1569.6</v>
      </c>
      <c r="N20" s="2573"/>
      <c r="O20" s="2574"/>
      <c r="P20" s="2575">
        <f t="shared" ref="P20:P26" si="9">N20+O20</f>
        <v>0</v>
      </c>
      <c r="R20" s="275">
        <f t="shared" si="5"/>
        <v>31037.27</v>
      </c>
      <c r="S20" s="2286">
        <f t="shared" si="5"/>
        <v>38756.699999999997</v>
      </c>
    </row>
    <row r="21" spans="1:19" ht="14.4">
      <c r="A21" s="138"/>
      <c r="B21" s="115" t="s">
        <v>226</v>
      </c>
      <c r="C21" s="2976"/>
      <c r="D21" s="111">
        <f t="shared" si="1"/>
        <v>0</v>
      </c>
      <c r="E21" s="134">
        <f t="shared" si="2"/>
        <v>0</v>
      </c>
      <c r="F21" s="135"/>
      <c r="G21" s="1364"/>
      <c r="H21" s="974">
        <f t="shared" si="6"/>
        <v>0</v>
      </c>
      <c r="I21" s="116">
        <f t="shared" si="7"/>
        <v>0</v>
      </c>
      <c r="J21" s="1969"/>
      <c r="K21" s="2571">
        <f t="shared" si="3"/>
        <v>0</v>
      </c>
      <c r="L21" s="275">
        <f t="shared" si="4"/>
        <v>0</v>
      </c>
      <c r="M21" s="2572">
        <f t="shared" si="8"/>
        <v>0</v>
      </c>
      <c r="N21" s="2573"/>
      <c r="O21" s="2574"/>
      <c r="P21" s="2575">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1">
        <f t="shared" si="3"/>
        <v>0</v>
      </c>
      <c r="L22" s="275">
        <f t="shared" si="4"/>
        <v>0</v>
      </c>
      <c r="M22" s="2572">
        <f t="shared" si="8"/>
        <v>0</v>
      </c>
      <c r="N22" s="2573"/>
      <c r="O22" s="2574"/>
      <c r="P22" s="2575">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1">
        <f t="shared" si="3"/>
        <v>0</v>
      </c>
      <c r="L23" s="275">
        <f t="shared" si="4"/>
        <v>0</v>
      </c>
      <c r="M23" s="2572">
        <f t="shared" si="8"/>
        <v>0</v>
      </c>
      <c r="N23" s="2573"/>
      <c r="O23" s="2574"/>
      <c r="P23" s="2575">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1">
        <f t="shared" si="3"/>
        <v>0</v>
      </c>
      <c r="L24" s="275">
        <f t="shared" si="4"/>
        <v>0</v>
      </c>
      <c r="M24" s="2572">
        <f t="shared" si="8"/>
        <v>0</v>
      </c>
      <c r="N24" s="2573"/>
      <c r="O24" s="2574"/>
      <c r="P24" s="2575">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1">
        <f t="shared" si="3"/>
        <v>0</v>
      </c>
      <c r="L25" s="275">
        <f t="shared" si="4"/>
        <v>0</v>
      </c>
      <c r="M25" s="2572">
        <f t="shared" si="8"/>
        <v>0</v>
      </c>
      <c r="N25" s="2573"/>
      <c r="O25" s="2574"/>
      <c r="P25" s="2575">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6">
        <f t="shared" si="3"/>
        <v>0</v>
      </c>
      <c r="L26" s="280">
        <f t="shared" si="4"/>
        <v>0</v>
      </c>
      <c r="M26" s="146">
        <f t="shared" si="8"/>
        <v>0</v>
      </c>
      <c r="N26" s="2577"/>
      <c r="O26" s="2578"/>
      <c r="P26" s="2579">
        <f t="shared" si="9"/>
        <v>0</v>
      </c>
      <c r="R26" s="275">
        <f t="shared" si="5"/>
        <v>0</v>
      </c>
      <c r="S26" s="2286">
        <f t="shared" si="5"/>
        <v>0</v>
      </c>
    </row>
    <row r="27" spans="1:19" ht="15" thickBot="1">
      <c r="A27" s="138"/>
      <c r="B27" s="111"/>
      <c r="C27" s="127" t="s">
        <v>215</v>
      </c>
      <c r="D27" s="134">
        <f>SUM(D19:D26)</f>
        <v>146016.44999999998</v>
      </c>
      <c r="E27" s="143">
        <f>IF(SUM(E19:E26)='数据-基础表'!BA5,SUM(E19:E26),IF(F27="地上面积有误","面积有误","地下面积有误"))</f>
        <v>182332.9</v>
      </c>
      <c r="F27" s="134">
        <f>IF(SUM(F19:F26)=E8,SUM(F19:F26),"地上面积有误")</f>
        <v>182332.9</v>
      </c>
      <c r="G27" s="112">
        <f>SUM(G19:G26)</f>
        <v>0</v>
      </c>
      <c r="H27" s="975">
        <f>SUM(H19:H26)</f>
        <v>7115.55</v>
      </c>
      <c r="I27" s="976">
        <f>SUM(I19:I26)</f>
        <v>8885.2999999999993</v>
      </c>
      <c r="J27" s="1969"/>
      <c r="K27" s="2580">
        <f>SUM(K19:K26)</f>
        <v>7695.9599999999991</v>
      </c>
      <c r="L27" s="2581">
        <f>SUM(L19:L26)</f>
        <v>1189.3399999999999</v>
      </c>
      <c r="M27" s="2582">
        <f>SUM(M19:M26)</f>
        <v>8885.2999999999993</v>
      </c>
      <c r="N27" s="2580">
        <f t="shared" ref="N27:O27" si="10">SUM(N19:N26)</f>
        <v>0</v>
      </c>
      <c r="O27" s="2581">
        <f t="shared" si="10"/>
        <v>0</v>
      </c>
      <c r="P27" s="2583">
        <f>SUM(P19:P26)</f>
        <v>0</v>
      </c>
      <c r="R27" s="2290">
        <f>IF(SUM(R19:R26)=$D$3,SUM(R19:R26),SUM(R19:R26)&amp;"误差"&amp;ROUND(SUM(R19:R26)-$D$3,2))</f>
        <v>153132</v>
      </c>
      <c r="S27" s="275">
        <f>IF(SUM(S19:S26)=$E$3,SUM(S19:S26),SUM(S19:S26)&amp;"误差"&amp;ROUND(SUM(S19:S26)-E3,2))</f>
        <v>191218.2</v>
      </c>
    </row>
    <row r="28" spans="1:19" ht="14.4">
      <c r="A28" s="138"/>
      <c r="B28" s="115" t="s">
        <v>227</v>
      </c>
      <c r="C28" s="136" t="s">
        <v>228</v>
      </c>
      <c r="D28" s="111">
        <f>ROUND($D$3*E28/$E$3,2)</f>
        <v>6163.1</v>
      </c>
      <c r="E28" s="134">
        <f>SUM(F28:G28)</f>
        <v>7695.96</v>
      </c>
      <c r="F28" s="144">
        <f>'数据-基础表'!BQ5+'数据-基础表'!BS5</f>
        <v>7695.96</v>
      </c>
      <c r="G28" s="145">
        <f>'数据-基础表'!BR5+'数据-基础表'!BT5</f>
        <v>0</v>
      </c>
      <c r="H28" s="1969"/>
      <c r="I28" s="1969"/>
      <c r="J28" s="1969"/>
      <c r="K28" s="1969"/>
      <c r="L28" s="1969"/>
    </row>
    <row r="29" spans="1:19" ht="14.4">
      <c r="A29" s="138"/>
      <c r="B29" s="115" t="s">
        <v>227</v>
      </c>
      <c r="C29" s="2298" t="s">
        <v>2320</v>
      </c>
      <c r="D29" s="111">
        <f>ROUND($D$3*E29/$E$3,2)</f>
        <v>952.45</v>
      </c>
      <c r="E29" s="134">
        <f>SUM(F29:G29)</f>
        <v>1189.3400000000001</v>
      </c>
      <c r="F29" s="144">
        <f>'数据-基础表'!BM5+'数据-基础表'!BO5</f>
        <v>1189.3400000000001</v>
      </c>
      <c r="G29" s="146">
        <f>'数据-基础表'!BN5+'数据-基础表'!BP5</f>
        <v>0</v>
      </c>
      <c r="H29" s="1969"/>
      <c r="I29" s="1969"/>
      <c r="J29" s="1969"/>
      <c r="K29" s="1969"/>
      <c r="L29" s="1969"/>
    </row>
    <row r="30" spans="1:19" ht="14.4">
      <c r="A30" s="138"/>
      <c r="B30" s="111"/>
      <c r="C30" s="147" t="s">
        <v>215</v>
      </c>
      <c r="D30" s="134">
        <f>SUM(D28:D29)</f>
        <v>7115.55</v>
      </c>
      <c r="E30" s="134">
        <f>SUM(E28:E29)</f>
        <v>8885.2999999999993</v>
      </c>
      <c r="F30" s="134">
        <f>SUM(F28:F29)</f>
        <v>8885.2999999999993</v>
      </c>
      <c r="G30" s="112">
        <f>SUM(G28:G29)</f>
        <v>0</v>
      </c>
      <c r="H30" s="1969"/>
      <c r="I30" s="1969"/>
      <c r="J30" s="1969"/>
      <c r="K30" s="1969"/>
      <c r="L30" s="1969"/>
    </row>
    <row r="31" spans="1:19" ht="32.25" customHeight="1" thickBot="1">
      <c r="A31" s="1366"/>
      <c r="B31" s="1367" t="s">
        <v>229</v>
      </c>
      <c r="C31" s="2315" t="s">
        <v>2322</v>
      </c>
      <c r="D31" s="1368">
        <f>D27+D30</f>
        <v>153131.99999999997</v>
      </c>
      <c r="E31" s="1368">
        <f>E27+E30</f>
        <v>191218.19999999998</v>
      </c>
      <c r="F31" s="1369">
        <f>F27+F30</f>
        <v>191218.19999999998</v>
      </c>
      <c r="G31" s="1370">
        <f>G27+G30</f>
        <v>0</v>
      </c>
      <c r="H31" s="1969"/>
      <c r="I31" s="1969"/>
      <c r="J31" s="1969"/>
      <c r="K31" s="1969"/>
      <c r="L31" s="1969"/>
    </row>
    <row r="32" spans="1:19" ht="14.4">
      <c r="A32" s="1969"/>
      <c r="B32" s="2327" t="s">
        <v>2321</v>
      </c>
      <c r="C32" s="2610"/>
      <c r="D32" s="1197"/>
      <c r="E32" s="1197">
        <f>SUMIF(C19:C26,"*住宅*",E19:E26)</f>
        <v>145145.79999999999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41" sqref="I41"/>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43676</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4"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4"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65926</v>
      </c>
      <c r="F6" s="174">
        <f>SUMIF(项目基本情况!D$15:I$15,C6,项目基本情况!D$19:I$19)</f>
        <v>60.95</v>
      </c>
      <c r="G6" s="175">
        <f>IF(ISERROR(ROUND(POWER(1+H6,D6-F6)*(POWER(1+H6,F6)-1)/(POWER(1+H6,D6)-1),3)),0,ROUND(POWER(1+H6,D6-F6)*(POWER(1+H6,F6)-1)/(POWER(1+H6,D6)-1),3))</f>
        <v>0.97099999999999997</v>
      </c>
      <c r="H6" s="2977">
        <v>0.04</v>
      </c>
      <c r="I6" s="2977">
        <v>4.4999999999999998E-2</v>
      </c>
      <c r="J6" s="176">
        <v>8.5000000000000006E-2</v>
      </c>
      <c r="K6" s="179">
        <f>SUMIF('数据-汇总表'!C$19:C$33,'数据-取费表'!A6,'数据-汇总表'!E$19:E$33)</f>
        <v>145145.79999999999</v>
      </c>
      <c r="L6" s="2978">
        <v>3000</v>
      </c>
      <c r="M6" s="177">
        <f t="shared" ref="M6:M14" si="0">ROUND(K6*L6/10000,0)</f>
        <v>43544</v>
      </c>
      <c r="N6" s="2979">
        <v>0</v>
      </c>
      <c r="O6" s="177">
        <f>IF($N$5="成新度","——",ROUND(M6*N6,0))</f>
        <v>0</v>
      </c>
      <c r="P6" s="178">
        <f>IF($N$5="成新度","——",M6-O6)</f>
        <v>43544</v>
      </c>
      <c r="Q6" s="2980">
        <v>0.1</v>
      </c>
      <c r="R6" s="179">
        <f>SUMIF('数据-汇总表'!C$19:C$33,A6,'数据-汇总表'!R$19:R$33)</f>
        <v>122094.73</v>
      </c>
      <c r="S6" s="132">
        <f>IF('数据-汇总表'!$I$17="按面积比例",SUMIF('数据-汇总表'!C$19:C$33,A6,'数据-汇总表'!K$19:K$33),SUMIF('数据-汇总表'!C$19:C$33,A6,'数据-汇总表'!N$19:N$33))</f>
        <v>6126.36</v>
      </c>
      <c r="T6" s="2219">
        <f>IF($T$4="按面积比例",IF(ISERROR(ROUND($M$14*S6/S$16,0)),"0",ROUND($M$14*S6/S$16,0)),"需自行计算录入")</f>
        <v>1838</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5"/>
      <c r="AO6" s="1985"/>
      <c r="AP6" s="1200">
        <f>ROUND(1-1/(1+H6)^F6,3)</f>
        <v>0.90800000000000003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3006</v>
      </c>
      <c r="D7" s="2293">
        <f>SUMIF(项目基本情况!D$15:I$15,C7,项目基本情况!D$18:I$18)</f>
        <v>40</v>
      </c>
      <c r="E7" s="2294">
        <f>IF(B7="","",SUMIF(项目基本情况!D$15:I$15,C7,项目基本情况!D$17:I$17))</f>
        <v>54968</v>
      </c>
      <c r="F7" s="174">
        <f>SUMIF(项目基本情况!D$15:I$15,C7,项目基本情况!D$19:I$19)</f>
        <v>30.93</v>
      </c>
      <c r="G7" s="175">
        <f t="shared" ref="G7:G11" si="2">IF(ISERROR(ROUND(POWER(1+H7,D7-F7)*(POWER(1+H7,F7)-1)/(POWER(1+H7,D7)-1),3)),0,ROUND(POWER(1+H7,D7-F7)*(POWER(1+H7,F7)-1)/(POWER(1+H7,D7)-1),3))</f>
        <v>0.91700000000000004</v>
      </c>
      <c r="H7" s="2977">
        <v>5.5E-2</v>
      </c>
      <c r="I7" s="2977">
        <v>0.06</v>
      </c>
      <c r="J7" s="176">
        <v>8.5000000000000006E-2</v>
      </c>
      <c r="K7" s="179">
        <f>SUMIF('数据-汇总表'!C$19:C$33,'数据-取费表'!A7,'数据-汇总表'!E$19:E$33)</f>
        <v>37187.1</v>
      </c>
      <c r="L7" s="2978">
        <f>L6</f>
        <v>3000</v>
      </c>
      <c r="M7" s="177">
        <f t="shared" si="0"/>
        <v>11156</v>
      </c>
      <c r="N7" s="2979">
        <v>0</v>
      </c>
      <c r="O7" s="177">
        <f t="shared" ref="O7:O14" si="3">IF($N$5="成新度","——",ROUND(M7*N7,0))</f>
        <v>0</v>
      </c>
      <c r="P7" s="178">
        <f t="shared" ref="P7:P14" si="4">IF($N$5="成新度","——",M7-O7)</f>
        <v>11156</v>
      </c>
      <c r="Q7" s="2980">
        <v>0.1</v>
      </c>
      <c r="R7" s="179">
        <f>SUMIF('数据-汇总表'!C$19:C$33,A7,'数据-汇总表'!R$19:R$33)</f>
        <v>31037.27</v>
      </c>
      <c r="S7" s="132">
        <f>IF('数据-汇总表'!$I$17="按面积比例",SUMIF('数据-汇总表'!C$19:C$33,A7,'数据-汇总表'!K$19:K$33),SUMIF('数据-汇总表'!C$19:C$33,A7,'数据-汇总表'!N$19:N$33))</f>
        <v>1569.6</v>
      </c>
      <c r="T7" s="2219">
        <f t="shared" ref="T7:T13" si="5">IF($T$4="按面积比例",IF(ISERROR(ROUND($M$14*S7/S$16,0)),"0",ROUND($M$14*S7/S$16,0)),"需自行计算录入")</f>
        <v>471</v>
      </c>
      <c r="U7" s="180">
        <v>1</v>
      </c>
      <c r="V7" s="181">
        <v>0.03</v>
      </c>
      <c r="W7" s="181">
        <v>0.1</v>
      </c>
      <c r="X7" s="2306"/>
      <c r="Y7" s="182">
        <v>1</v>
      </c>
      <c r="Z7" s="183"/>
      <c r="AA7" s="176"/>
      <c r="AB7" s="176"/>
      <c r="AC7" s="2309"/>
      <c r="AD7" s="184"/>
      <c r="AE7" s="972">
        <f t="shared" ref="AE7:AE13" ca="1" si="6">IF(AN7="",0,SUMIF(INDIRECT("'"&amp;AN7&amp;"'"&amp;"!E:E"),$AE$5,INDIRECT("'"&amp;AN7&amp;"'"&amp;"!F:F")))</f>
        <v>30.93</v>
      </c>
      <c r="AF7" s="141"/>
      <c r="AG7" s="1209">
        <f t="shared" ref="AG7:AG13" si="7">IF(AF7="",0,AE7-AF7)</f>
        <v>0</v>
      </c>
      <c r="AH7" s="141"/>
      <c r="AI7" s="187">
        <v>365</v>
      </c>
      <c r="AJ7" s="188"/>
      <c r="AK7" s="189">
        <v>1.4999999999999999E-2</v>
      </c>
      <c r="AL7" s="190">
        <v>1.5E-3</v>
      </c>
      <c r="AM7" s="2991">
        <v>0.01</v>
      </c>
      <c r="AN7" s="2355" t="s">
        <v>3022</v>
      </c>
      <c r="AO7" s="1985"/>
      <c r="AP7" s="1200">
        <f t="shared" ref="AP7:AP13" si="8">ROUND(1-1/(1+H7)^F7,3)</f>
        <v>0.80900000000000005</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3"/>
      <c r="AN8" s="2355"/>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3"/>
      <c r="AN9" s="2355"/>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3"/>
      <c r="AN10" s="2355"/>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5"/>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5"/>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3"/>
      <c r="AN13" s="2355"/>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7695.96</v>
      </c>
      <c r="L14" s="2978">
        <f>L6</f>
        <v>3000</v>
      </c>
      <c r="M14" s="177">
        <f t="shared" si="0"/>
        <v>2309</v>
      </c>
      <c r="N14" s="2979">
        <v>0</v>
      </c>
      <c r="O14" s="177">
        <f t="shared" si="3"/>
        <v>0</v>
      </c>
      <c r="P14" s="178">
        <f t="shared" si="4"/>
        <v>2309</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1189.3400000000001</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0.96</v>
      </c>
      <c r="H16" s="203">
        <f>ROUND(SUMPRODUCT(H6:H13,K6:K13)/SUMPRODUCT((H6:H13&gt;0)*(K6:K13)),3)</f>
        <v>4.2999999999999997E-2</v>
      </c>
      <c r="I16" s="204"/>
      <c r="J16" s="204"/>
      <c r="K16" s="205">
        <f>SUM(K6:K15)</f>
        <v>191218.19999999998</v>
      </c>
      <c r="L16" s="206">
        <f>ROUND(M16*10000/SUM(K6:K14),0)</f>
        <v>3000</v>
      </c>
      <c r="M16" s="206">
        <f>SUM(M6:M14)</f>
        <v>57009</v>
      </c>
      <c r="N16" s="207">
        <f>ROUND(SUMPRODUCT(M6:M14,N6:N14)/M16,3)</f>
        <v>0</v>
      </c>
      <c r="O16" s="206">
        <f>SUM(O6:O14)</f>
        <v>0</v>
      </c>
      <c r="P16" s="206">
        <f>SUM(P6:P14)</f>
        <v>57009</v>
      </c>
      <c r="Q16" s="208">
        <f>ROUND(SUMPRODUCT(Q6:Q13,K6:K13)/SUMPRODUCT((Q6:Q13&gt;0)*(K6:K13)),2)</f>
        <v>0.1</v>
      </c>
      <c r="R16" s="2296">
        <f>SUM(R6:R13)</f>
        <v>153132</v>
      </c>
      <c r="S16" s="209">
        <f>SUM(S6:S13)</f>
        <v>7695.9599999999991</v>
      </c>
      <c r="T16" s="210">
        <f>IF(SUMIF(T6:T13,"&lt;9E307")=M14,SUMIF(T6:T13,"&lt;9E307"),"有误，请检查")</f>
        <v>2309</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0.88800000000000001</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90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140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20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180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2"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2" t="s">
        <v>2457</v>
      </c>
      <c r="B40" s="2444">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5</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1326</v>
      </c>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0" t="s">
        <v>2907</v>
      </c>
      <c r="B54" s="186">
        <v>15</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0" t="s">
        <v>2908</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0" t="s">
        <v>2909</v>
      </c>
      <c r="B56" s="186">
        <v>5</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78" t="s">
        <v>1663</v>
      </c>
      <c r="B1" s="3279"/>
      <c r="C1" s="3279"/>
      <c r="D1" s="3279"/>
      <c r="E1" s="3279"/>
      <c r="F1" s="3279"/>
      <c r="G1" s="327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3.2">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3.2">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7.6">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3.8"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8.8">
      <c r="A8" s="1225"/>
      <c r="B8" s="1227" t="s">
        <v>2547</v>
      </c>
      <c r="C8" s="3034" t="s">
        <v>2917</v>
      </c>
      <c r="D8" s="1995"/>
      <c r="E8" s="1995"/>
      <c r="F8" s="1540"/>
      <c r="G8" s="1540"/>
      <c r="H8" s="1993"/>
      <c r="I8" s="1993"/>
      <c r="J8" s="1993"/>
      <c r="K8" s="1993"/>
      <c r="L8" s="1993"/>
      <c r="M8" s="1993"/>
      <c r="N8" s="1993"/>
      <c r="O8" s="1993"/>
      <c r="P8" s="1993"/>
      <c r="Q8" s="1993"/>
      <c r="R8" s="1993"/>
    </row>
    <row r="9" spans="1:18" ht="43.2">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1"/>
      <c r="E12" s="1994"/>
      <c r="F12" s="1995"/>
      <c r="G12" s="1997"/>
      <c r="H12" s="2002"/>
      <c r="I12" s="2003"/>
      <c r="J12" s="2002"/>
      <c r="K12" s="2002"/>
      <c r="L12" s="2004"/>
      <c r="M12" s="2002"/>
      <c r="N12" s="2005"/>
      <c r="O12" s="2006"/>
      <c r="P12" s="2007"/>
      <c r="Q12" s="2005"/>
      <c r="R12" s="1991"/>
    </row>
    <row r="13" spans="1:18" ht="18" thickBot="1">
      <c r="A13" s="2540" t="s">
        <v>1672</v>
      </c>
      <c r="B13" s="2541"/>
      <c r="C13" s="2541"/>
      <c r="D13" s="1220"/>
      <c r="E13" s="2541"/>
      <c r="F13" s="2541"/>
      <c r="G13" s="2541"/>
    </row>
    <row r="14" spans="1:18" ht="15" thickBot="1">
      <c r="A14" s="1234"/>
      <c r="B14" s="1235"/>
      <c r="C14" s="1236" t="s">
        <v>1664</v>
      </c>
      <c r="D14" s="1994"/>
      <c r="E14" s="1237"/>
      <c r="F14" s="1237"/>
      <c r="G14" s="1219" t="s">
        <v>1665</v>
      </c>
    </row>
    <row r="15" spans="1:18" ht="57.6">
      <c r="A15" s="2551" t="s">
        <v>1657</v>
      </c>
      <c r="B15" s="1238" t="s">
        <v>1653</v>
      </c>
      <c r="C15" s="1239" t="str">
        <f>C3</f>
        <v>估价对象周边居住用地比例、居住小区规模和社区发展完善程度，综合评价居住社区成熟度一般</v>
      </c>
      <c r="D15" s="1994"/>
      <c r="E15" s="2548" t="s">
        <v>1658</v>
      </c>
      <c r="F15" s="1238" t="s">
        <v>1673</v>
      </c>
      <c r="G15" s="1240" t="str">
        <f>G3</f>
        <v>估价对象位于XX开发区，园区建设成熟度XX，产业集聚程度XX</v>
      </c>
    </row>
    <row r="16" spans="1:18" ht="43.2">
      <c r="A16" s="2552"/>
      <c r="B16" s="1241" t="s">
        <v>1667</v>
      </c>
      <c r="C16" s="1242" t="str">
        <f>C4</f>
        <v>估价对象位于XX商圈，周边商业氛围成熟，人流量大，商业繁华度好</v>
      </c>
      <c r="D16" s="1994"/>
      <c r="E16" s="2549"/>
      <c r="F16" s="1243" t="s">
        <v>1668</v>
      </c>
      <c r="G16" s="1005" t="str">
        <f>G4</f>
        <v>估价对象周边道路状况、公共交通通达情况、停车便捷程度，综合评价交通便捷度较好</v>
      </c>
    </row>
    <row r="17" spans="1:7" ht="43.2">
      <c r="A17" s="2552"/>
      <c r="B17" s="1241" t="s">
        <v>1669</v>
      </c>
      <c r="C17" s="1242" t="str">
        <f>C5</f>
        <v>估价对象位于XX商圈，周边办公楼项目较多，入驻率高，办公集聚程度较好</v>
      </c>
      <c r="D17" s="1995"/>
      <c r="E17" s="2549"/>
      <c r="F17" s="1243" t="s">
        <v>1674</v>
      </c>
      <c r="G17" s="2749"/>
    </row>
    <row r="18" spans="1:7" ht="57.6">
      <c r="A18" s="2552"/>
      <c r="B18" s="1243" t="s">
        <v>1655</v>
      </c>
      <c r="C18" s="1005" t="str">
        <f>C6</f>
        <v>估价对象周边道路状况、公共交通通达情况、停车便捷程度，综合评价交通便捷度较好</v>
      </c>
      <c r="D18" s="1995"/>
      <c r="E18" s="2549"/>
      <c r="F18" s="1243" t="s">
        <v>1670</v>
      </c>
      <c r="G18" s="1005" t="str">
        <f>G7</f>
        <v>该园区内是否有污染型企业，绿化情况，卫生条件，整体环境状况判断</v>
      </c>
    </row>
    <row r="19" spans="1:7" ht="28.8">
      <c r="A19" s="2552"/>
      <c r="B19" s="1243" t="s">
        <v>1659</v>
      </c>
      <c r="C19" s="2749"/>
      <c r="D19" s="1994"/>
      <c r="E19" s="2549"/>
      <c r="F19" s="1227" t="s">
        <v>2546</v>
      </c>
      <c r="G19" s="1005" t="str">
        <f>G5</f>
        <v>估价对象所在区域公共配套设施齐备情况</v>
      </c>
    </row>
    <row r="20" spans="1:7" ht="43.2">
      <c r="A20" s="2552"/>
      <c r="B20" s="1243" t="s">
        <v>1660</v>
      </c>
      <c r="C20" s="1242" t="str">
        <f>C9</f>
        <v>区域自然环境：；人文环境；综合评价环境状况一般</v>
      </c>
      <c r="D20" s="1995"/>
      <c r="E20" s="2549"/>
      <c r="F20" s="1227" t="s">
        <v>2547</v>
      </c>
      <c r="G20" s="1005" t="str">
        <f>G6</f>
        <v>估价对象所在区域基础设施水平</v>
      </c>
    </row>
    <row r="21" spans="1:7" ht="28.8">
      <c r="A21" s="2552"/>
      <c r="B21" s="1227" t="s">
        <v>2546</v>
      </c>
      <c r="C21" s="1005" t="str">
        <f>C7</f>
        <v>估价对象所在区域公共配套设施齐备情况</v>
      </c>
      <c r="D21" s="1994"/>
      <c r="E21" s="2549"/>
      <c r="F21" s="1243" t="s">
        <v>1661</v>
      </c>
      <c r="G21" s="3038"/>
    </row>
    <row r="22" spans="1:7" ht="28.8">
      <c r="A22" s="2552"/>
      <c r="B22" s="1227" t="s">
        <v>2547</v>
      </c>
      <c r="C22" s="1005" t="str">
        <f>C8</f>
        <v>估价对象所在区域基础设施水平</v>
      </c>
      <c r="D22" s="1994"/>
      <c r="E22" s="2549"/>
      <c r="F22" s="1243" t="s">
        <v>1671</v>
      </c>
      <c r="G22" s="2749"/>
    </row>
    <row r="23" spans="1:7" ht="15" thickBot="1">
      <c r="A23" s="2552"/>
      <c r="B23" s="1243" t="s">
        <v>1661</v>
      </c>
      <c r="C23" s="3038"/>
      <c r="E23" s="2550"/>
      <c r="F23" s="1244" t="s">
        <v>1675</v>
      </c>
      <c r="G23" s="3039"/>
    </row>
    <row r="24" spans="1:7" ht="15" thickBot="1">
      <c r="A24" s="2553"/>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6" t="s">
        <v>2844</v>
      </c>
      <c r="B1" s="2996">
        <f>SUM(B14:B23)</f>
        <v>191218.19999999998</v>
      </c>
      <c r="C1" s="2997"/>
      <c r="D1" s="2997"/>
      <c r="E1" s="2997"/>
      <c r="F1" s="2997"/>
    </row>
    <row r="2" spans="1:9" ht="15.6">
      <c r="A2" s="2996" t="s">
        <v>2845</v>
      </c>
      <c r="B2" s="2996">
        <f>SUM(C14:C23)</f>
        <v>153132</v>
      </c>
      <c r="C2" s="2997"/>
      <c r="D2" s="2997"/>
      <c r="E2" s="2997"/>
      <c r="F2" s="2997"/>
    </row>
    <row r="3" spans="1:9" ht="15.6">
      <c r="A3" s="2996" t="s">
        <v>2846</v>
      </c>
      <c r="B3" s="2998">
        <f>项目基本情况!D3</f>
        <v>43676</v>
      </c>
      <c r="C3" s="2997"/>
      <c r="D3" s="2997"/>
      <c r="E3" s="2997"/>
      <c r="F3" s="2997"/>
    </row>
    <row r="4" spans="1:9" ht="31.2">
      <c r="A4" s="2996" t="s">
        <v>2847</v>
      </c>
      <c r="B4" s="2996" t="s">
        <v>2848</v>
      </c>
      <c r="C4" s="2996" t="s">
        <v>2849</v>
      </c>
      <c r="D4" s="2996" t="s">
        <v>2850</v>
      </c>
      <c r="E4" s="2997"/>
      <c r="F4" s="2997"/>
    </row>
    <row r="5" spans="1:9" ht="15.6">
      <c r="A5" s="2996" t="s">
        <v>2851</v>
      </c>
      <c r="B5" s="2996">
        <f ca="1">SUM(D14:D23)</f>
        <v>111618</v>
      </c>
      <c r="C5" s="2996">
        <f ca="1">ROUND(B5*10000/$B$1,0)</f>
        <v>5837</v>
      </c>
      <c r="D5" s="2996">
        <f ca="1">ROUND(B5*10000/$B$2,0)</f>
        <v>7289</v>
      </c>
      <c r="E5" s="2997"/>
      <c r="F5" s="2997"/>
    </row>
    <row r="6" spans="1:9" ht="15.6">
      <c r="A6" s="2996" t="s">
        <v>2852</v>
      </c>
      <c r="B6" s="2996">
        <f ca="1">SUM(G14:G23)</f>
        <v>111618</v>
      </c>
      <c r="C6" s="2996">
        <f t="shared" ref="C6:C8" ca="1" si="0">ROUND(B6*10000/$B$1,0)</f>
        <v>5837</v>
      </c>
      <c r="D6" s="2996">
        <f t="shared" ref="D6:D8" ca="1" si="1">ROUND(B6*10000/$B$2,0)</f>
        <v>7289</v>
      </c>
      <c r="E6" s="2997"/>
      <c r="F6" s="2997"/>
    </row>
    <row r="7" spans="1:9" ht="15.6">
      <c r="A7" s="2996" t="s">
        <v>2853</v>
      </c>
      <c r="B7" s="2996">
        <f>SUM(H14:H23)</f>
        <v>0</v>
      </c>
      <c r="C7" s="2996">
        <f t="shared" si="0"/>
        <v>0</v>
      </c>
      <c r="D7" s="2996">
        <f t="shared" si="1"/>
        <v>0</v>
      </c>
      <c r="E7" s="2997"/>
      <c r="F7" s="2997"/>
    </row>
    <row r="8" spans="1:9" ht="15.6">
      <c r="A8" s="2996" t="s">
        <v>2854</v>
      </c>
      <c r="B8" s="2996">
        <f>SUM(I14:I23)</f>
        <v>0</v>
      </c>
      <c r="C8" s="2996">
        <f t="shared" si="0"/>
        <v>0</v>
      </c>
      <c r="D8" s="2996">
        <f t="shared" si="1"/>
        <v>0</v>
      </c>
      <c r="E8" s="2997"/>
      <c r="F8" s="2997"/>
    </row>
    <row r="9" spans="1:9" ht="15.6">
      <c r="A9" s="2996" t="s">
        <v>2855</v>
      </c>
      <c r="B9" s="2999"/>
      <c r="C9" s="2997"/>
      <c r="D9" s="2997"/>
      <c r="E9" s="2997"/>
      <c r="F9" s="2997"/>
    </row>
    <row r="10" spans="1:9" ht="15.6">
      <c r="A10" s="2996" t="s">
        <v>2856</v>
      </c>
      <c r="B10" s="2999"/>
      <c r="C10" s="2997"/>
      <c r="D10" s="2997"/>
      <c r="E10" s="2997"/>
      <c r="F10" s="2997"/>
    </row>
    <row r="11" spans="1:9" ht="15.6">
      <c r="A11" s="2996" t="s">
        <v>2873</v>
      </c>
      <c r="B11" s="2999"/>
      <c r="C11" s="2997"/>
      <c r="D11" s="2997"/>
      <c r="E11" s="2997"/>
      <c r="F11" s="2997"/>
    </row>
    <row r="12" spans="1:9" ht="15.6">
      <c r="A12" s="2997"/>
      <c r="B12" s="2997"/>
      <c r="C12" s="2997"/>
      <c r="D12" s="2997"/>
      <c r="E12" s="2997"/>
      <c r="F12" s="2997"/>
    </row>
    <row r="13" spans="1:9" ht="31.2">
      <c r="A13" s="3002" t="s">
        <v>2872</v>
      </c>
      <c r="B13" s="3000" t="s">
        <v>2844</v>
      </c>
      <c r="C13" s="3000" t="s">
        <v>2845</v>
      </c>
      <c r="D13" s="3000" t="s">
        <v>2857</v>
      </c>
      <c r="E13" s="2996" t="s">
        <v>2871</v>
      </c>
      <c r="F13" s="2996" t="s">
        <v>2850</v>
      </c>
      <c r="G13" s="3000" t="s">
        <v>2858</v>
      </c>
      <c r="H13" s="3000" t="s">
        <v>2859</v>
      </c>
      <c r="I13" s="3000" t="s">
        <v>2860</v>
      </c>
    </row>
    <row r="14" spans="1:9" ht="15.6">
      <c r="A14" s="3003" t="s">
        <v>2870</v>
      </c>
      <c r="B14" s="3000">
        <f>结果表!L38</f>
        <v>191218.19999999998</v>
      </c>
      <c r="C14" s="3000">
        <f>结果表!K38</f>
        <v>153132</v>
      </c>
      <c r="D14" s="3000">
        <f ca="1">结果表!C42</f>
        <v>111618</v>
      </c>
      <c r="E14" s="3000">
        <f ca="1">ROUND(D14*10000/B14,0)</f>
        <v>5837</v>
      </c>
      <c r="F14" s="3000">
        <f ca="1">ROUND(D14*10000/C14,0)</f>
        <v>7289</v>
      </c>
      <c r="G14" s="3000">
        <f ca="1">结果表!C44</f>
        <v>111618</v>
      </c>
      <c r="H14" s="3000" t="str">
        <f>结果表!C45</f>
        <v>——</v>
      </c>
      <c r="I14" s="3000" t="str">
        <f>结果表!C46</f>
        <v>——</v>
      </c>
    </row>
    <row r="15" spans="1:9" ht="15.6">
      <c r="A15" s="3003" t="s">
        <v>2861</v>
      </c>
      <c r="B15" s="3004"/>
      <c r="C15" s="3004"/>
      <c r="D15" s="3004"/>
      <c r="E15" s="3000" t="e">
        <f t="shared" ref="E15:E23" si="2">ROUND(D15*10000/B15,0)</f>
        <v>#DIV/0!</v>
      </c>
      <c r="F15" s="3000" t="e">
        <f t="shared" ref="F15:F23" si="3">ROUND(D15*10000/C15,0)</f>
        <v>#DIV/0!</v>
      </c>
      <c r="G15" s="3001"/>
      <c r="H15" s="3001"/>
      <c r="I15" s="3004"/>
    </row>
    <row r="16" spans="1:9" ht="15.6">
      <c r="A16" s="3003" t="s">
        <v>2862</v>
      </c>
      <c r="B16" s="3004"/>
      <c r="C16" s="3004"/>
      <c r="D16" s="3004"/>
      <c r="E16" s="3000" t="e">
        <f t="shared" si="2"/>
        <v>#DIV/0!</v>
      </c>
      <c r="F16" s="3000" t="e">
        <f t="shared" si="3"/>
        <v>#DIV/0!</v>
      </c>
      <c r="G16" s="3001"/>
      <c r="H16" s="3001"/>
      <c r="I16" s="3004"/>
    </row>
    <row r="17" spans="1:9" ht="15.6">
      <c r="A17" s="3003" t="s">
        <v>2863</v>
      </c>
      <c r="B17" s="3004"/>
      <c r="C17" s="3004"/>
      <c r="D17" s="3004"/>
      <c r="E17" s="3000" t="e">
        <f t="shared" si="2"/>
        <v>#DIV/0!</v>
      </c>
      <c r="F17" s="3000" t="e">
        <f t="shared" si="3"/>
        <v>#DIV/0!</v>
      </c>
      <c r="G17" s="3001"/>
      <c r="H17" s="3001"/>
      <c r="I17" s="3004"/>
    </row>
    <row r="18" spans="1:9" ht="15.6">
      <c r="A18" s="3003" t="s">
        <v>2864</v>
      </c>
      <c r="B18" s="3004"/>
      <c r="C18" s="3004"/>
      <c r="D18" s="3004"/>
      <c r="E18" s="3000" t="e">
        <f t="shared" si="2"/>
        <v>#DIV/0!</v>
      </c>
      <c r="F18" s="3000" t="e">
        <f t="shared" si="3"/>
        <v>#DIV/0!</v>
      </c>
      <c r="G18" s="3004"/>
      <c r="H18" s="3004"/>
      <c r="I18" s="3004"/>
    </row>
    <row r="19" spans="1:9" ht="15.6">
      <c r="A19" s="3003" t="s">
        <v>2865</v>
      </c>
      <c r="B19" s="3004"/>
      <c r="C19" s="3004"/>
      <c r="D19" s="3004"/>
      <c r="E19" s="3000" t="e">
        <f t="shared" si="2"/>
        <v>#DIV/0!</v>
      </c>
      <c r="F19" s="3000" t="e">
        <f t="shared" si="3"/>
        <v>#DIV/0!</v>
      </c>
      <c r="G19" s="3004"/>
      <c r="H19" s="3004"/>
      <c r="I19" s="3004"/>
    </row>
    <row r="20" spans="1:9" ht="15.6">
      <c r="A20" s="3003" t="s">
        <v>2866</v>
      </c>
      <c r="B20" s="3004"/>
      <c r="C20" s="3004"/>
      <c r="D20" s="3004"/>
      <c r="E20" s="3000" t="e">
        <f t="shared" si="2"/>
        <v>#DIV/0!</v>
      </c>
      <c r="F20" s="3000" t="e">
        <f t="shared" si="3"/>
        <v>#DIV/0!</v>
      </c>
      <c r="G20" s="3004"/>
      <c r="H20" s="3004"/>
      <c r="I20" s="3004"/>
    </row>
    <row r="21" spans="1:9" ht="15.6">
      <c r="A21" s="3003" t="s">
        <v>2867</v>
      </c>
      <c r="B21" s="3004"/>
      <c r="C21" s="3004"/>
      <c r="D21" s="3004"/>
      <c r="E21" s="3000" t="e">
        <f t="shared" si="2"/>
        <v>#DIV/0!</v>
      </c>
      <c r="F21" s="3000" t="e">
        <f t="shared" si="3"/>
        <v>#DIV/0!</v>
      </c>
      <c r="G21" s="3004"/>
      <c r="H21" s="3004"/>
      <c r="I21" s="3004"/>
    </row>
    <row r="22" spans="1:9" ht="15.6">
      <c r="A22" s="3003" t="s">
        <v>2868</v>
      </c>
      <c r="B22" s="3004"/>
      <c r="C22" s="3004"/>
      <c r="D22" s="3004"/>
      <c r="E22" s="3000" t="e">
        <f t="shared" si="2"/>
        <v>#DIV/0!</v>
      </c>
      <c r="F22" s="3000" t="e">
        <f t="shared" si="3"/>
        <v>#DIV/0!</v>
      </c>
      <c r="G22" s="3004"/>
      <c r="H22" s="3004"/>
      <c r="I22" s="3004"/>
    </row>
    <row r="23" spans="1:9" ht="15.6">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I20" sqref="I20"/>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5" t="str">
        <f>项目基本情况!K2</f>
        <v>浙江省杭州市萧山区进化镇天乐村出让国有建设用地使用权</v>
      </c>
      <c r="B2" s="3326"/>
      <c r="C2" s="3327"/>
      <c r="D2" s="3327"/>
      <c r="E2" s="3327"/>
      <c r="F2" s="3327"/>
      <c r="G2" s="3326"/>
      <c r="H2" s="3326"/>
      <c r="I2" s="3328"/>
      <c r="J2" s="2015"/>
      <c r="K2" s="2014"/>
      <c r="L2" s="2014"/>
      <c r="M2" s="2014"/>
      <c r="N2" s="2014"/>
      <c r="O2" s="2014"/>
      <c r="P2" s="2014"/>
      <c r="Q2" s="2014"/>
      <c r="R2" s="2014"/>
      <c r="S2" s="2014"/>
      <c r="T2" s="2014"/>
      <c r="U2" s="2014"/>
      <c r="V2" s="2014"/>
    </row>
    <row r="3" spans="1:22" ht="13.8">
      <c r="A3" s="3336" t="s">
        <v>298</v>
      </c>
      <c r="B3" s="3337"/>
      <c r="C3" s="3337"/>
      <c r="D3" s="3337"/>
      <c r="E3" s="3337"/>
      <c r="F3" s="3337"/>
      <c r="G3" s="3337"/>
      <c r="H3" s="3337"/>
      <c r="I3" s="3337"/>
      <c r="J3" s="2015"/>
      <c r="K3" s="2014"/>
      <c r="L3" s="2014"/>
      <c r="M3" s="2014"/>
      <c r="N3" s="2014"/>
      <c r="O3" s="2014"/>
      <c r="P3" s="2014"/>
      <c r="Q3" s="2014"/>
      <c r="R3" s="2014"/>
      <c r="S3" s="2014"/>
      <c r="T3" s="2014"/>
      <c r="U3" s="2014"/>
      <c r="V3" s="2014"/>
    </row>
    <row r="4" spans="1:22" ht="14.4">
      <c r="A4" s="258" t="s">
        <v>299</v>
      </c>
      <c r="B4" s="259" t="s">
        <v>300</v>
      </c>
      <c r="C4" s="260" t="s">
        <v>3020</v>
      </c>
      <c r="D4" s="260" t="s">
        <v>3021</v>
      </c>
      <c r="E4" s="3300" t="s">
        <v>301</v>
      </c>
      <c r="F4" s="3342"/>
      <c r="G4" s="3342"/>
      <c r="H4" s="3342"/>
      <c r="I4" s="330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29" t="s">
        <v>302</v>
      </c>
      <c r="B5" s="3330">
        <v>25</v>
      </c>
      <c r="C5" s="3338"/>
      <c r="D5" s="3341"/>
      <c r="E5" s="261" t="s">
        <v>303</v>
      </c>
      <c r="F5" s="262"/>
      <c r="G5" s="262"/>
      <c r="H5" s="262"/>
      <c r="I5" s="263"/>
      <c r="J5" s="2015"/>
      <c r="K5" s="2014"/>
      <c r="L5" s="2014"/>
      <c r="M5" s="2014"/>
      <c r="N5" s="2014"/>
      <c r="O5" s="2014"/>
      <c r="P5" s="2014"/>
      <c r="Q5" s="2014"/>
      <c r="R5" s="2014"/>
      <c r="S5" s="2014"/>
      <c r="T5" s="2014"/>
      <c r="U5" s="2014"/>
      <c r="V5" s="2014"/>
    </row>
    <row r="6" spans="1:22" ht="13.8">
      <c r="A6" s="3329"/>
      <c r="B6" s="3330"/>
      <c r="C6" s="3339"/>
      <c r="D6" s="3341"/>
      <c r="E6" s="261" t="s">
        <v>304</v>
      </c>
      <c r="F6" s="262"/>
      <c r="G6" s="262"/>
      <c r="H6" s="262"/>
      <c r="I6" s="263"/>
      <c r="J6" s="2015"/>
      <c r="K6" s="2014"/>
      <c r="L6" s="2014"/>
      <c r="M6" s="2014"/>
      <c r="N6" s="2014"/>
      <c r="O6" s="2014"/>
      <c r="P6" s="2014"/>
      <c r="Q6" s="2014"/>
      <c r="R6" s="2014"/>
      <c r="S6" s="2014"/>
      <c r="T6" s="2014"/>
      <c r="U6" s="2014"/>
      <c r="V6" s="2014"/>
    </row>
    <row r="7" spans="1:22" ht="13.8">
      <c r="A7" s="3329"/>
      <c r="B7" s="3330"/>
      <c r="C7" s="3340"/>
      <c r="D7" s="3341"/>
      <c r="E7" s="261" t="s">
        <v>305</v>
      </c>
      <c r="F7" s="262"/>
      <c r="G7" s="262"/>
      <c r="H7" s="262"/>
      <c r="I7" s="263"/>
      <c r="J7" s="2015"/>
      <c r="K7" s="2014"/>
      <c r="L7" s="2014"/>
      <c r="M7" s="2014"/>
      <c r="N7" s="2014"/>
      <c r="O7" s="2014"/>
      <c r="P7" s="2014"/>
      <c r="Q7" s="2014"/>
      <c r="R7" s="2014"/>
      <c r="S7" s="2014"/>
      <c r="T7" s="2014"/>
      <c r="U7" s="2014"/>
      <c r="V7" s="2014"/>
    </row>
    <row r="8" spans="1:22" ht="13.8">
      <c r="A8" s="3329" t="s">
        <v>306</v>
      </c>
      <c r="B8" s="3330">
        <v>15</v>
      </c>
      <c r="C8" s="3338"/>
      <c r="D8" s="3341"/>
      <c r="E8" s="261" t="s">
        <v>307</v>
      </c>
      <c r="F8" s="262"/>
      <c r="G8" s="262"/>
      <c r="H8" s="262"/>
      <c r="I8" s="263"/>
      <c r="J8" s="2015"/>
      <c r="K8" s="2014"/>
      <c r="L8" s="2014"/>
      <c r="M8" s="2014"/>
      <c r="N8" s="2014"/>
      <c r="O8" s="2014"/>
      <c r="P8" s="2014"/>
      <c r="Q8" s="2014"/>
      <c r="R8" s="2014"/>
      <c r="S8" s="2014"/>
      <c r="T8" s="2014"/>
      <c r="U8" s="2014"/>
      <c r="V8" s="2014"/>
    </row>
    <row r="9" spans="1:22" ht="13.8">
      <c r="A9" s="3329"/>
      <c r="B9" s="3330"/>
      <c r="C9" s="3340"/>
      <c r="D9" s="3341"/>
      <c r="E9" s="261" t="s">
        <v>308</v>
      </c>
      <c r="F9" s="262"/>
      <c r="G9" s="262"/>
      <c r="H9" s="262"/>
      <c r="I9" s="263"/>
      <c r="J9" s="2015"/>
      <c r="K9" s="2014"/>
      <c r="L9" s="2014"/>
      <c r="M9" s="2014"/>
      <c r="N9" s="2014"/>
      <c r="O9" s="2014"/>
      <c r="P9" s="2014"/>
      <c r="Q9" s="2014"/>
      <c r="R9" s="2014"/>
      <c r="S9" s="2014"/>
      <c r="T9" s="2014"/>
      <c r="U9" s="2014"/>
      <c r="V9" s="2014"/>
    </row>
    <row r="10" spans="1:22" ht="13.8">
      <c r="A10" s="3329" t="s">
        <v>309</v>
      </c>
      <c r="B10" s="3330">
        <v>15</v>
      </c>
      <c r="C10" s="3338"/>
      <c r="D10" s="3341"/>
      <c r="E10" s="261" t="s">
        <v>310</v>
      </c>
      <c r="F10" s="262"/>
      <c r="G10" s="262"/>
      <c r="H10" s="262"/>
      <c r="I10" s="263"/>
      <c r="J10" s="2015"/>
      <c r="K10" s="2014"/>
      <c r="L10" s="2014"/>
      <c r="M10" s="2014"/>
      <c r="N10" s="2014"/>
      <c r="O10" s="2014"/>
      <c r="P10" s="2014"/>
      <c r="Q10" s="2014"/>
      <c r="R10" s="2014"/>
      <c r="S10" s="2014"/>
      <c r="T10" s="2014"/>
      <c r="U10" s="2014"/>
      <c r="V10" s="2014"/>
    </row>
    <row r="11" spans="1:22" ht="13.8">
      <c r="A11" s="3329"/>
      <c r="B11" s="3330"/>
      <c r="C11" s="3340"/>
      <c r="D11" s="3341"/>
      <c r="E11" s="261" t="s">
        <v>311</v>
      </c>
      <c r="F11" s="262"/>
      <c r="G11" s="262"/>
      <c r="H11" s="262"/>
      <c r="I11" s="263"/>
      <c r="J11" s="2015"/>
      <c r="K11" s="2014"/>
      <c r="L11" s="2014"/>
      <c r="M11" s="2014"/>
      <c r="N11" s="2014"/>
      <c r="O11" s="2014"/>
      <c r="P11" s="2014"/>
      <c r="Q11" s="2014"/>
      <c r="R11" s="2014"/>
      <c r="S11" s="2014"/>
      <c r="T11" s="2014"/>
      <c r="U11" s="2014"/>
      <c r="V11" s="2014"/>
    </row>
    <row r="12" spans="1:22" ht="13.8">
      <c r="A12" s="3329" t="s">
        <v>312</v>
      </c>
      <c r="B12" s="3330">
        <v>15</v>
      </c>
      <c r="C12" s="3338"/>
      <c r="D12" s="3341"/>
      <c r="E12" s="261" t="s">
        <v>313</v>
      </c>
      <c r="F12" s="262"/>
      <c r="G12" s="262"/>
      <c r="H12" s="262"/>
      <c r="I12" s="263"/>
      <c r="J12" s="2015"/>
      <c r="K12" s="2014"/>
      <c r="L12" s="2014"/>
      <c r="M12" s="2014"/>
      <c r="N12" s="2014"/>
      <c r="O12" s="2014"/>
      <c r="P12" s="2014"/>
      <c r="Q12" s="2014"/>
      <c r="R12" s="2014"/>
      <c r="S12" s="2014"/>
      <c r="T12" s="2014"/>
      <c r="U12" s="2014"/>
      <c r="V12" s="2014"/>
    </row>
    <row r="13" spans="1:22" ht="13.8">
      <c r="A13" s="3329"/>
      <c r="B13" s="3330"/>
      <c r="C13" s="3340"/>
      <c r="D13" s="3341"/>
      <c r="E13" s="261" t="s">
        <v>314</v>
      </c>
      <c r="F13" s="262"/>
      <c r="G13" s="262"/>
      <c r="H13" s="262"/>
      <c r="I13" s="263"/>
      <c r="J13" s="2015"/>
      <c r="K13" s="2014"/>
      <c r="L13" s="2014"/>
      <c r="M13" s="2014"/>
      <c r="N13" s="2014"/>
      <c r="O13" s="2014"/>
      <c r="P13" s="2014"/>
      <c r="Q13" s="2014"/>
      <c r="R13" s="2014"/>
      <c r="S13" s="2014"/>
      <c r="T13" s="2014"/>
      <c r="U13" s="2014"/>
      <c r="V13" s="2014"/>
    </row>
    <row r="14" spans="1:22" ht="13.8">
      <c r="A14" s="3329" t="s">
        <v>315</v>
      </c>
      <c r="B14" s="3330">
        <v>30</v>
      </c>
      <c r="C14" s="3338">
        <v>6</v>
      </c>
      <c r="D14" s="3341">
        <v>4</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29"/>
      <c r="B15" s="3330"/>
      <c r="C15" s="3339"/>
      <c r="D15" s="3341"/>
      <c r="E15" s="261" t="s">
        <v>317</v>
      </c>
      <c r="F15" s="262"/>
      <c r="G15" s="262"/>
      <c r="H15" s="262"/>
      <c r="I15" s="263"/>
      <c r="J15" s="2015"/>
      <c r="K15" s="2014"/>
      <c r="L15" s="2014"/>
      <c r="M15" s="2014"/>
      <c r="N15" s="2014"/>
      <c r="O15" s="2014"/>
      <c r="P15" s="2014"/>
      <c r="Q15" s="2014"/>
      <c r="R15" s="2014"/>
      <c r="S15" s="2014"/>
      <c r="T15" s="2014"/>
      <c r="U15" s="2014"/>
      <c r="V15" s="2014"/>
    </row>
    <row r="16" spans="1:22" ht="13.8">
      <c r="A16" s="3329"/>
      <c r="B16" s="3330"/>
      <c r="C16" s="3340"/>
      <c r="D16" s="3341"/>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123731</v>
      </c>
      <c r="D19" s="271">
        <f ca="1">SUMIF(INDIRECT("'"&amp;D4&amp;"'"&amp;"!A:A"),结果表!B19,INDIRECT("'"&amp;D4&amp;"'"&amp;"!B:B"))</f>
        <v>93449</v>
      </c>
      <c r="E19" s="268" t="s">
        <v>323</v>
      </c>
      <c r="F19" s="269" t="s">
        <v>322</v>
      </c>
      <c r="G19" s="272">
        <f ca="1">ROUND(C19*$C$18+D19*$D$18,0)</f>
        <v>111618</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6471</v>
      </c>
      <c r="D20" s="277">
        <f ca="1">SUMIF(INDIRECT("'"&amp;D4&amp;"'"&amp;"!A:A"),结果表!B20,INDIRECT("'"&amp;D4&amp;"'"&amp;"!B:B"))</f>
        <v>4887</v>
      </c>
      <c r="E20" s="274"/>
      <c r="F20" s="275" t="s">
        <v>325</v>
      </c>
      <c r="G20" s="278">
        <f ca="1">ROUND(C20*$C$18+D20*$D$18,0)</f>
        <v>5837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8080</v>
      </c>
      <c r="D21" s="151">
        <f ca="1">SUMIF(INDIRECT("'"&amp;D4&amp;"'"&amp;"!A:A"),结果表!B21,INDIRECT("'"&amp;D4&amp;"'"&amp;"!B:B"))</f>
        <v>6103</v>
      </c>
      <c r="E21" s="274"/>
      <c r="F21" s="280" t="s">
        <v>327</v>
      </c>
      <c r="G21" s="282">
        <f ca="1">ROUND(C21*$C$18+D21*$D$18,0)</f>
        <v>7289</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0.32404841143297403</v>
      </c>
      <c r="E22" s="284"/>
      <c r="F22" s="285"/>
      <c r="G22" s="286">
        <f ca="1">ROUND(G19/('数据-汇总表'!D3/666.67),0)</f>
        <v>486</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4"/>
      <c r="B25" s="1317" t="s">
        <v>331</v>
      </c>
      <c r="C25" s="290">
        <f>IF(B30=0,0,C30)</f>
        <v>0</v>
      </c>
      <c r="D25" s="291"/>
      <c r="E25" s="311"/>
      <c r="F25" s="311"/>
      <c r="G25" s="311"/>
      <c r="H25" s="311"/>
      <c r="I25" s="311"/>
      <c r="J25" s="2014"/>
      <c r="K25" s="1251" t="str">
        <f ca="1">项目基本情况!B16&amp;"国有建设用地使用权价格："&amp;O38&amp;"万元"</f>
        <v>出让国有建设用地使用权价格：111618万元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大写金额：人民币壹拾壹亿壹仟陆佰壹拾捌万元整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f ca="1">G19/'数据-汇总表'!F31*10000</f>
        <v>5837.2058726627492</v>
      </c>
      <c r="E27" s="311"/>
      <c r="F27" s="311"/>
      <c r="G27" s="311"/>
      <c r="H27" s="311"/>
      <c r="I27" s="311"/>
      <c r="J27" s="2014"/>
      <c r="K27" s="1254" t="str">
        <f ca="1">"单位面积地价："&amp;M38&amp;"元/平方米"</f>
        <v>单位面积地价：7289元/平方米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楼面地价：5837元/平方米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抵押价格：111618万元</v>
      </c>
      <c r="L29" s="1248"/>
      <c r="M29" s="1248"/>
      <c r="N29" s="1248"/>
      <c r="O29" s="1247"/>
      <c r="P29" s="2014"/>
      <c r="V29" s="2014"/>
    </row>
    <row r="30" spans="1:26" ht="18" thickBot="1">
      <c r="A30" s="3081" t="s">
        <v>336</v>
      </c>
      <c r="B30" s="309"/>
      <c r="C30" s="309"/>
      <c r="D30" s="310"/>
      <c r="E30" s="3082" t="s">
        <v>2969</v>
      </c>
      <c r="F30" s="311"/>
      <c r="G30" s="311"/>
      <c r="H30" s="311"/>
      <c r="I30" s="311"/>
      <c r="J30" s="2014"/>
      <c r="K30" s="1254" t="str">
        <f ca="1">IF(K29="——","——","大写金额：人民币"&amp;NUMBERSTRING(INT(O39*10000),2)&amp;"元整")</f>
        <v>大写金额：人民币壹拾壹亿壹仟陆佰壹拾捌万元整</v>
      </c>
      <c r="L30" s="1248"/>
      <c r="M30" s="1248"/>
      <c r="N30" s="1248"/>
      <c r="O30" s="1247"/>
      <c r="P30" s="2014"/>
      <c r="V30" s="2014"/>
    </row>
    <row r="31" spans="1:26" ht="24" customHeight="1" thickBot="1">
      <c r="A31" s="311"/>
      <c r="B31" s="311"/>
      <c r="C31" s="311"/>
      <c r="D31" s="311"/>
      <c r="E31" s="311"/>
      <c r="F31" s="311"/>
      <c r="G31" s="311"/>
      <c r="H31" s="311"/>
      <c r="I31" s="311"/>
      <c r="J31" s="2014"/>
      <c r="K31" s="2432" t="str">
        <f>IF(项目基本情况!E8="抵押价格","——","抵押担保权已注销时的抵押价格："&amp;O40&amp;"万元")</f>
        <v>——</v>
      </c>
      <c r="L31" s="2428"/>
      <c r="M31" s="2428"/>
      <c r="N31" s="2428"/>
      <c r="O31" s="2429"/>
      <c r="P31" s="2014"/>
      <c r="V31" s="2014"/>
    </row>
    <row r="32" spans="1:26" ht="18" thickBot="1">
      <c r="A32" s="268" t="s">
        <v>337</v>
      </c>
      <c r="B32" s="1378" t="s">
        <v>1688</v>
      </c>
      <c r="C32" s="1379">
        <f ca="1">G19-C24</f>
        <v>111618</v>
      </c>
      <c r="D32" s="1380" t="s">
        <v>1689</v>
      </c>
      <c r="E32" s="311"/>
      <c r="F32" s="311"/>
      <c r="G32" s="311"/>
      <c r="H32" s="311"/>
      <c r="I32" s="311"/>
      <c r="J32" s="2014"/>
      <c r="K32" s="2427" t="str">
        <f>IF(K31="——","——","大写金额：人民币"&amp;NUMBERSTRING(INT(O40*10000),2)&amp;"元整")</f>
        <v>——</v>
      </c>
      <c r="L32" s="2430"/>
      <c r="M32" s="2430"/>
      <c r="N32" s="2430"/>
      <c r="O32" s="2431"/>
      <c r="P32" s="2014"/>
      <c r="V32" s="2014"/>
    </row>
    <row r="33" spans="1:26" ht="18" thickBot="1">
      <c r="A33" s="298" t="s">
        <v>340</v>
      </c>
      <c r="B33" s="1381" t="s">
        <v>1690</v>
      </c>
      <c r="C33" s="264">
        <f ca="1">ROUND(C32*10000/'数据-汇总表'!E3,0)</f>
        <v>5837</v>
      </c>
      <c r="D33" s="1382" t="s">
        <v>1691</v>
      </c>
      <c r="E33" s="3302"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7289</v>
      </c>
      <c r="D34" s="1384" t="s">
        <v>1691</v>
      </c>
      <c r="E34" s="3303"/>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486</v>
      </c>
      <c r="D35" s="1387" t="s">
        <v>1693</v>
      </c>
      <c r="E35" s="3304"/>
      <c r="F35" s="301" t="s">
        <v>342</v>
      </c>
      <c r="G35" s="982"/>
      <c r="H35" s="981" t="s">
        <v>343</v>
      </c>
      <c r="I35" s="311"/>
      <c r="J35" s="2014"/>
      <c r="K35" s="3308" t="s">
        <v>350</v>
      </c>
      <c r="L35" s="3308" t="s">
        <v>351</v>
      </c>
      <c r="M35" s="1260" t="s">
        <v>352</v>
      </c>
      <c r="N35" s="3308" t="s">
        <v>353</v>
      </c>
      <c r="O35" s="3308" t="s">
        <v>354</v>
      </c>
      <c r="P35" s="2014"/>
      <c r="V35" s="2014"/>
    </row>
    <row r="36" spans="1:26" ht="16.5" customHeight="1">
      <c r="A36" s="303" t="s">
        <v>344</v>
      </c>
      <c r="B36" s="304" t="s">
        <v>333</v>
      </c>
      <c r="C36" s="305" t="s">
        <v>345</v>
      </c>
      <c r="D36" s="305" t="s">
        <v>346</v>
      </c>
      <c r="E36" s="306" t="s">
        <v>347</v>
      </c>
      <c r="F36" s="311"/>
      <c r="G36" s="311"/>
      <c r="H36" s="311"/>
      <c r="I36" s="311"/>
      <c r="J36" s="2016"/>
      <c r="K36" s="3309"/>
      <c r="L36" s="3309"/>
      <c r="M36" s="1262" t="s">
        <v>355</v>
      </c>
      <c r="N36" s="3309"/>
      <c r="O36" s="3309"/>
      <c r="P36" s="2014"/>
      <c r="V36" s="2014"/>
    </row>
    <row r="37" spans="1:26" ht="16.5" customHeight="1" thickBot="1">
      <c r="A37" s="1256" t="s">
        <v>348</v>
      </c>
      <c r="B37" s="307"/>
      <c r="C37" s="294"/>
      <c r="D37" s="294"/>
      <c r="E37" s="295"/>
      <c r="F37" s="311"/>
      <c r="G37" s="311"/>
      <c r="H37" s="311"/>
      <c r="I37" s="311"/>
      <c r="J37" s="2016"/>
      <c r="K37" s="3310"/>
      <c r="L37" s="3310"/>
      <c r="M37" s="1263"/>
      <c r="N37" s="3310"/>
      <c r="O37" s="3310"/>
      <c r="P37" s="2014"/>
      <c r="V37" s="2014"/>
    </row>
    <row r="38" spans="1:26" ht="16.5" customHeight="1" thickBot="1">
      <c r="A38" s="1256" t="s">
        <v>349</v>
      </c>
      <c r="B38" s="307"/>
      <c r="C38" s="294"/>
      <c r="D38" s="294"/>
      <c r="E38" s="295"/>
      <c r="F38" s="311"/>
      <c r="G38" s="311"/>
      <c r="H38" s="311"/>
      <c r="I38" s="311"/>
      <c r="J38" s="2016"/>
      <c r="K38" s="1264">
        <f>'数据-汇总表'!D3</f>
        <v>153132</v>
      </c>
      <c r="L38" s="1265">
        <f>'数据-汇总表'!E3</f>
        <v>191218.19999999998</v>
      </c>
      <c r="M38" s="1265">
        <f ca="1">C34</f>
        <v>7289</v>
      </c>
      <c r="N38" s="1265">
        <f ca="1">C33</f>
        <v>5837</v>
      </c>
      <c r="O38" s="1266">
        <f ca="1">C32</f>
        <v>111618</v>
      </c>
      <c r="P38" s="2014"/>
      <c r="V38" s="2014"/>
    </row>
    <row r="39" spans="1:26" ht="16.5" customHeight="1" thickBot="1">
      <c r="A39" s="1261"/>
      <c r="B39" s="308"/>
      <c r="C39" s="309"/>
      <c r="D39" s="309"/>
      <c r="E39" s="310"/>
      <c r="F39" s="311"/>
      <c r="G39" s="311"/>
      <c r="H39" s="311"/>
      <c r="I39" s="311"/>
      <c r="J39" s="2016"/>
      <c r="K39" s="3285" t="str">
        <f>MID(A44,3,LEN(A44)-2)</f>
        <v>抵押价格</v>
      </c>
      <c r="L39" s="3286"/>
      <c r="M39" s="3286"/>
      <c r="N39" s="3287"/>
      <c r="O39" s="1389">
        <f ca="1">C44</f>
        <v>111618</v>
      </c>
      <c r="P39" s="2014"/>
      <c r="V39" s="2014"/>
    </row>
    <row r="40" spans="1:26" ht="18" thickBot="1">
      <c r="A40" s="104" t="s">
        <v>873</v>
      </c>
      <c r="B40" s="311"/>
      <c r="C40" s="311"/>
      <c r="D40" s="311"/>
      <c r="E40" s="311"/>
      <c r="F40" s="311"/>
      <c r="G40" s="311"/>
      <c r="H40" s="311"/>
      <c r="I40" s="311"/>
      <c r="J40" s="2016"/>
      <c r="K40" s="3285" t="str">
        <f t="shared" ref="K40:K41" si="0">MID(A45,3,LEN(A45)-2)</f>
        <v/>
      </c>
      <c r="L40" s="3286"/>
      <c r="M40" s="3286"/>
      <c r="N40" s="3287"/>
      <c r="O40" s="1389" t="str">
        <f>C45</f>
        <v>——</v>
      </c>
      <c r="P40" s="2014"/>
      <c r="V40" s="2014"/>
    </row>
    <row r="41" spans="1:26" ht="16.2" thickBot="1">
      <c r="A41" s="312" t="s">
        <v>356</v>
      </c>
      <c r="B41" s="313"/>
      <c r="C41" s="314" t="s">
        <v>357</v>
      </c>
      <c r="D41" s="315" t="s">
        <v>358</v>
      </c>
      <c r="E41" s="315" t="s">
        <v>359</v>
      </c>
      <c r="F41" s="316" t="s">
        <v>360</v>
      </c>
      <c r="G41" s="311"/>
      <c r="H41" s="311"/>
      <c r="I41" s="311"/>
      <c r="J41" s="2016"/>
      <c r="K41" s="3285" t="str">
        <f t="shared" si="0"/>
        <v/>
      </c>
      <c r="L41" s="3286"/>
      <c r="M41" s="3286"/>
      <c r="N41" s="3287"/>
      <c r="O41" s="1389" t="str">
        <f>C46</f>
        <v>——</v>
      </c>
      <c r="P41" s="2014"/>
      <c r="V41" s="2014"/>
    </row>
    <row r="42" spans="1:26" ht="31.2">
      <c r="A42" s="3345" t="s">
        <v>2067</v>
      </c>
      <c r="B42" s="3346"/>
      <c r="C42" s="264">
        <f ca="1">C32</f>
        <v>111618</v>
      </c>
      <c r="D42" s="317">
        <f ca="1">C33</f>
        <v>5837</v>
      </c>
      <c r="E42" s="317">
        <f ca="1">C34</f>
        <v>7289</v>
      </c>
      <c r="F42" s="318">
        <f ca="1">C35</f>
        <v>486</v>
      </c>
      <c r="G42" s="311"/>
      <c r="H42" s="311"/>
      <c r="I42" s="319"/>
      <c r="J42" s="2016"/>
      <c r="K42" s="1267" t="s">
        <v>361</v>
      </c>
      <c r="L42" s="2033" t="s">
        <v>362</v>
      </c>
      <c r="M42" s="1268" t="s">
        <v>363</v>
      </c>
      <c r="N42" s="2034" t="s">
        <v>364</v>
      </c>
      <c r="O42" s="2035" t="s">
        <v>365</v>
      </c>
      <c r="P42" s="2014"/>
      <c r="V42" s="2014"/>
    </row>
    <row r="43" spans="1:26" ht="30">
      <c r="A43" s="3355" t="s">
        <v>2730</v>
      </c>
      <c r="B43" s="3356"/>
      <c r="C43" s="264">
        <f>IF(H33="正常操作",G33+G34+G35,G34+G35)</f>
        <v>0</v>
      </c>
      <c r="D43" s="317" t="s">
        <v>43</v>
      </c>
      <c r="E43" s="317" t="s">
        <v>44</v>
      </c>
      <c r="F43" s="318" t="s">
        <v>44</v>
      </c>
      <c r="G43" s="2821" t="s">
        <v>952</v>
      </c>
      <c r="H43" s="311"/>
      <c r="I43" s="319"/>
      <c r="J43" s="2016"/>
      <c r="K43" s="1269" t="str">
        <f>C4</f>
        <v>比较法-住宅、综合</v>
      </c>
      <c r="L43" s="1270">
        <f ca="1">IF(L42="估价结果/万元",C19,C20)</f>
        <v>123731</v>
      </c>
      <c r="M43" s="1271">
        <f>C18</f>
        <v>0.6</v>
      </c>
      <c r="N43" s="1272">
        <f ca="1">IF(N42="测算结果/万元",G19,G20)</f>
        <v>111618</v>
      </c>
      <c r="O43" s="1273">
        <f ca="1">IF(O42="最终结果/万元",C32,C33)</f>
        <v>111618</v>
      </c>
      <c r="P43" s="2014"/>
      <c r="V43" s="2014"/>
    </row>
    <row r="44" spans="1:26" ht="30.6" thickBot="1">
      <c r="A44" s="3345" t="str">
        <f>IF(OR(项目基本情况!E8="抵押价格",项目基本情况!E8="已注销及未注销"),"3.抵押价格","——")</f>
        <v>3.抵押价格</v>
      </c>
      <c r="B44" s="3346"/>
      <c r="C44" s="264">
        <f ca="1">IF(A44="——","——",C42-C43)</f>
        <v>111618</v>
      </c>
      <c r="D44" s="317">
        <f ca="1">ROUND(C44*10000/'数据-汇总表'!E3,0)</f>
        <v>5837</v>
      </c>
      <c r="E44" s="317">
        <f ca="1">ROUND(C44*10000/'数据-汇总表'!D3,0)</f>
        <v>7289</v>
      </c>
      <c r="F44" s="318">
        <f ca="1">ROUND(C44/('数据-汇总表'!D3/666.67),0)</f>
        <v>486</v>
      </c>
      <c r="G44" s="311"/>
      <c r="H44" s="311"/>
      <c r="I44" s="319"/>
      <c r="J44" s="2016"/>
      <c r="K44" s="1274" t="str">
        <f>D4</f>
        <v>剩余法-待开发</v>
      </c>
      <c r="L44" s="1275">
        <f ca="1">IF(L42="估价结果/万元",D19,D20)</f>
        <v>93449</v>
      </c>
      <c r="M44" s="1276">
        <f>D18</f>
        <v>0.4</v>
      </c>
      <c r="N44" s="1277"/>
      <c r="O44" s="1278"/>
      <c r="P44" s="2014"/>
      <c r="V44" s="2014"/>
    </row>
    <row r="45" spans="1:26" ht="13.8">
      <c r="A45" s="3350" t="str">
        <f>IF(项目基本情况!E8="已注销及未注销","4.抵押担保权已注销时的抵押价格",IF(项目基本情况!E8="已注销","3.抵押担保权已注销时的抵押价格","——"))</f>
        <v>——</v>
      </c>
      <c r="B45" s="335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3" t="s">
        <v>374</v>
      </c>
      <c r="B63" s="3314"/>
      <c r="C63" s="3315"/>
      <c r="D63" s="341">
        <f ca="1">ROUND(C42*F63,0)</f>
        <v>66971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2" t="s">
        <v>378</v>
      </c>
      <c r="B64" s="3353"/>
      <c r="C64" s="3353"/>
      <c r="D64" s="3353"/>
      <c r="E64" s="3353"/>
      <c r="F64" s="3353"/>
      <c r="G64" s="335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49" t="s">
        <v>386</v>
      </c>
      <c r="B66" s="3320"/>
      <c r="C66" s="3320"/>
      <c r="D66" s="261">
        <f ca="1">IF(H66="情况1",0,IF(H66="情况2",D70,IF(H66="情况3",D71,IF(H66="情况4",D72))))</f>
        <v>3572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89" t="s">
        <v>385</v>
      </c>
      <c r="M66" s="3290"/>
      <c r="N66" s="2422"/>
      <c r="O66" s="2423"/>
      <c r="P66" s="2424"/>
      <c r="Q66" s="2014"/>
      <c r="R66" s="2014"/>
      <c r="S66" s="2014"/>
      <c r="T66" s="2014"/>
      <c r="U66" s="2014"/>
      <c r="V66" s="2014"/>
    </row>
    <row r="67" spans="1:22" ht="25.5" customHeight="1">
      <c r="A67" s="352" t="s">
        <v>390</v>
      </c>
      <c r="B67" s="3332" t="s">
        <v>391</v>
      </c>
      <c r="C67" s="3332"/>
      <c r="D67" s="353">
        <v>0</v>
      </c>
      <c r="E67" s="41" t="s">
        <v>392</v>
      </c>
      <c r="F67" s="62" t="s">
        <v>21</v>
      </c>
      <c r="G67" s="3316"/>
      <c r="H67" s="311"/>
      <c r="I67" s="1288"/>
      <c r="J67" s="2021"/>
      <c r="K67" s="1962">
        <v>2</v>
      </c>
      <c r="L67" s="3288" t="s">
        <v>389</v>
      </c>
      <c r="M67" s="3288"/>
      <c r="N67" s="1321">
        <f>'数据-取费表'!B2</f>
        <v>43676</v>
      </c>
      <c r="O67" s="1321"/>
      <c r="P67" s="1321"/>
      <c r="Q67" s="2014"/>
      <c r="R67" s="2014"/>
      <c r="S67" s="2014"/>
      <c r="T67" s="2014"/>
      <c r="U67" s="2014"/>
      <c r="V67" s="2014"/>
    </row>
    <row r="68" spans="1:22" ht="25.5" customHeight="1">
      <c r="A68" s="354"/>
      <c r="B68" s="3332" t="s">
        <v>394</v>
      </c>
      <c r="C68" s="3332"/>
      <c r="D68" s="355"/>
      <c r="E68" s="77"/>
      <c r="F68" s="356"/>
      <c r="G68" s="3317"/>
      <c r="H68" s="311"/>
      <c r="I68" s="1288"/>
      <c r="J68" s="2021"/>
      <c r="K68" s="1962">
        <v>3</v>
      </c>
      <c r="L68" s="3288" t="s">
        <v>393</v>
      </c>
      <c r="M68" s="3288"/>
      <c r="N68" s="1289">
        <f ca="1">C42</f>
        <v>111618</v>
      </c>
      <c r="O68" s="1289"/>
      <c r="P68" s="1289"/>
      <c r="Q68" s="2014"/>
      <c r="R68" s="2014"/>
      <c r="S68" s="2014"/>
      <c r="T68" s="2014"/>
      <c r="U68" s="2014"/>
      <c r="V68" s="2014"/>
    </row>
    <row r="69" spans="1:22" ht="12" customHeight="1">
      <c r="A69" s="357"/>
      <c r="B69" s="3332" t="s">
        <v>395</v>
      </c>
      <c r="C69" s="3332"/>
      <c r="D69" s="358"/>
      <c r="E69" s="73"/>
      <c r="F69" s="356"/>
      <c r="G69" s="3318"/>
      <c r="H69" s="311"/>
      <c r="I69" s="1288"/>
      <c r="J69" s="2021"/>
      <c r="K69" s="1290">
        <v>4</v>
      </c>
      <c r="L69" s="3294" t="s">
        <v>2883</v>
      </c>
      <c r="M69" s="3295"/>
      <c r="N69" s="1291">
        <f ca="1">C44</f>
        <v>111618</v>
      </c>
      <c r="O69" s="1291"/>
      <c r="P69" s="1291"/>
      <c r="Q69" s="2014"/>
      <c r="R69" s="2014"/>
      <c r="S69" s="2014"/>
      <c r="T69" s="2014"/>
      <c r="U69" s="2014"/>
      <c r="V69" s="2014"/>
    </row>
    <row r="70" spans="1:22" ht="24" customHeight="1">
      <c r="A70" s="359" t="s">
        <v>396</v>
      </c>
      <c r="B70" s="3332" t="s">
        <v>397</v>
      </c>
      <c r="C70" s="3332"/>
      <c r="D70" s="358">
        <f ca="1">ROUND(D63*'数据-取费表'!B41/(1+'数据-取费表'!C42),0)</f>
        <v>3572</v>
      </c>
      <c r="E70" s="17" t="s">
        <v>398</v>
      </c>
      <c r="F70" s="360">
        <f>'数据-取费表'!B41</f>
        <v>5.6000000000000001E-2</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31" t="s">
        <v>405</v>
      </c>
      <c r="C71" s="3343"/>
      <c r="D71" s="358">
        <f ca="1">ROUND(D63*'数据-取费表'!B41/(1+'数据-取费表'!C42),0)</f>
        <v>3572</v>
      </c>
      <c r="E71" s="17" t="s">
        <v>398</v>
      </c>
      <c r="F71" s="360">
        <f>'数据-取费表'!B41</f>
        <v>5.6000000000000001E-2</v>
      </c>
      <c r="G71" s="361"/>
      <c r="H71" s="311"/>
      <c r="I71" s="1288"/>
      <c r="J71" s="2021"/>
      <c r="K71" s="3012" t="s">
        <v>399</v>
      </c>
      <c r="L71" s="3296" t="s">
        <v>400</v>
      </c>
      <c r="M71" s="3296"/>
      <c r="N71" s="3012" t="s">
        <v>401</v>
      </c>
      <c r="O71" s="3012" t="s">
        <v>402</v>
      </c>
      <c r="P71" s="3012" t="s">
        <v>403</v>
      </c>
      <c r="Q71" s="2014"/>
      <c r="R71" s="2014"/>
      <c r="S71" s="2014"/>
      <c r="T71" s="2014"/>
      <c r="U71" s="2014"/>
      <c r="V71" s="2014"/>
    </row>
    <row r="72" spans="1:22" ht="12" customHeight="1">
      <c r="A72" s="359" t="s">
        <v>407</v>
      </c>
      <c r="B72" s="3331" t="s">
        <v>408</v>
      </c>
      <c r="C72" s="3343"/>
      <c r="D72" s="358">
        <f ca="1">C86</f>
        <v>3460</v>
      </c>
      <c r="E72" s="73" t="s">
        <v>409</v>
      </c>
      <c r="F72" s="360">
        <f>'数据-取费表'!B41</f>
        <v>5.6000000000000001E-2</v>
      </c>
      <c r="G72" s="361"/>
      <c r="H72" s="1294"/>
      <c r="I72" s="1288"/>
      <c r="J72" s="2021"/>
      <c r="K72" s="1962">
        <v>1</v>
      </c>
      <c r="L72" s="3293" t="s">
        <v>406</v>
      </c>
      <c r="M72" s="3293"/>
      <c r="N72" s="1292">
        <f ca="1">D66</f>
        <v>3572</v>
      </c>
      <c r="O72" s="1845" t="str">
        <f>E66</f>
        <v>销售额×税（费）率</v>
      </c>
      <c r="P72" s="1293">
        <f>F66</f>
        <v>5.6000000000000001E-2</v>
      </c>
      <c r="Q72" s="2014"/>
      <c r="R72" s="2014"/>
      <c r="S72" s="2014"/>
      <c r="T72" s="2014"/>
      <c r="U72" s="2014"/>
      <c r="V72" s="2014"/>
    </row>
    <row r="73" spans="1:22" ht="24" customHeight="1">
      <c r="A73" s="3319" t="s">
        <v>411</v>
      </c>
      <c r="B73" s="3320"/>
      <c r="C73" s="3320"/>
      <c r="D73" s="362">
        <f>IF(H73="个人住宅",0,ROUND(D63*I73,0))</f>
        <v>0</v>
      </c>
      <c r="E73" s="17" t="s">
        <v>412</v>
      </c>
      <c r="F73" s="360" t="str">
        <f>IF(H73="正常",I73,"免征")</f>
        <v>免征</v>
      </c>
      <c r="G73" s="361"/>
      <c r="H73" s="191" t="s">
        <v>2455</v>
      </c>
      <c r="I73" s="360">
        <f>'数据-取费表'!B49</f>
        <v>5.0000000000000001E-4</v>
      </c>
      <c r="J73" s="2021"/>
      <c r="K73" s="1962">
        <v>2</v>
      </c>
      <c r="L73" s="3293" t="s">
        <v>410</v>
      </c>
      <c r="M73" s="3293"/>
      <c r="N73" s="1292">
        <f t="shared" ref="N73:P74" si="1">D73</f>
        <v>0</v>
      </c>
      <c r="O73" s="1845" t="str">
        <f t="shared" si="1"/>
        <v>销售额×税（费）率</v>
      </c>
      <c r="P73" s="1293" t="str">
        <f t="shared" si="1"/>
        <v>免征</v>
      </c>
      <c r="Q73" s="2014"/>
      <c r="R73" s="2014"/>
      <c r="S73" s="2014"/>
      <c r="T73" s="2014"/>
      <c r="U73" s="2014"/>
      <c r="V73" s="2014"/>
    </row>
    <row r="74" spans="1:22" ht="25.2">
      <c r="A74" s="3319" t="s">
        <v>415</v>
      </c>
      <c r="B74" s="3320"/>
      <c r="C74" s="3320"/>
      <c r="D74" s="362">
        <f ca="1">IF(H74="个人住宅",D75,D76)</f>
        <v>37250</v>
      </c>
      <c r="E74" s="17" t="s">
        <v>416</v>
      </c>
      <c r="F74" s="360" t="str">
        <f>IF(H74="正常",F76,"免征")</f>
        <v>——</v>
      </c>
      <c r="G74" s="983" t="s">
        <v>417</v>
      </c>
      <c r="H74" s="363" t="s">
        <v>413</v>
      </c>
      <c r="I74" s="42"/>
      <c r="J74" s="2021"/>
      <c r="K74" s="1962">
        <v>3</v>
      </c>
      <c r="L74" s="3293" t="s">
        <v>414</v>
      </c>
      <c r="M74" s="3293"/>
      <c r="N74" s="1292">
        <f t="shared" ca="1" si="1"/>
        <v>37250</v>
      </c>
      <c r="O74" s="1845" t="str">
        <f t="shared" si="1"/>
        <v>增值额×税（费）率</v>
      </c>
      <c r="P74" s="1295" t="str">
        <f t="shared" si="1"/>
        <v>——</v>
      </c>
      <c r="Q74" s="2014"/>
      <c r="R74" s="2014"/>
      <c r="S74" s="2014"/>
      <c r="T74" s="2014"/>
      <c r="U74" s="2014"/>
      <c r="V74" s="2014"/>
    </row>
    <row r="75" spans="1:22" ht="24">
      <c r="A75" s="359" t="s">
        <v>418</v>
      </c>
      <c r="B75" s="3300" t="s">
        <v>419</v>
      </c>
      <c r="C75" s="3301"/>
      <c r="D75" s="364">
        <v>0</v>
      </c>
      <c r="E75" s="41" t="s">
        <v>420</v>
      </c>
      <c r="F75" s="365"/>
      <c r="G75" s="361"/>
      <c r="H75" s="42"/>
      <c r="I75" s="42"/>
      <c r="J75" s="2021"/>
      <c r="K75" s="3005">
        <f>IF(H77="非个人房产","",4)</f>
        <v>4</v>
      </c>
      <c r="L75" s="3293" t="str">
        <f>IF(H77="非个人房产","——","个人所得税")</f>
        <v>个人所得税</v>
      </c>
      <c r="M75" s="3293"/>
      <c r="N75" s="1296">
        <f ca="1">D77</f>
        <v>670</v>
      </c>
      <c r="O75" s="1858" t="str">
        <f>E77</f>
        <v>销售额×税（费）率</v>
      </c>
      <c r="P75" s="1297">
        <f>F77</f>
        <v>0.01</v>
      </c>
      <c r="Q75" s="2014"/>
      <c r="R75" s="2014"/>
      <c r="S75" s="2014"/>
      <c r="T75" s="2014"/>
      <c r="U75" s="2014"/>
      <c r="V75" s="2014"/>
    </row>
    <row r="76" spans="1:22" ht="25.2">
      <c r="A76" s="359" t="s">
        <v>396</v>
      </c>
      <c r="B76" s="3300" t="s">
        <v>422</v>
      </c>
      <c r="C76" s="3342"/>
      <c r="D76" s="362">
        <f ca="1">IF(H76="转让取得",C99,C115)</f>
        <v>37250</v>
      </c>
      <c r="E76" s="17" t="s">
        <v>423</v>
      </c>
      <c r="F76" s="53" t="s">
        <v>21</v>
      </c>
      <c r="G76" s="361"/>
      <c r="H76" s="363" t="s">
        <v>424</v>
      </c>
      <c r="I76" s="42"/>
      <c r="J76" s="2021"/>
      <c r="K76" s="3005" t="str">
        <f>IF(项目基本情况!K6="上海银行",IF(K75="",4,K75+1),"")</f>
        <v/>
      </c>
      <c r="L76" s="3281" t="str">
        <f>IF(项目基本情况!K6="上海银行","其他处置费用","")</f>
        <v/>
      </c>
      <c r="M76" s="3282"/>
      <c r="N76" s="1292" t="str">
        <f>IF(项目基本情况!K6="上海银行",N89,"")</f>
        <v/>
      </c>
      <c r="O76" s="3283" t="str">
        <f>IF(项目基本情况!K6="上海银行","包含处置中涉及的律师、诉讼、拍卖、评估等费用","")</f>
        <v/>
      </c>
      <c r="P76" s="3284"/>
      <c r="Q76" s="2014"/>
      <c r="R76" s="2014"/>
      <c r="S76" s="2014"/>
      <c r="T76" s="2014"/>
      <c r="U76" s="2014"/>
      <c r="V76" s="2014"/>
    </row>
    <row r="77" spans="1:22" ht="27" thickBot="1">
      <c r="A77" s="3311" t="s">
        <v>426</v>
      </c>
      <c r="B77" s="3312"/>
      <c r="C77" s="3312"/>
      <c r="D77" s="366">
        <f ca="1">IF(H77="非个人房产","——",IF(H77="个人住宅",0,ROUND(D63*I77,0)))</f>
        <v>670</v>
      </c>
      <c r="E77" s="367" t="str">
        <f>IF(H77="非个人房产","——","销售额×税（费）率")</f>
        <v>销售额×税（费）率</v>
      </c>
      <c r="F77" s="368">
        <f>IF(H77="非个人房产","——",IF(H77="个人住宅","免征",I77))</f>
        <v>0.01</v>
      </c>
      <c r="G77" s="984" t="s">
        <v>417</v>
      </c>
      <c r="H77" s="363" t="s">
        <v>2884</v>
      </c>
      <c r="I77" s="369">
        <v>0.01</v>
      </c>
      <c r="J77" s="2021"/>
      <c r="K77" s="3307">
        <f>IF(AND(K75="",K76=""),4,IF(项目基本情况!K6="上海银行",K76+1,K75+1))</f>
        <v>5</v>
      </c>
      <c r="L77" s="3293" t="s">
        <v>2885</v>
      </c>
      <c r="M77" s="3011" t="s">
        <v>421</v>
      </c>
      <c r="N77" s="1298"/>
      <c r="O77" s="1299">
        <f ca="1">SUMIF(N72:N76,"&lt;9e307")</f>
        <v>41492</v>
      </c>
      <c r="P77" s="1300"/>
      <c r="Q77" s="3009">
        <f ca="1">O77/N69</f>
        <v>0.37173215789567993</v>
      </c>
      <c r="R77" s="2014"/>
      <c r="S77" s="2014"/>
      <c r="T77" s="2014"/>
      <c r="U77" s="2014"/>
      <c r="V77" s="2014"/>
    </row>
    <row r="78" spans="1:22" ht="12" customHeight="1">
      <c r="A78" s="1301"/>
      <c r="B78" s="311"/>
      <c r="C78" s="311"/>
      <c r="D78" s="311"/>
      <c r="E78" s="42"/>
      <c r="F78" s="42"/>
      <c r="G78" s="42"/>
      <c r="H78" s="1003"/>
      <c r="I78" s="311"/>
      <c r="J78" s="2021"/>
      <c r="K78" s="3307"/>
      <c r="L78" s="3293"/>
      <c r="M78" s="3011" t="s">
        <v>425</v>
      </c>
      <c r="N78" s="1298"/>
      <c r="O78" s="1299" t="str">
        <f ca="1">NUMBERSTRING(INT(O77*10000),2)&amp;"元整"</f>
        <v>肆亿壹仟肆佰玖拾贰万元整</v>
      </c>
      <c r="P78" s="1300"/>
      <c r="Q78" s="2014"/>
      <c r="R78" s="2014"/>
      <c r="S78" s="2014"/>
      <c r="T78" s="2014"/>
      <c r="U78" s="2014"/>
      <c r="V78" s="2014"/>
    </row>
    <row r="79" spans="1:22" ht="13.8" thickBot="1">
      <c r="A79" s="3297" t="s">
        <v>427</v>
      </c>
      <c r="B79" s="3297"/>
      <c r="C79" s="3297"/>
      <c r="D79" s="3297"/>
      <c r="E79" s="3297"/>
      <c r="F79" s="42"/>
      <c r="G79" s="42"/>
      <c r="H79" s="1003"/>
      <c r="I79" s="311"/>
      <c r="J79" s="2021"/>
      <c r="K79" s="3291">
        <f>K77+1</f>
        <v>6</v>
      </c>
      <c r="L79" s="3293" t="s">
        <v>2886</v>
      </c>
      <c r="M79" s="3011" t="s">
        <v>421</v>
      </c>
      <c r="N79" s="1298"/>
      <c r="O79" s="1299">
        <f ca="1">N69-O77</f>
        <v>70126</v>
      </c>
      <c r="P79" s="1300"/>
      <c r="Q79" s="2014"/>
      <c r="R79" s="2014"/>
      <c r="S79" s="2014"/>
      <c r="T79" s="2014"/>
      <c r="U79" s="2014"/>
      <c r="V79" s="2014"/>
    </row>
    <row r="80" spans="1:22" ht="26.4">
      <c r="A80" s="3298" t="s">
        <v>428</v>
      </c>
      <c r="B80" s="3299"/>
      <c r="C80" s="994"/>
      <c r="D80" s="994" t="s">
        <v>429</v>
      </c>
      <c r="E80" s="370" t="s">
        <v>430</v>
      </c>
      <c r="F80" s="42"/>
      <c r="G80" s="42"/>
      <c r="H80" s="1003"/>
      <c r="I80" s="311"/>
      <c r="J80" s="2014"/>
      <c r="K80" s="3292"/>
      <c r="L80" s="3293"/>
      <c r="M80" s="3011" t="s">
        <v>425</v>
      </c>
      <c r="N80" s="1298"/>
      <c r="O80" s="1299" t="str">
        <f ca="1">NUMBERSTRING(INT(O79*10000),2)&amp;"元整"</f>
        <v>柒亿零壹佰贰拾陆万元整</v>
      </c>
      <c r="P80" s="1300"/>
      <c r="Q80" s="2014"/>
      <c r="R80" s="2014"/>
      <c r="S80" s="2014"/>
      <c r="T80" s="2014"/>
      <c r="U80" s="2014"/>
      <c r="V80" s="2014"/>
    </row>
    <row r="81" spans="1:26" ht="13.8" thickBot="1">
      <c r="A81" s="381" t="s">
        <v>1823</v>
      </c>
      <c r="B81" s="371" t="s">
        <v>431</v>
      </c>
      <c r="C81" s="372">
        <f ca="1">ROUND((C82+C83)/(1+'数据-取费表'!C42),0)</f>
        <v>63782</v>
      </c>
      <c r="D81" s="373"/>
      <c r="E81" s="374"/>
      <c r="F81" s="42"/>
      <c r="G81" s="42"/>
      <c r="H81" s="1003"/>
      <c r="I81" s="311"/>
      <c r="J81" s="2014"/>
      <c r="K81" s="3005">
        <f>K79+1</f>
        <v>7</v>
      </c>
      <c r="L81" s="3305" t="s">
        <v>2887</v>
      </c>
      <c r="M81" s="3306"/>
      <c r="N81" s="1302"/>
      <c r="O81" s="1303">
        <f ca="1">ROUND(O79*10000/'数据-汇总表'!E3,0)</f>
        <v>3667</v>
      </c>
      <c r="P81" s="1304"/>
      <c r="Q81" s="2014"/>
      <c r="R81" s="2014"/>
      <c r="S81" s="2014"/>
      <c r="T81" s="2014"/>
      <c r="U81" s="2014"/>
      <c r="V81" s="2014"/>
    </row>
    <row r="82" spans="1:26" ht="13.8" thickTop="1">
      <c r="A82" s="375" t="s">
        <v>1824</v>
      </c>
      <c r="B82" s="376" t="s">
        <v>432</v>
      </c>
      <c r="C82" s="377">
        <f ca="1">D63</f>
        <v>66971</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280" t="s">
        <v>2874</v>
      </c>
      <c r="L83" s="3017" t="s">
        <v>2875</v>
      </c>
      <c r="M83" s="3007">
        <f ca="1">IF(N69&gt;10000,N69*0.5%,IF(AND(N69&gt;1000,N69&lt;=10000),N69*1%,IF(AND(N69&gt;100,N69&lt;=1000),N69*3%,IF(AND(N69&gt;10,N69&lt;=100),N69*5%,N69*8%))))</f>
        <v>558.09</v>
      </c>
      <c r="N83" s="53">
        <f ca="1">ROUND(M83,1)</f>
        <v>558.1</v>
      </c>
      <c r="O83" s="3010"/>
      <c r="P83" s="2014"/>
      <c r="Q83" s="2014"/>
      <c r="R83" s="2014"/>
      <c r="S83" s="2014"/>
      <c r="T83" s="2014"/>
      <c r="U83" s="2014"/>
      <c r="V83" s="2014"/>
    </row>
    <row r="84" spans="1:26" ht="25.2">
      <c r="A84" s="381" t="s">
        <v>1826</v>
      </c>
      <c r="B84" s="382" t="s">
        <v>434</v>
      </c>
      <c r="C84" s="383">
        <v>2000</v>
      </c>
      <c r="D84" s="384" t="s">
        <v>19</v>
      </c>
      <c r="E84" s="3052" t="s">
        <v>2942</v>
      </c>
      <c r="F84" s="42"/>
      <c r="G84" s="42"/>
      <c r="H84" s="1003"/>
      <c r="I84" s="311"/>
      <c r="J84" s="2014"/>
      <c r="K84" s="3280"/>
      <c r="L84" s="3017" t="s">
        <v>2876</v>
      </c>
      <c r="M84" s="3007">
        <f ca="1">IF(N69&gt;2000,N69*0.5%,IF(AND(N69&gt;1000,N69&lt;=2000),N69*0.6%,IF(AND(N69&gt;500,N69&lt;=1000),N69*0.7%,IF(AND(N69&gt;200,N69&lt;=500),N69*0.8%,IF(AND(N69&gt;100,N69&lt;=200),N69*0.9%,IF(AND(N69&gt;50,N69&lt;=100),N69*1%,IF(AND(N69&gt;20,N69&lt;=50),N69*1.5%,IF(AND(N69&gt;10,N69&lt;=20),N69*2%,IF(AND(N69&gt;1,N69&lt;=10),N69*2.5%)))))))))</f>
        <v>558.09</v>
      </c>
      <c r="N84" s="53">
        <f t="shared" ref="N84:N85" ca="1" si="2">ROUND(M84,1)</f>
        <v>558.1</v>
      </c>
      <c r="O84" s="2014" t="s">
        <v>2877</v>
      </c>
      <c r="P84" s="2014"/>
      <c r="Q84" s="2014"/>
      <c r="R84" s="2014"/>
      <c r="S84" s="2014"/>
      <c r="T84" s="2014"/>
      <c r="U84" s="2014"/>
      <c r="V84" s="2014"/>
    </row>
    <row r="85" spans="1:26" ht="13.2">
      <c r="A85" s="381" t="s">
        <v>1827</v>
      </c>
      <c r="B85" s="382" t="s">
        <v>435</v>
      </c>
      <c r="C85" s="385">
        <f ca="1">C81-C84</f>
        <v>61782</v>
      </c>
      <c r="D85" s="378" t="s">
        <v>19</v>
      </c>
      <c r="E85" s="379"/>
      <c r="F85" s="42"/>
      <c r="G85" s="42"/>
      <c r="H85" s="1003"/>
      <c r="I85" s="311"/>
      <c r="J85" s="2014"/>
      <c r="K85" s="3280"/>
      <c r="L85" s="3017" t="s">
        <v>2878</v>
      </c>
      <c r="M85" s="3007">
        <f ca="1">IF(N69&gt;1000,N69*0.1%,IF(AND(N69&gt;500,N69&lt;=1000),N69*0.5%,IF(AND(N69&gt;50,N69&lt;=500),N69*1%,IF(AND(N69&gt;1,N69&lt;=50),N69*1.5%))))</f>
        <v>111.61800000000001</v>
      </c>
      <c r="N85" s="53">
        <f t="shared" ca="1" si="2"/>
        <v>111.6</v>
      </c>
      <c r="O85" s="2014" t="s">
        <v>2877</v>
      </c>
      <c r="P85" s="2014"/>
      <c r="Q85" s="2014"/>
      <c r="R85" s="2014"/>
      <c r="S85" s="2014"/>
      <c r="T85" s="2014"/>
      <c r="U85" s="2014"/>
      <c r="V85" s="2014"/>
    </row>
    <row r="86" spans="1:26" ht="13.8" thickBot="1">
      <c r="A86" s="386" t="s">
        <v>1828</v>
      </c>
      <c r="B86" s="387" t="s">
        <v>436</v>
      </c>
      <c r="C86" s="388">
        <f ca="1">IF(C85&lt;=0,0,ROUND(C85*D86,0))</f>
        <v>3460</v>
      </c>
      <c r="D86" s="389">
        <f>'数据-取费表'!B41</f>
        <v>5.6000000000000001E-2</v>
      </c>
      <c r="E86" s="390"/>
      <c r="F86" s="42"/>
      <c r="G86" s="42"/>
      <c r="H86" s="1003"/>
      <c r="I86" s="311"/>
      <c r="J86" s="2014"/>
      <c r="K86" s="3280"/>
      <c r="L86" s="3017" t="s">
        <v>2879</v>
      </c>
      <c r="M86" s="3007">
        <f ca="1">N69*0.5%</f>
        <v>558.09</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0"/>
      <c r="L87" s="3017" t="s">
        <v>2881</v>
      </c>
      <c r="M87" s="3007">
        <f ca="1">IF(N69&gt;=10000,(8.25+(N69-10000)*0.01%),IF(AND(N69&gt;=8000,N69&lt;10000),(7.85+(N69-8000)*0.02%),IF(AND(N69&gt;=5000,N69&lt;8000),(6.65+(N69-5000)*0.04%),IF(AND(N69&gt;=2000,N69&lt;5000),(4.25+(PN69-2000)*0.08%),IF(AND(N69&gt;=1000,N69&lt;2000),(2.75+(N69-1000)*0.15%),IF(AND(N69&gt;=100,N69&lt;1000),(0.5+(N69-100)*0.25%),IF(AND(N69&gt;0,N69&lt;100),N69*0.5%)))))))</f>
        <v>18.411799999999999</v>
      </c>
      <c r="N87" s="53">
        <f ca="1">ROUND(M87*0.9,1)</f>
        <v>16.600000000000001</v>
      </c>
      <c r="O87" s="3010"/>
      <c r="P87" s="311"/>
      <c r="Q87" s="2014"/>
      <c r="R87" s="2014"/>
      <c r="S87" s="2014"/>
      <c r="T87" s="2014"/>
      <c r="U87" s="2014"/>
      <c r="V87" s="2014"/>
      <c r="W87" s="292"/>
      <c r="X87" s="292"/>
      <c r="Y87" s="292"/>
      <c r="Z87" s="292"/>
    </row>
    <row r="88" spans="1:26" s="1310" customFormat="1" ht="14.4" thickBot="1">
      <c r="A88" s="3334" t="s">
        <v>437</v>
      </c>
      <c r="B88" s="3335"/>
      <c r="C88" s="3335"/>
      <c r="D88" s="3335"/>
      <c r="E88" s="3335"/>
      <c r="F88" s="3335"/>
      <c r="G88" s="3335"/>
      <c r="H88" s="3335"/>
      <c r="I88" s="1311"/>
      <c r="J88" s="2022"/>
      <c r="K88" s="3280"/>
      <c r="L88" s="3017" t="s">
        <v>2882</v>
      </c>
      <c r="M88" s="3007">
        <f ca="1">IF(N69&gt;10000,N69*0.5%,IF(AND(N69&gt;5000,N69&lt;=10000),N69*1%,IF(AND(N69&gt;1000,N69&lt;=5000),N69*2%,IF(AND(N69&gt;200,N69&lt;=1000),N69*3%,N69*5%))))</f>
        <v>558.09</v>
      </c>
      <c r="N88" s="53">
        <f ca="1">ROUND(M88,1)</f>
        <v>558.1</v>
      </c>
      <c r="O88" s="3010"/>
      <c r="P88" s="11"/>
      <c r="Q88" s="2019"/>
      <c r="R88" s="2019"/>
      <c r="S88" s="2019"/>
      <c r="T88" s="2019"/>
      <c r="U88" s="2019"/>
      <c r="V88" s="2019"/>
      <c r="W88" s="2023"/>
      <c r="X88" s="2023"/>
      <c r="Y88" s="2023"/>
      <c r="Z88" s="2023"/>
    </row>
    <row r="89" spans="1:26" s="1310" customFormat="1" ht="13.8">
      <c r="A89" s="3298" t="s">
        <v>428</v>
      </c>
      <c r="B89" s="3299"/>
      <c r="C89" s="994"/>
      <c r="D89" s="994" t="s">
        <v>429</v>
      </c>
      <c r="E89" s="391" t="s">
        <v>438</v>
      </c>
      <c r="F89" s="392"/>
      <c r="G89" s="392"/>
      <c r="H89" s="393"/>
      <c r="I89" s="1312"/>
      <c r="J89" s="2024"/>
      <c r="K89" s="3280"/>
      <c r="L89" s="3017" t="s">
        <v>27</v>
      </c>
      <c r="M89" s="3008"/>
      <c r="N89" s="53">
        <f ca="1">ROUND(SUM(N83:N88),0)</f>
        <v>1803</v>
      </c>
      <c r="O89" s="3018">
        <f ca="1">N89/N69</f>
        <v>1.6153308606138794E-2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63782</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2944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1" t="s">
        <v>447</v>
      </c>
      <c r="F94" s="3332"/>
      <c r="G94" s="3332"/>
      <c r="H94" s="333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383</v>
      </c>
      <c r="D96" s="406">
        <f>'数据-取费表'!B43</f>
        <v>6.000000000000001E-3</v>
      </c>
      <c r="E96" s="3321" t="s">
        <v>2428</v>
      </c>
      <c r="F96" s="3322"/>
      <c r="G96" s="3322"/>
      <c r="H96" s="332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60838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20.665081521739129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35472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4" t="s">
        <v>454</v>
      </c>
      <c r="B101" s="3335"/>
      <c r="C101" s="3335"/>
      <c r="D101" s="3335"/>
      <c r="E101" s="3335"/>
      <c r="F101" s="3335"/>
      <c r="G101" s="3335"/>
      <c r="H101" s="333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298" t="s">
        <v>428</v>
      </c>
      <c r="B102" s="329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63782</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1073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4" t="s">
        <v>462</v>
      </c>
      <c r="F109" s="3322"/>
      <c r="G109" s="332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4" t="s">
        <v>464</v>
      </c>
      <c r="F110" s="3322"/>
      <c r="G110" s="3322"/>
      <c r="H110" s="332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383</v>
      </c>
      <c r="D111" s="406">
        <f>'数据-取费表'!B43</f>
        <v>6.000000000000001E-3</v>
      </c>
      <c r="E111" s="3321" t="s">
        <v>2428</v>
      </c>
      <c r="F111" s="3322"/>
      <c r="G111" s="3322"/>
      <c r="H111" s="332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4" t="s">
        <v>2453</v>
      </c>
      <c r="F112" s="3322"/>
      <c r="G112" s="3322"/>
      <c r="H112" s="332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62709</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58.442684063373719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37250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9" sqref="C19"/>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4"/>
      <c r="C1" s="2090"/>
      <c r="D1" s="2090"/>
      <c r="E1" s="2090"/>
      <c r="F1" s="2090"/>
      <c r="G1" s="2090"/>
      <c r="H1" s="2090"/>
      <c r="I1" s="2090"/>
      <c r="J1" s="2090"/>
      <c r="K1" s="422">
        <f>MATCH(B1,'数据-取费表'!A6:A16,0)+5</f>
        <v>8</v>
      </c>
    </row>
    <row r="2" spans="1:31" s="2027" customFormat="1" ht="18" customHeight="1">
      <c r="A2" s="2087" t="s">
        <v>467</v>
      </c>
      <c r="B2" s="2091">
        <f ca="1">C36</f>
        <v>93449</v>
      </c>
      <c r="C2" s="2090"/>
      <c r="D2" s="2090"/>
      <c r="E2" s="2090"/>
      <c r="F2" s="2090"/>
      <c r="G2" s="2090"/>
      <c r="H2" s="2090"/>
      <c r="I2" s="2090"/>
      <c r="J2" s="2090"/>
      <c r="K2" s="2090"/>
    </row>
    <row r="3" spans="1:31" s="2027" customFormat="1" ht="18" customHeight="1">
      <c r="A3" s="2092" t="s">
        <v>1684</v>
      </c>
      <c r="B3" s="2093">
        <f ca="1">ROUND(B2*10000/IF(B1="",'数据-汇总表'!E3,INDIRECT("'数据-取费表'!K"&amp;$K$1)),0)</f>
        <v>4887</v>
      </c>
      <c r="C3" s="2090"/>
      <c r="D3" s="2090"/>
      <c r="E3" s="2090"/>
      <c r="F3" s="2090"/>
      <c r="G3" s="2090"/>
      <c r="H3" s="2090"/>
      <c r="I3" s="2090"/>
      <c r="J3" s="2090"/>
      <c r="K3" s="2090"/>
    </row>
    <row r="4" spans="1:31" s="2027" customFormat="1" ht="18" customHeight="1">
      <c r="A4" s="426" t="s">
        <v>468</v>
      </c>
      <c r="B4" s="427">
        <f ca="1">ROUND(B2*10000/IF(B1="",'数据-汇总表'!D3,INDIRECT("'数据-取费表'!R"&amp;$K$1)),0)</f>
        <v>6103</v>
      </c>
      <c r="C4" s="428"/>
      <c r="D4" s="422"/>
      <c r="E4" s="422"/>
      <c r="F4" s="422"/>
      <c r="G4" s="422"/>
      <c r="H4" s="422"/>
      <c r="I4" s="422"/>
      <c r="J4" s="422"/>
      <c r="K4" s="422"/>
    </row>
    <row r="5" spans="1:31" s="2027" customFormat="1" ht="18" customHeight="1" thickBot="1">
      <c r="A5" s="429"/>
      <c r="B5" s="430">
        <f ca="1">ROUND(B2/(IF(B1="",'数据-汇总表'!D3,INDIRECT("'数据-取费表'!R"&amp;$K$1))/666.67),0)</f>
        <v>407</v>
      </c>
      <c r="C5" s="431" t="s">
        <v>469</v>
      </c>
      <c r="D5" s="422"/>
      <c r="E5" s="422"/>
      <c r="F5" s="422"/>
      <c r="G5" s="422"/>
      <c r="H5" s="422"/>
      <c r="I5" s="422"/>
      <c r="J5" s="422"/>
      <c r="K5" s="422"/>
    </row>
    <row r="6" spans="1:31" s="2097" customFormat="1" ht="16.5" customHeight="1">
      <c r="A6" s="2783" t="s">
        <v>1842</v>
      </c>
      <c r="B6" s="2784"/>
      <c r="C6" s="2785">
        <f ca="1">SUM(C10:K10)</f>
        <v>223504</v>
      </c>
      <c r="D6" s="2784"/>
      <c r="E6" s="2784"/>
      <c r="F6" s="2784"/>
      <c r="G6" s="2784"/>
      <c r="H6" s="2784"/>
      <c r="I6" s="2784"/>
      <c r="J6" s="2784"/>
      <c r="K6" s="2786"/>
    </row>
    <row r="7" spans="1:31" s="2099" customFormat="1" ht="14.4">
      <c r="A7" s="2787" t="s">
        <v>470</v>
      </c>
      <c r="B7" s="2788" t="s">
        <v>471</v>
      </c>
      <c r="C7" s="436" t="s">
        <v>923</v>
      </c>
      <c r="D7" s="436" t="s">
        <v>3006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9">
        <f>'不动产比较法-住宅'!C49</f>
        <v>14439</v>
      </c>
      <c r="D8" s="2789">
        <f ca="1">不动产收益法!B3</f>
        <v>3745</v>
      </c>
      <c r="E8" s="2789"/>
      <c r="F8" s="2789"/>
      <c r="G8" s="2789"/>
      <c r="H8" s="2789"/>
      <c r="I8" s="2789"/>
      <c r="J8" s="2789"/>
      <c r="K8" s="2790"/>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145145.79999999999</v>
      </c>
      <c r="D9" s="441">
        <f>SUMIF('数据-汇总表'!$C19:$C33,'剩余法-待开发'!D7,'数据-汇总表'!$E19:$E33)</f>
        <v>37187.1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1" t="s">
        <v>1847</v>
      </c>
      <c r="B10" s="2777" t="s">
        <v>474</v>
      </c>
      <c r="C10" s="2981">
        <f>'不动产比较法-住宅'!B2</f>
        <v>209576</v>
      </c>
      <c r="D10" s="2981">
        <f ca="1">不动产收益法!B2</f>
        <v>13928</v>
      </c>
      <c r="E10" s="2981"/>
      <c r="F10" s="2792"/>
      <c r="G10" s="2792"/>
      <c r="H10" s="2792"/>
      <c r="I10" s="2792"/>
      <c r="J10" s="2792"/>
      <c r="K10" s="2793"/>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4" t="s">
        <v>1843</v>
      </c>
      <c r="B11" s="2784"/>
      <c r="C11" s="2784"/>
      <c r="D11" s="2784"/>
      <c r="E11" s="2784"/>
      <c r="F11" s="2784"/>
      <c r="G11" s="2784"/>
      <c r="H11" s="2784"/>
      <c r="I11" s="2784"/>
      <c r="J11" s="2784"/>
      <c r="K11" s="2786"/>
    </row>
    <row r="12" spans="1:31" s="2071" customFormat="1" ht="13.5" customHeight="1">
      <c r="A12" s="2795" t="s">
        <v>470</v>
      </c>
      <c r="B12" s="2767" t="s">
        <v>471</v>
      </c>
      <c r="C12" s="2796" t="s">
        <v>475</v>
      </c>
      <c r="D12" s="2763" t="s">
        <v>476</v>
      </c>
      <c r="E12" s="2763" t="s">
        <v>477</v>
      </c>
      <c r="F12" s="2763" t="s">
        <v>478</v>
      </c>
      <c r="G12" s="2767"/>
      <c r="H12" s="2768"/>
      <c r="I12" s="2768"/>
      <c r="J12" s="2768"/>
      <c r="K12" s="2769"/>
    </row>
    <row r="13" spans="1:31" s="2102" customFormat="1" ht="13.5" customHeight="1">
      <c r="A13" s="2797" t="s">
        <v>1848</v>
      </c>
      <c r="B13" s="2798" t="s">
        <v>479</v>
      </c>
      <c r="C13" s="450">
        <f ca="1">IF(B1="",'数据-取费表'!P16,INDIRECT("'数据-取费表'!p"&amp;$K$1)+INDIRECT("'数据-取费表'!t"&amp;$K$1))</f>
        <v>57009</v>
      </c>
      <c r="D13" s="2799"/>
      <c r="E13" s="2800"/>
      <c r="F13" s="2801"/>
      <c r="G13" s="2767"/>
      <c r="H13" s="2768"/>
      <c r="I13" s="2768"/>
      <c r="J13" s="2768"/>
      <c r="K13" s="2769"/>
    </row>
    <row r="14" spans="1:31" s="2102" customFormat="1" ht="13.5" customHeight="1">
      <c r="A14" s="2797" t="s">
        <v>1849</v>
      </c>
      <c r="B14" s="2798" t="s">
        <v>480</v>
      </c>
      <c r="C14" s="53">
        <f ca="1">ROUND(C13*F14,0)</f>
        <v>2850</v>
      </c>
      <c r="D14" s="2799"/>
      <c r="E14" s="2800"/>
      <c r="F14" s="2802">
        <f>'数据-取费表'!B33</f>
        <v>0.05</v>
      </c>
      <c r="G14" s="2767" t="s">
        <v>481</v>
      </c>
      <c r="H14" s="2768"/>
      <c r="I14" s="2768"/>
      <c r="J14" s="2768"/>
      <c r="K14" s="2769"/>
    </row>
    <row r="15" spans="1:31" s="2102" customFormat="1" ht="13.5" customHeight="1">
      <c r="A15" s="2797" t="s">
        <v>1850</v>
      </c>
      <c r="B15" s="2798" t="s">
        <v>482</v>
      </c>
      <c r="C15" s="53">
        <f ca="1">ROUND(IF(B1="",SUMIF('数据-取费表'!C:C,"住宅",'数据-取费表'!P:P)*F15,IF(INDIRECT("'数据-取费表'!c"&amp;$K$1)="住宅",INDIRECT("'数据-取费表'!P"&amp;$K$1)*F15,0)),0)</f>
        <v>2177</v>
      </c>
      <c r="D15" s="2799"/>
      <c r="E15" s="2800"/>
      <c r="F15" s="2802">
        <f>'数据-取费表'!B34</f>
        <v>0.05</v>
      </c>
      <c r="G15" s="2767" t="s">
        <v>483</v>
      </c>
      <c r="H15" s="2768"/>
      <c r="I15" s="2768"/>
      <c r="J15" s="2768"/>
      <c r="K15" s="2769"/>
    </row>
    <row r="16" spans="1:31" s="2103" customFormat="1" ht="13.5" customHeight="1">
      <c r="A16" s="2797" t="s">
        <v>1851</v>
      </c>
      <c r="B16" s="2798" t="s">
        <v>484</v>
      </c>
      <c r="C16" s="53">
        <f ca="1">ROUND(D16*E16/10000,0)</f>
        <v>3824</v>
      </c>
      <c r="D16" s="2799">
        <f ca="1">IF(B1="",'数据-汇总表'!E3,INDIRECT("'数据-取费表'!K"&amp;$K$1)+INDIRECT("'数据-取费表'!S"&amp;$K$1))</f>
        <v>191218.19999999998</v>
      </c>
      <c r="E16" s="53">
        <f>'数据-取费表'!B35</f>
        <v>200</v>
      </c>
      <c r="F16" s="2802"/>
      <c r="G16" s="2767"/>
      <c r="H16" s="2768"/>
      <c r="I16" s="2768"/>
      <c r="J16" s="2768"/>
      <c r="K16" s="2769"/>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7" t="s">
        <v>1852</v>
      </c>
      <c r="B17" s="2798" t="s">
        <v>485</v>
      </c>
      <c r="C17" s="2803">
        <f ca="1">ROUND(C13*F17,0)</f>
        <v>855</v>
      </c>
      <c r="D17" s="475"/>
      <c r="E17" s="2803"/>
      <c r="F17" s="2804">
        <f>'数据-取费表'!B36</f>
        <v>1.4999999999999999E-2</v>
      </c>
      <c r="G17" s="261" t="s">
        <v>486</v>
      </c>
      <c r="H17" s="2770"/>
      <c r="I17" s="2770"/>
      <c r="J17" s="2770"/>
      <c r="K17" s="279"/>
    </row>
    <row r="18" spans="1:14" s="2102" customFormat="1" ht="13.5" customHeight="1">
      <c r="A18" s="2805" t="s">
        <v>1853</v>
      </c>
      <c r="B18" s="2806" t="s">
        <v>487</v>
      </c>
      <c r="C18" s="2807">
        <f ca="1">SUM(C13:C17)</f>
        <v>66715</v>
      </c>
      <c r="D18" s="2808"/>
      <c r="E18" s="468"/>
      <c r="F18" s="468"/>
      <c r="G18" s="2771" t="s">
        <v>2430</v>
      </c>
      <c r="H18" s="2772"/>
      <c r="I18" s="2772"/>
      <c r="J18" s="2772"/>
      <c r="K18" s="2773"/>
    </row>
    <row r="19" spans="1:14" s="2102" customFormat="1" ht="13.5" customHeight="1">
      <c r="A19" s="2805" t="s">
        <v>1854</v>
      </c>
      <c r="B19" s="2806" t="s">
        <v>488</v>
      </c>
      <c r="C19" s="2763">
        <f ca="1">ROUND(D19*E19/10000,0)</f>
        <v>3442</v>
      </c>
      <c r="D19" s="2809">
        <f ca="1">D16</f>
        <v>191218.19999999998</v>
      </c>
      <c r="E19" s="2763">
        <f>'数据-取费表'!B32</f>
        <v>180</v>
      </c>
      <c r="F19" s="468"/>
      <c r="G19" s="2767" t="s">
        <v>489</v>
      </c>
      <c r="H19" s="2768"/>
      <c r="I19" s="2772"/>
      <c r="J19" s="2772"/>
      <c r="K19" s="2773"/>
    </row>
    <row r="20" spans="1:14" s="2102" customFormat="1" ht="13.5" customHeight="1">
      <c r="A20" s="2805" t="s">
        <v>1855</v>
      </c>
      <c r="B20" s="2806" t="s">
        <v>490</v>
      </c>
      <c r="C20" s="2763">
        <f ca="1">C21+C22-IF(B1="",'数据-取费表'!B29,IF(G20="已全部缴纳",C21+C22,H20))</f>
        <v>1951</v>
      </c>
      <c r="D20" s="2809"/>
      <c r="E20" s="2763"/>
      <c r="F20" s="2810"/>
      <c r="G20" s="3040"/>
      <c r="H20" s="2765"/>
      <c r="I20" s="2766" t="s">
        <v>2651</v>
      </c>
      <c r="J20" s="2772"/>
      <c r="K20" s="2773"/>
    </row>
    <row r="21" spans="1:14" s="2102" customFormat="1" ht="13.5" customHeight="1">
      <c r="A21" s="2797" t="s">
        <v>1856</v>
      </c>
      <c r="B21" s="2798" t="s">
        <v>491</v>
      </c>
      <c r="C21" s="53">
        <f ca="1">ROUND(D21*E21/10000,0)</f>
        <v>1306</v>
      </c>
      <c r="D21" s="2799">
        <f ca="1">IF(B1="",'数据-汇总表'!E5,IF(INDIRECT("'数据-取费表'!c"&amp;$K$1)="住宅",INDIRECT("'数据-取费表'!k"&amp;$K$1),0))</f>
        <v>145145.79999999999</v>
      </c>
      <c r="E21" s="53">
        <f>'数据-取费表'!B27</f>
        <v>90</v>
      </c>
      <c r="F21" s="2802"/>
      <c r="G21" s="26"/>
      <c r="H21" s="51"/>
      <c r="I21" s="51"/>
      <c r="J21" s="51"/>
      <c r="K21" s="2774"/>
    </row>
    <row r="22" spans="1:14" s="2102" customFormat="1" ht="13.5" customHeight="1">
      <c r="A22" s="2797" t="s">
        <v>1857</v>
      </c>
      <c r="B22" s="2798" t="s">
        <v>492</v>
      </c>
      <c r="C22" s="53">
        <f ca="1">ROUND(D22*E22/10000,0)</f>
        <v>645</v>
      </c>
      <c r="D22" s="2799">
        <f ca="1">IF(B1="",'数据-汇总表'!E6,IF(INDIRECT("'数据-取费表'!c"&amp;$K$1)="住宅",INDIRECT("'数据-取费表'!s"&amp;$K$1),INDIRECT("'数据-取费表'!k"&amp;$K$1)+INDIRECT("'数据-取费表'!s"&amp;$K$1)))</f>
        <v>46072.399999999994</v>
      </c>
      <c r="E22" s="53">
        <f>'数据-取费表'!B28</f>
        <v>140</v>
      </c>
      <c r="F22" s="2802"/>
      <c r="G22" s="26"/>
      <c r="H22" s="51"/>
      <c r="I22" s="51"/>
      <c r="J22" s="51"/>
      <c r="K22" s="2774"/>
    </row>
    <row r="23" spans="1:14" s="2102" customFormat="1" ht="13.5" customHeight="1">
      <c r="A23" s="2805" t="s">
        <v>1858</v>
      </c>
      <c r="B23" s="2987" t="s">
        <v>2834</v>
      </c>
      <c r="C23" s="2807">
        <f ca="1">ROUND((C18+C19+C20)*F23,0)</f>
        <v>1442</v>
      </c>
      <c r="D23" s="468"/>
      <c r="E23" s="468"/>
      <c r="F23" s="2811">
        <f>'数据-取费表'!B37</f>
        <v>0.02</v>
      </c>
      <c r="G23" s="2767" t="s">
        <v>2431</v>
      </c>
      <c r="H23" s="2768"/>
      <c r="I23" s="2768"/>
      <c r="J23" s="2768"/>
      <c r="K23" s="2769"/>
      <c r="L23" s="2104"/>
      <c r="M23" s="2104"/>
      <c r="N23" s="2104"/>
    </row>
    <row r="24" spans="1:14" s="2102" customFormat="1" ht="13.5" customHeight="1">
      <c r="A24" s="2805" t="s">
        <v>1859</v>
      </c>
      <c r="B24" s="2987" t="s">
        <v>2837</v>
      </c>
      <c r="C24" s="2807">
        <f ca="1">ROUND(C6*F24,0)</f>
        <v>4470</v>
      </c>
      <c r="D24" s="475"/>
      <c r="E24" s="473"/>
      <c r="F24" s="2811">
        <f>'数据-取费表'!B38</f>
        <v>0.02</v>
      </c>
      <c r="G24" s="2776" t="s">
        <v>499</v>
      </c>
      <c r="H24" s="2770"/>
      <c r="I24" s="2770"/>
      <c r="J24" s="2770"/>
      <c r="K24" s="279"/>
      <c r="L24" s="2104"/>
      <c r="M24" s="2104"/>
      <c r="N24" s="2104"/>
    </row>
    <row r="25" spans="1:14" s="2105" customFormat="1" ht="13.5" customHeight="1">
      <c r="A25" s="2805" t="s">
        <v>1860</v>
      </c>
      <c r="B25" s="2987" t="s">
        <v>2835</v>
      </c>
      <c r="C25" s="467">
        <f>ROUND(F25/(1+'数据-取费表'!C42),4)</f>
        <v>2.9000000000000001E-2</v>
      </c>
      <c r="D25" s="462" t="s">
        <v>2829</v>
      </c>
      <c r="E25" s="469"/>
      <c r="F25" s="2811">
        <f>IF(项目基本情况!B8="出让",0,'数据-取费表'!B48+'数据-取费表'!B49)</f>
        <v>3.0499999999999999E-2</v>
      </c>
      <c r="G25" s="2775" t="s">
        <v>2289</v>
      </c>
      <c r="H25" s="2768"/>
      <c r="I25" s="2768"/>
      <c r="J25" s="2768"/>
      <c r="K25" s="2769"/>
    </row>
    <row r="26" spans="1:14" s="2104" customFormat="1" ht="13.5" customHeight="1">
      <c r="A26" s="2805" t="s">
        <v>1861</v>
      </c>
      <c r="B26" s="2988" t="s">
        <v>2836</v>
      </c>
      <c r="C26" s="2812">
        <f ca="1">C28</f>
        <v>5624</v>
      </c>
      <c r="D26" s="467">
        <f ca="1">C27</f>
        <v>0.1537</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6" customFormat="1" ht="13.5" customHeight="1">
      <c r="A27" s="803" t="s">
        <v>1856</v>
      </c>
      <c r="B27" s="2813" t="s">
        <v>496</v>
      </c>
      <c r="C27" s="2814">
        <f ca="1">ROUND(IF('数据-取费表'!B22&lt;=1,(1+C25)*F26*'数据-取费表'!B24,(1+C25)*(POWER((1+F26),'数据-取费表'!B24)-1)),4)</f>
        <v>0.1537</v>
      </c>
      <c r="D27" s="472"/>
      <c r="E27" s="473"/>
      <c r="F27" s="474"/>
      <c r="G27" s="2536" t="str">
        <f>IF('数据-取费表'!B22&lt;=1,"（1+取得税费率/(1+5%)）×年利率×建设期","（1+取得税费率）/(1+5%)×((1+年利率)^建设期-1)")</f>
        <v>（1+取得税费率）/(1+5%)×((1+年利率)^建设期-1)</v>
      </c>
      <c r="H27" s="2770"/>
      <c r="I27" s="2770"/>
      <c r="J27" s="2770"/>
      <c r="K27" s="279"/>
    </row>
    <row r="28" spans="1:14" s="2106" customFormat="1" ht="13.5" customHeight="1">
      <c r="A28" s="803" t="s">
        <v>1857</v>
      </c>
      <c r="B28" s="2813" t="s">
        <v>2838</v>
      </c>
      <c r="C28" s="2815">
        <f ca="1">ROUND(IF('数据-取费表'!B22&lt;=1,(C18+C19+C20+C23+C24)*F26*'数据-取费表'!B24/2,(C18+C19+C20+C23+C24)*(POWER((1+F26),'数据-取费表'!B24/2)-1)),0)</f>
        <v>5624</v>
      </c>
      <c r="D28" s="472"/>
      <c r="E28" s="473"/>
      <c r="F28" s="474"/>
      <c r="G28" s="2536" t="str">
        <f>IF('数据-取费表'!B22&lt;=1,"（1）-（4）项×年利率×建设期÷2","（1）-（4）项×((1+年利率)^(建设期÷2)-1)")</f>
        <v>（1）-（4）项×((1+年利率)^(建设期÷2)-1)</v>
      </c>
      <c r="H28" s="2770"/>
      <c r="I28" s="2770"/>
      <c r="J28" s="2770"/>
      <c r="K28" s="279"/>
    </row>
    <row r="29" spans="1:14" s="2106" customFormat="1" ht="13.5" customHeight="1">
      <c r="A29" s="2816" t="s">
        <v>1862</v>
      </c>
      <c r="B29" s="2806" t="s">
        <v>497</v>
      </c>
      <c r="C29" s="2807">
        <f ca="1">ROUND(C6*F29/(1+'数据-取费表'!C42),0)</f>
        <v>11920</v>
      </c>
      <c r="D29" s="468"/>
      <c r="E29" s="468"/>
      <c r="F29" s="2989">
        <f>'数据-取费表'!B41</f>
        <v>5.6000000000000001E-2</v>
      </c>
      <c r="G29" s="2776" t="s">
        <v>498</v>
      </c>
      <c r="H29" s="2768"/>
      <c r="I29" s="2768"/>
      <c r="J29" s="2768"/>
      <c r="K29" s="2769"/>
    </row>
    <row r="30" spans="1:14" s="2107" customFormat="1" ht="13.5" customHeight="1">
      <c r="A30" s="1621" t="s">
        <v>1863</v>
      </c>
      <c r="B30" s="2817" t="s">
        <v>500</v>
      </c>
      <c r="C30" s="2812">
        <f ca="1">C31</f>
        <v>95564</v>
      </c>
      <c r="D30" s="477">
        <f ca="1">C32</f>
        <v>0.1827</v>
      </c>
      <c r="E30" s="469" t="s">
        <v>495</v>
      </c>
      <c r="F30" s="471"/>
      <c r="G30" s="2775" t="s">
        <v>2973</v>
      </c>
      <c r="H30" s="2768"/>
      <c r="I30" s="2768"/>
      <c r="J30" s="2768"/>
      <c r="K30" s="2769"/>
    </row>
    <row r="31" spans="1:14" s="2106" customFormat="1" ht="13.5" customHeight="1">
      <c r="A31" s="803" t="s">
        <v>1856</v>
      </c>
      <c r="B31" s="2813"/>
      <c r="C31" s="450">
        <f ca="1">C18+C19+C20+C23+C24+C26+C29</f>
        <v>95564</v>
      </c>
      <c r="D31" s="472"/>
      <c r="E31" s="473"/>
      <c r="F31" s="474"/>
      <c r="G31" s="261"/>
      <c r="H31" s="2770"/>
      <c r="I31" s="2770"/>
      <c r="J31" s="2770"/>
      <c r="K31" s="279"/>
    </row>
    <row r="32" spans="1:14" s="2106" customFormat="1" ht="13.5" customHeight="1">
      <c r="A32" s="803" t="s">
        <v>1857</v>
      </c>
      <c r="B32" s="2813"/>
      <c r="C32" s="53">
        <f ca="1">ROUND(C25+D26,4)</f>
        <v>0.1827</v>
      </c>
      <c r="D32" s="472"/>
      <c r="E32" s="473"/>
      <c r="F32" s="474"/>
      <c r="G32" s="261"/>
      <c r="H32" s="2770"/>
      <c r="I32" s="2770"/>
      <c r="J32" s="2770"/>
      <c r="K32" s="279"/>
    </row>
    <row r="33" spans="1:11" s="2108" customFormat="1" ht="13.5" customHeight="1">
      <c r="A33" s="2986" t="s">
        <v>2833</v>
      </c>
      <c r="B33" s="2984" t="s">
        <v>2831</v>
      </c>
      <c r="C33" s="478">
        <f ca="1">C35</f>
        <v>7802</v>
      </c>
      <c r="D33" s="467">
        <f ca="1">C34</f>
        <v>0.10290000000000001</v>
      </c>
      <c r="E33" s="469" t="s">
        <v>495</v>
      </c>
      <c r="F33" s="479">
        <f ca="1">IF(B1="",'数据-取费表'!Q16,INDIRECT("'数据-取费表'!q"&amp;$K$1))</f>
        <v>0.1</v>
      </c>
      <c r="G33" s="2771"/>
      <c r="H33" s="2772"/>
      <c r="I33" s="2772"/>
      <c r="J33" s="2772"/>
      <c r="K33" s="2773"/>
    </row>
    <row r="34" spans="1:11" s="2109" customFormat="1" ht="13.5" customHeight="1">
      <c r="A34" s="375" t="s">
        <v>1856</v>
      </c>
      <c r="B34" s="2818" t="s">
        <v>501</v>
      </c>
      <c r="C34" s="472">
        <f ca="1">ROUND((1+C25)*F33,4)</f>
        <v>0.10290000000000001</v>
      </c>
      <c r="D34" s="472"/>
      <c r="E34" s="473"/>
      <c r="F34" s="480"/>
      <c r="G34" s="261" t="s">
        <v>2290</v>
      </c>
      <c r="H34" s="2770"/>
      <c r="I34" s="2770"/>
      <c r="J34" s="2770"/>
      <c r="K34" s="279"/>
    </row>
    <row r="35" spans="1:11" s="2109" customFormat="1" ht="13.5" customHeight="1" thickBot="1">
      <c r="A35" s="1622" t="s">
        <v>1857</v>
      </c>
      <c r="B35" s="2985" t="s">
        <v>2839</v>
      </c>
      <c r="C35" s="1614">
        <f ca="1">ROUND((C18+C19+C20+C23+C24)*F33,0)</f>
        <v>7802</v>
      </c>
      <c r="D35" s="1615"/>
      <c r="E35" s="2819"/>
      <c r="F35" s="1616"/>
      <c r="G35" s="2777"/>
      <c r="H35" s="2778"/>
      <c r="I35" s="2778"/>
      <c r="J35" s="2778"/>
      <c r="K35" s="2779"/>
    </row>
    <row r="36" spans="1:11" s="2071" customFormat="1" ht="13.5" customHeight="1" thickBot="1">
      <c r="A36" s="284" t="s">
        <v>1844</v>
      </c>
      <c r="B36" s="2781"/>
      <c r="C36" s="2820">
        <f ca="1">ROUND((C6-C30-C33)/(1+D30+D33),0)</f>
        <v>93449</v>
      </c>
      <c r="D36" s="2781"/>
      <c r="E36" s="2781"/>
      <c r="F36" s="2781"/>
      <c r="G36" s="2780" t="s">
        <v>2840</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4"/>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57009</v>
      </c>
      <c r="D13" s="451"/>
      <c r="E13" s="365"/>
      <c r="F13" s="452"/>
      <c r="G13" s="444"/>
      <c r="H13" s="447"/>
      <c r="I13" s="447"/>
      <c r="J13" s="447"/>
      <c r="K13" s="448"/>
    </row>
    <row r="14" spans="1:41" s="2102" customFormat="1" ht="13.5" customHeight="1">
      <c r="A14" s="1619" t="s">
        <v>1849</v>
      </c>
      <c r="B14" s="449" t="s">
        <v>480</v>
      </c>
      <c r="C14" s="53">
        <f ca="1">ROUND(C13*F14,0)</f>
        <v>2850</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2177</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3824</v>
      </c>
      <c r="D16" s="451">
        <f ca="1">IF(B1="",'数据-汇总表'!E3,INDIRECT("'数据-取费表'!K"&amp;$K$1)+INDIRECT("'数据-取费表'!S"&amp;$K$1))</f>
        <v>191218.19999999998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855</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66715</v>
      </c>
      <c r="D18" s="461"/>
      <c r="E18" s="462"/>
      <c r="F18" s="462"/>
      <c r="G18" s="1323" t="s">
        <v>2432</v>
      </c>
      <c r="H18" s="447"/>
      <c r="I18" s="447"/>
      <c r="J18" s="447"/>
      <c r="K18" s="448"/>
    </row>
    <row r="19" spans="1:14" s="2105" customFormat="1" ht="13.5" customHeight="1">
      <c r="A19" s="1620" t="s">
        <v>1854</v>
      </c>
      <c r="B19" s="459" t="s">
        <v>493</v>
      </c>
      <c r="C19" s="460">
        <f ca="1">ROUND(C18*F19,0)</f>
        <v>1334</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2">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4906</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4906</v>
      </c>
      <c r="D22" s="472"/>
      <c r="E22" s="473"/>
      <c r="F22" s="474"/>
      <c r="G22" s="2531"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4" t="s">
        <v>2832</v>
      </c>
      <c r="C24" s="478">
        <f ca="1">C25</f>
        <v>6805</v>
      </c>
      <c r="D24" s="489">
        <f ca="1">C26</f>
        <v>2E-3</v>
      </c>
      <c r="E24" s="469" t="s">
        <v>507</v>
      </c>
      <c r="F24" s="479">
        <f ca="1">IF(B1="",'数据-取费表'!Q16,INDIRECT("'数据-取费表'!q"&amp;$K$1))</f>
        <v>0.1</v>
      </c>
      <c r="G24" s="444"/>
      <c r="H24" s="447"/>
      <c r="I24" s="447"/>
      <c r="J24" s="447"/>
      <c r="K24" s="448"/>
    </row>
    <row r="25" spans="1:14" s="2106" customFormat="1" ht="13.5" customHeight="1">
      <c r="A25" s="1619" t="s">
        <v>1848</v>
      </c>
      <c r="B25" s="1324" t="s">
        <v>2436</v>
      </c>
      <c r="C25" s="490">
        <f ca="1">ROUND((C18+C19)*F24,0)</f>
        <v>6805</v>
      </c>
      <c r="D25" s="472"/>
      <c r="E25" s="473"/>
      <c r="F25" s="480"/>
      <c r="G25" s="1322" t="s">
        <v>2433</v>
      </c>
      <c r="H25" s="457"/>
      <c r="I25" s="457"/>
      <c r="J25" s="457"/>
      <c r="K25" s="458"/>
    </row>
    <row r="26" spans="1:14" s="2106" customFormat="1" ht="13.5" customHeight="1">
      <c r="A26" s="1619" t="s">
        <v>1849</v>
      </c>
      <c r="B26" s="1324" t="s">
        <v>509</v>
      </c>
      <c r="C26" s="491">
        <f ca="1">ROUND(F20*F24,4)</f>
        <v>2E-3</v>
      </c>
      <c r="D26" s="472"/>
      <c r="E26" s="481"/>
      <c r="F26" s="480"/>
      <c r="G26" s="1322" t="s">
        <v>510</v>
      </c>
      <c r="H26" s="457"/>
      <c r="I26" s="457"/>
      <c r="J26" s="457"/>
      <c r="K26" s="458"/>
    </row>
    <row r="27" spans="1:14" s="2106" customFormat="1" ht="13.5" customHeight="1">
      <c r="A27" s="1623" t="s">
        <v>1867</v>
      </c>
      <c r="B27" s="459" t="s">
        <v>511</v>
      </c>
      <c r="C27" s="2983">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86386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92" t="str">
        <f>项目基本情况!B1</f>
        <v>浙江省杭州市萧山区进化镇天乐村出让国有建设用地使用权抵押价格预评估</v>
      </c>
      <c r="C37" s="3192"/>
      <c r="D37" s="3192"/>
      <c r="E37" s="3192"/>
      <c r="F37" s="3192"/>
      <c r="G37" s="3192"/>
      <c r="H37" s="3192"/>
      <c r="I37" s="319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I1" workbookViewId="0">
      <selection activeCell="AD31" sqref="AD31"/>
    </sheetView>
  </sheetViews>
  <sheetFormatPr defaultRowHeight="14.4"/>
  <cols>
    <col min="1" max="1" width="35.77734375" style="2894" customWidth="1"/>
    <col min="2" max="2" width="7.109375" style="2894" hidden="1" customWidth="1"/>
    <col min="3" max="3" width="15.88671875" style="2894" customWidth="1"/>
    <col min="4" max="4" width="7.109375" style="2894" customWidth="1"/>
    <col min="5" max="5" width="5.21875" style="2894" hidden="1" customWidth="1"/>
    <col min="6" max="6" width="94" style="2894" hidden="1" customWidth="1"/>
    <col min="7" max="7" width="9" style="2894" hidden="1" customWidth="1"/>
    <col min="8" max="8" width="23.21875" style="2894" hidden="1" customWidth="1"/>
    <col min="9" max="9" width="13.33203125" style="2894" customWidth="1"/>
    <col min="10" max="10" width="12.109375" style="2894" customWidth="1"/>
    <col min="11" max="11" width="13" style="2894" customWidth="1"/>
    <col min="12" max="12" width="10.109375" style="2894" customWidth="1"/>
    <col min="13" max="13" width="9" style="2894" hidden="1" customWidth="1"/>
    <col min="14" max="14" width="27.88671875" style="2894" hidden="1" customWidth="1"/>
    <col min="15" max="15" width="31.77734375" style="2894" hidden="1" customWidth="1"/>
    <col min="16" max="16" width="11.33203125" style="2894" customWidth="1"/>
    <col min="17" max="18" width="17.77734375" style="2894" hidden="1" customWidth="1"/>
    <col min="19" max="19" width="14.77734375" style="2894" hidden="1" customWidth="1"/>
    <col min="20" max="20" width="21.33203125" style="2894" customWidth="1"/>
    <col min="21" max="21" width="7.88671875" style="2894" customWidth="1"/>
    <col min="22" max="22" width="20.33203125" style="2894" hidden="1" customWidth="1"/>
    <col min="23" max="23" width="9" style="2894" hidden="1" customWidth="1"/>
    <col min="24" max="26" width="10.21875" style="2894" hidden="1" customWidth="1"/>
    <col min="27" max="27" width="10.21875" style="2894" customWidth="1"/>
    <col min="28" max="28" width="26.109375" style="2894" hidden="1" customWidth="1"/>
    <col min="29" max="29" width="9" style="2894" hidden="1" customWidth="1"/>
    <col min="30" max="30" width="23.21875" style="2894" customWidth="1"/>
    <col min="31" max="32" width="12.109375" style="2894" hidden="1" customWidth="1"/>
    <col min="33" max="33" width="11.88671875" style="2894" hidden="1" customWidth="1"/>
    <col min="34" max="34" width="18.21875" style="2894" hidden="1" customWidth="1"/>
    <col min="35" max="35" width="11.44140625" style="2894" customWidth="1"/>
    <col min="36" max="36" width="16.33203125" style="2894" hidden="1" customWidth="1"/>
    <col min="37" max="37" width="8.88671875" style="2894" customWidth="1"/>
    <col min="38" max="39" width="25" style="2894" hidden="1" customWidth="1"/>
    <col min="40" max="40" width="7.109375" style="2894" customWidth="1"/>
    <col min="41" max="41" width="13" style="2894" customWidth="1"/>
    <col min="42" max="42" width="14.21875" style="2894" customWidth="1"/>
    <col min="43" max="44" width="23" style="2894" customWidth="1"/>
    <col min="45" max="45" width="9" style="2894" customWidth="1"/>
    <col min="46" max="256" width="8.88671875" style="2894"/>
    <col min="257" max="257" width="43.77734375" style="2894" customWidth="1"/>
    <col min="258" max="258" width="7.109375" style="2894" customWidth="1"/>
    <col min="259" max="259" width="15.88671875" style="2894" customWidth="1"/>
    <col min="260" max="260" width="7.109375" style="2894" customWidth="1"/>
    <col min="261" max="261" width="5.21875" style="2894" customWidth="1"/>
    <col min="262" max="262" width="94" style="2894" customWidth="1"/>
    <col min="263" max="263" width="9" style="2894" customWidth="1"/>
    <col min="264" max="264" width="23.21875" style="2894" customWidth="1"/>
    <col min="265" max="265" width="84.77734375" style="2894" customWidth="1"/>
    <col min="266" max="267" width="15.88671875" style="2894" customWidth="1"/>
    <col min="268" max="268" width="10.109375" style="2894" customWidth="1"/>
    <col min="269" max="269" width="9" style="2894" customWidth="1"/>
    <col min="270" max="270" width="27.88671875" style="2894" customWidth="1"/>
    <col min="271" max="271" width="31.77734375" style="2894" customWidth="1"/>
    <col min="272" max="272" width="11.33203125" style="2894" customWidth="1"/>
    <col min="273" max="274" width="17.77734375" style="2894" customWidth="1"/>
    <col min="275" max="275" width="14.77734375" style="2894" customWidth="1"/>
    <col min="276" max="276" width="37.33203125" style="2894" customWidth="1"/>
    <col min="277" max="277" width="23.21875" style="2894" customWidth="1"/>
    <col min="278" max="282" width="0" style="2894" hidden="1" customWidth="1"/>
    <col min="283" max="283" width="10.21875" style="2894" customWidth="1"/>
    <col min="284" max="285" width="0" style="2894" hidden="1" customWidth="1"/>
    <col min="286" max="286" width="23.21875" style="2894" customWidth="1"/>
    <col min="287" max="288" width="0" style="2894" hidden="1" customWidth="1"/>
    <col min="289" max="289" width="12.109375" style="2894" customWidth="1"/>
    <col min="290" max="290" width="0" style="2894" hidden="1" customWidth="1"/>
    <col min="291" max="291" width="18.21875" style="2894" customWidth="1"/>
    <col min="292" max="292" width="0" style="2894" hidden="1" customWidth="1"/>
    <col min="293" max="293" width="16.33203125" style="2894" customWidth="1"/>
    <col min="294" max="294" width="25" style="2894" customWidth="1"/>
    <col min="295" max="295" width="0" style="2894" hidden="1" customWidth="1"/>
    <col min="296" max="296" width="7.109375" style="2894" customWidth="1"/>
    <col min="297" max="297" width="13" style="2894" customWidth="1"/>
    <col min="298" max="298" width="19.21875" style="2894" customWidth="1"/>
    <col min="299" max="300" width="23" style="2894" customWidth="1"/>
    <col min="301" max="301" width="9" style="2894" customWidth="1"/>
    <col min="302" max="512" width="8.88671875" style="2894"/>
    <col min="513" max="513" width="43.77734375" style="2894" customWidth="1"/>
    <col min="514" max="514" width="7.109375" style="2894" customWidth="1"/>
    <col min="515" max="515" width="15.88671875" style="2894" customWidth="1"/>
    <col min="516" max="516" width="7.109375" style="2894" customWidth="1"/>
    <col min="517" max="517" width="5.21875" style="2894" customWidth="1"/>
    <col min="518" max="518" width="94" style="2894" customWidth="1"/>
    <col min="519" max="519" width="9" style="2894" customWidth="1"/>
    <col min="520" max="520" width="23.21875" style="2894" customWidth="1"/>
    <col min="521" max="521" width="84.77734375" style="2894" customWidth="1"/>
    <col min="522" max="523" width="15.88671875" style="2894" customWidth="1"/>
    <col min="524" max="524" width="10.109375" style="2894" customWidth="1"/>
    <col min="525" max="525" width="9" style="2894" customWidth="1"/>
    <col min="526" max="526" width="27.88671875" style="2894" customWidth="1"/>
    <col min="527" max="527" width="31.77734375" style="2894" customWidth="1"/>
    <col min="528" max="528" width="11.33203125" style="2894" customWidth="1"/>
    <col min="529" max="530" width="17.77734375" style="2894" customWidth="1"/>
    <col min="531" max="531" width="14.77734375" style="2894" customWidth="1"/>
    <col min="532" max="532" width="37.33203125" style="2894" customWidth="1"/>
    <col min="533" max="533" width="23.21875" style="2894" customWidth="1"/>
    <col min="534" max="538" width="0" style="2894" hidden="1" customWidth="1"/>
    <col min="539" max="539" width="10.21875" style="2894" customWidth="1"/>
    <col min="540" max="541" width="0" style="2894" hidden="1" customWidth="1"/>
    <col min="542" max="542" width="23.21875" style="2894" customWidth="1"/>
    <col min="543" max="544" width="0" style="2894" hidden="1" customWidth="1"/>
    <col min="545" max="545" width="12.109375" style="2894" customWidth="1"/>
    <col min="546" max="546" width="0" style="2894" hidden="1" customWidth="1"/>
    <col min="547" max="547" width="18.21875" style="2894" customWidth="1"/>
    <col min="548" max="548" width="0" style="2894" hidden="1" customWidth="1"/>
    <col min="549" max="549" width="16.33203125" style="2894" customWidth="1"/>
    <col min="550" max="550" width="25" style="2894" customWidth="1"/>
    <col min="551" max="551" width="0" style="2894" hidden="1" customWidth="1"/>
    <col min="552" max="552" width="7.109375" style="2894" customWidth="1"/>
    <col min="553" max="553" width="13" style="2894" customWidth="1"/>
    <col min="554" max="554" width="19.21875" style="2894" customWidth="1"/>
    <col min="555" max="556" width="23" style="2894" customWidth="1"/>
    <col min="557" max="557" width="9" style="2894" customWidth="1"/>
    <col min="558" max="768" width="8.88671875" style="2894"/>
    <col min="769" max="769" width="43.77734375" style="2894" customWidth="1"/>
    <col min="770" max="770" width="7.109375" style="2894" customWidth="1"/>
    <col min="771" max="771" width="15.88671875" style="2894" customWidth="1"/>
    <col min="772" max="772" width="7.109375" style="2894" customWidth="1"/>
    <col min="773" max="773" width="5.21875" style="2894" customWidth="1"/>
    <col min="774" max="774" width="94" style="2894" customWidth="1"/>
    <col min="775" max="775" width="9" style="2894" customWidth="1"/>
    <col min="776" max="776" width="23.21875" style="2894" customWidth="1"/>
    <col min="777" max="777" width="84.77734375" style="2894" customWidth="1"/>
    <col min="778" max="779" width="15.88671875" style="2894" customWidth="1"/>
    <col min="780" max="780" width="10.109375" style="2894" customWidth="1"/>
    <col min="781" max="781" width="9" style="2894" customWidth="1"/>
    <col min="782" max="782" width="27.88671875" style="2894" customWidth="1"/>
    <col min="783" max="783" width="31.77734375" style="2894" customWidth="1"/>
    <col min="784" max="784" width="11.33203125" style="2894" customWidth="1"/>
    <col min="785" max="786" width="17.77734375" style="2894" customWidth="1"/>
    <col min="787" max="787" width="14.77734375" style="2894" customWidth="1"/>
    <col min="788" max="788" width="37.33203125" style="2894" customWidth="1"/>
    <col min="789" max="789" width="23.21875" style="2894" customWidth="1"/>
    <col min="790" max="794" width="0" style="2894" hidden="1" customWidth="1"/>
    <col min="795" max="795" width="10.21875" style="2894" customWidth="1"/>
    <col min="796" max="797" width="0" style="2894" hidden="1" customWidth="1"/>
    <col min="798" max="798" width="23.21875" style="2894" customWidth="1"/>
    <col min="799" max="800" width="0" style="2894" hidden="1" customWidth="1"/>
    <col min="801" max="801" width="12.109375" style="2894" customWidth="1"/>
    <col min="802" max="802" width="0" style="2894" hidden="1" customWidth="1"/>
    <col min="803" max="803" width="18.21875" style="2894" customWidth="1"/>
    <col min="804" max="804" width="0" style="2894" hidden="1" customWidth="1"/>
    <col min="805" max="805" width="16.33203125" style="2894" customWidth="1"/>
    <col min="806" max="806" width="25" style="2894" customWidth="1"/>
    <col min="807" max="807" width="0" style="2894" hidden="1" customWidth="1"/>
    <col min="808" max="808" width="7.109375" style="2894" customWidth="1"/>
    <col min="809" max="809" width="13" style="2894" customWidth="1"/>
    <col min="810" max="810" width="19.21875" style="2894" customWidth="1"/>
    <col min="811" max="812" width="23" style="2894" customWidth="1"/>
    <col min="813" max="813" width="9" style="2894" customWidth="1"/>
    <col min="814" max="1024" width="8.88671875" style="2894"/>
    <col min="1025" max="1025" width="43.77734375" style="2894" customWidth="1"/>
    <col min="1026" max="1026" width="7.109375" style="2894" customWidth="1"/>
    <col min="1027" max="1027" width="15.88671875" style="2894" customWidth="1"/>
    <col min="1028" max="1028" width="7.109375" style="2894" customWidth="1"/>
    <col min="1029" max="1029" width="5.21875" style="2894" customWidth="1"/>
    <col min="1030" max="1030" width="94" style="2894" customWidth="1"/>
    <col min="1031" max="1031" width="9" style="2894" customWidth="1"/>
    <col min="1032" max="1032" width="23.21875" style="2894" customWidth="1"/>
    <col min="1033" max="1033" width="84.77734375" style="2894" customWidth="1"/>
    <col min="1034" max="1035" width="15.88671875" style="2894" customWidth="1"/>
    <col min="1036" max="1036" width="10.109375" style="2894" customWidth="1"/>
    <col min="1037" max="1037" width="9" style="2894" customWidth="1"/>
    <col min="1038" max="1038" width="27.88671875" style="2894" customWidth="1"/>
    <col min="1039" max="1039" width="31.77734375" style="2894" customWidth="1"/>
    <col min="1040" max="1040" width="11.33203125" style="2894" customWidth="1"/>
    <col min="1041" max="1042" width="17.77734375" style="2894" customWidth="1"/>
    <col min="1043" max="1043" width="14.77734375" style="2894" customWidth="1"/>
    <col min="1044" max="1044" width="37.33203125" style="2894" customWidth="1"/>
    <col min="1045" max="1045" width="23.21875" style="2894" customWidth="1"/>
    <col min="1046" max="1050" width="0" style="2894" hidden="1" customWidth="1"/>
    <col min="1051" max="1051" width="10.21875" style="2894" customWidth="1"/>
    <col min="1052" max="1053" width="0" style="2894" hidden="1" customWidth="1"/>
    <col min="1054" max="1054" width="23.21875" style="2894" customWidth="1"/>
    <col min="1055" max="1056" width="0" style="2894" hidden="1" customWidth="1"/>
    <col min="1057" max="1057" width="12.109375" style="2894" customWidth="1"/>
    <col min="1058" max="1058" width="0" style="2894" hidden="1" customWidth="1"/>
    <col min="1059" max="1059" width="18.21875" style="2894" customWidth="1"/>
    <col min="1060" max="1060" width="0" style="2894" hidden="1" customWidth="1"/>
    <col min="1061" max="1061" width="16.33203125" style="2894" customWidth="1"/>
    <col min="1062" max="1062" width="25" style="2894" customWidth="1"/>
    <col min="1063" max="1063" width="0" style="2894" hidden="1" customWidth="1"/>
    <col min="1064" max="1064" width="7.109375" style="2894" customWidth="1"/>
    <col min="1065" max="1065" width="13" style="2894" customWidth="1"/>
    <col min="1066" max="1066" width="19.21875" style="2894" customWidth="1"/>
    <col min="1067" max="1068" width="23" style="2894" customWidth="1"/>
    <col min="1069" max="1069" width="9" style="2894" customWidth="1"/>
    <col min="1070" max="1280" width="8.88671875" style="2894"/>
    <col min="1281" max="1281" width="43.77734375" style="2894" customWidth="1"/>
    <col min="1282" max="1282" width="7.109375" style="2894" customWidth="1"/>
    <col min="1283" max="1283" width="15.88671875" style="2894" customWidth="1"/>
    <col min="1284" max="1284" width="7.109375" style="2894" customWidth="1"/>
    <col min="1285" max="1285" width="5.21875" style="2894" customWidth="1"/>
    <col min="1286" max="1286" width="94" style="2894" customWidth="1"/>
    <col min="1287" max="1287" width="9" style="2894" customWidth="1"/>
    <col min="1288" max="1288" width="23.21875" style="2894" customWidth="1"/>
    <col min="1289" max="1289" width="84.77734375" style="2894" customWidth="1"/>
    <col min="1290" max="1291" width="15.88671875" style="2894" customWidth="1"/>
    <col min="1292" max="1292" width="10.109375" style="2894" customWidth="1"/>
    <col min="1293" max="1293" width="9" style="2894" customWidth="1"/>
    <col min="1294" max="1294" width="27.88671875" style="2894" customWidth="1"/>
    <col min="1295" max="1295" width="31.77734375" style="2894" customWidth="1"/>
    <col min="1296" max="1296" width="11.33203125" style="2894" customWidth="1"/>
    <col min="1297" max="1298" width="17.77734375" style="2894" customWidth="1"/>
    <col min="1299" max="1299" width="14.77734375" style="2894" customWidth="1"/>
    <col min="1300" max="1300" width="37.33203125" style="2894" customWidth="1"/>
    <col min="1301" max="1301" width="23.21875" style="2894" customWidth="1"/>
    <col min="1302" max="1306" width="0" style="2894" hidden="1" customWidth="1"/>
    <col min="1307" max="1307" width="10.21875" style="2894" customWidth="1"/>
    <col min="1308" max="1309" width="0" style="2894" hidden="1" customWidth="1"/>
    <col min="1310" max="1310" width="23.21875" style="2894" customWidth="1"/>
    <col min="1311" max="1312" width="0" style="2894" hidden="1" customWidth="1"/>
    <col min="1313" max="1313" width="12.109375" style="2894" customWidth="1"/>
    <col min="1314" max="1314" width="0" style="2894" hidden="1" customWidth="1"/>
    <col min="1315" max="1315" width="18.21875" style="2894" customWidth="1"/>
    <col min="1316" max="1316" width="0" style="2894" hidden="1" customWidth="1"/>
    <col min="1317" max="1317" width="16.33203125" style="2894" customWidth="1"/>
    <col min="1318" max="1318" width="25" style="2894" customWidth="1"/>
    <col min="1319" max="1319" width="0" style="2894" hidden="1" customWidth="1"/>
    <col min="1320" max="1320" width="7.109375" style="2894" customWidth="1"/>
    <col min="1321" max="1321" width="13" style="2894" customWidth="1"/>
    <col min="1322" max="1322" width="19.21875" style="2894" customWidth="1"/>
    <col min="1323" max="1324" width="23" style="2894" customWidth="1"/>
    <col min="1325" max="1325" width="9" style="2894" customWidth="1"/>
    <col min="1326" max="1536" width="8.88671875" style="2894"/>
    <col min="1537" max="1537" width="43.77734375" style="2894" customWidth="1"/>
    <col min="1538" max="1538" width="7.109375" style="2894" customWidth="1"/>
    <col min="1539" max="1539" width="15.88671875" style="2894" customWidth="1"/>
    <col min="1540" max="1540" width="7.109375" style="2894" customWidth="1"/>
    <col min="1541" max="1541" width="5.21875" style="2894" customWidth="1"/>
    <col min="1542" max="1542" width="94" style="2894" customWidth="1"/>
    <col min="1543" max="1543" width="9" style="2894" customWidth="1"/>
    <col min="1544" max="1544" width="23.21875" style="2894" customWidth="1"/>
    <col min="1545" max="1545" width="84.77734375" style="2894" customWidth="1"/>
    <col min="1546" max="1547" width="15.88671875" style="2894" customWidth="1"/>
    <col min="1548" max="1548" width="10.109375" style="2894" customWidth="1"/>
    <col min="1549" max="1549" width="9" style="2894" customWidth="1"/>
    <col min="1550" max="1550" width="27.88671875" style="2894" customWidth="1"/>
    <col min="1551" max="1551" width="31.77734375" style="2894" customWidth="1"/>
    <col min="1552" max="1552" width="11.33203125" style="2894" customWidth="1"/>
    <col min="1553" max="1554" width="17.77734375" style="2894" customWidth="1"/>
    <col min="1555" max="1555" width="14.77734375" style="2894" customWidth="1"/>
    <col min="1556" max="1556" width="37.33203125" style="2894" customWidth="1"/>
    <col min="1557" max="1557" width="23.21875" style="2894" customWidth="1"/>
    <col min="1558" max="1562" width="0" style="2894" hidden="1" customWidth="1"/>
    <col min="1563" max="1563" width="10.21875" style="2894" customWidth="1"/>
    <col min="1564" max="1565" width="0" style="2894" hidden="1" customWidth="1"/>
    <col min="1566" max="1566" width="23.21875" style="2894" customWidth="1"/>
    <col min="1567" max="1568" width="0" style="2894" hidden="1" customWidth="1"/>
    <col min="1569" max="1569" width="12.109375" style="2894" customWidth="1"/>
    <col min="1570" max="1570" width="0" style="2894" hidden="1" customWidth="1"/>
    <col min="1571" max="1571" width="18.21875" style="2894" customWidth="1"/>
    <col min="1572" max="1572" width="0" style="2894" hidden="1" customWidth="1"/>
    <col min="1573" max="1573" width="16.33203125" style="2894" customWidth="1"/>
    <col min="1574" max="1574" width="25" style="2894" customWidth="1"/>
    <col min="1575" max="1575" width="0" style="2894" hidden="1" customWidth="1"/>
    <col min="1576" max="1576" width="7.109375" style="2894" customWidth="1"/>
    <col min="1577" max="1577" width="13" style="2894" customWidth="1"/>
    <col min="1578" max="1578" width="19.21875" style="2894" customWidth="1"/>
    <col min="1579" max="1580" width="23" style="2894" customWidth="1"/>
    <col min="1581" max="1581" width="9" style="2894" customWidth="1"/>
    <col min="1582" max="1792" width="8.88671875" style="2894"/>
    <col min="1793" max="1793" width="43.77734375" style="2894" customWidth="1"/>
    <col min="1794" max="1794" width="7.109375" style="2894" customWidth="1"/>
    <col min="1795" max="1795" width="15.88671875" style="2894" customWidth="1"/>
    <col min="1796" max="1796" width="7.109375" style="2894" customWidth="1"/>
    <col min="1797" max="1797" width="5.21875" style="2894" customWidth="1"/>
    <col min="1798" max="1798" width="94" style="2894" customWidth="1"/>
    <col min="1799" max="1799" width="9" style="2894" customWidth="1"/>
    <col min="1800" max="1800" width="23.21875" style="2894" customWidth="1"/>
    <col min="1801" max="1801" width="84.77734375" style="2894" customWidth="1"/>
    <col min="1802" max="1803" width="15.88671875" style="2894" customWidth="1"/>
    <col min="1804" max="1804" width="10.109375" style="2894" customWidth="1"/>
    <col min="1805" max="1805" width="9" style="2894" customWidth="1"/>
    <col min="1806" max="1806" width="27.88671875" style="2894" customWidth="1"/>
    <col min="1807" max="1807" width="31.77734375" style="2894" customWidth="1"/>
    <col min="1808" max="1808" width="11.33203125" style="2894" customWidth="1"/>
    <col min="1809" max="1810" width="17.77734375" style="2894" customWidth="1"/>
    <col min="1811" max="1811" width="14.77734375" style="2894" customWidth="1"/>
    <col min="1812" max="1812" width="37.33203125" style="2894" customWidth="1"/>
    <col min="1813" max="1813" width="23.21875" style="2894" customWidth="1"/>
    <col min="1814" max="1818" width="0" style="2894" hidden="1" customWidth="1"/>
    <col min="1819" max="1819" width="10.21875" style="2894" customWidth="1"/>
    <col min="1820" max="1821" width="0" style="2894" hidden="1" customWidth="1"/>
    <col min="1822" max="1822" width="23.21875" style="2894" customWidth="1"/>
    <col min="1823" max="1824" width="0" style="2894" hidden="1" customWidth="1"/>
    <col min="1825" max="1825" width="12.109375" style="2894" customWidth="1"/>
    <col min="1826" max="1826" width="0" style="2894" hidden="1" customWidth="1"/>
    <col min="1827" max="1827" width="18.21875" style="2894" customWidth="1"/>
    <col min="1828" max="1828" width="0" style="2894" hidden="1" customWidth="1"/>
    <col min="1829" max="1829" width="16.33203125" style="2894" customWidth="1"/>
    <col min="1830" max="1830" width="25" style="2894" customWidth="1"/>
    <col min="1831" max="1831" width="0" style="2894" hidden="1" customWidth="1"/>
    <col min="1832" max="1832" width="7.109375" style="2894" customWidth="1"/>
    <col min="1833" max="1833" width="13" style="2894" customWidth="1"/>
    <col min="1834" max="1834" width="19.21875" style="2894" customWidth="1"/>
    <col min="1835" max="1836" width="23" style="2894" customWidth="1"/>
    <col min="1837" max="1837" width="9" style="2894" customWidth="1"/>
    <col min="1838" max="2048" width="8.88671875" style="2894"/>
    <col min="2049" max="2049" width="43.77734375" style="2894" customWidth="1"/>
    <col min="2050" max="2050" width="7.109375" style="2894" customWidth="1"/>
    <col min="2051" max="2051" width="15.88671875" style="2894" customWidth="1"/>
    <col min="2052" max="2052" width="7.109375" style="2894" customWidth="1"/>
    <col min="2053" max="2053" width="5.21875" style="2894" customWidth="1"/>
    <col min="2054" max="2054" width="94" style="2894" customWidth="1"/>
    <col min="2055" max="2055" width="9" style="2894" customWidth="1"/>
    <col min="2056" max="2056" width="23.21875" style="2894" customWidth="1"/>
    <col min="2057" max="2057" width="84.77734375" style="2894" customWidth="1"/>
    <col min="2058" max="2059" width="15.88671875" style="2894" customWidth="1"/>
    <col min="2060" max="2060" width="10.109375" style="2894" customWidth="1"/>
    <col min="2061" max="2061" width="9" style="2894" customWidth="1"/>
    <col min="2062" max="2062" width="27.88671875" style="2894" customWidth="1"/>
    <col min="2063" max="2063" width="31.77734375" style="2894" customWidth="1"/>
    <col min="2064" max="2064" width="11.33203125" style="2894" customWidth="1"/>
    <col min="2065" max="2066" width="17.77734375" style="2894" customWidth="1"/>
    <col min="2067" max="2067" width="14.77734375" style="2894" customWidth="1"/>
    <col min="2068" max="2068" width="37.33203125" style="2894" customWidth="1"/>
    <col min="2069" max="2069" width="23.21875" style="2894" customWidth="1"/>
    <col min="2070" max="2074" width="0" style="2894" hidden="1" customWidth="1"/>
    <col min="2075" max="2075" width="10.21875" style="2894" customWidth="1"/>
    <col min="2076" max="2077" width="0" style="2894" hidden="1" customWidth="1"/>
    <col min="2078" max="2078" width="23.21875" style="2894" customWidth="1"/>
    <col min="2079" max="2080" width="0" style="2894" hidden="1" customWidth="1"/>
    <col min="2081" max="2081" width="12.109375" style="2894" customWidth="1"/>
    <col min="2082" max="2082" width="0" style="2894" hidden="1" customWidth="1"/>
    <col min="2083" max="2083" width="18.21875" style="2894" customWidth="1"/>
    <col min="2084" max="2084" width="0" style="2894" hidden="1" customWidth="1"/>
    <col min="2085" max="2085" width="16.33203125" style="2894" customWidth="1"/>
    <col min="2086" max="2086" width="25" style="2894" customWidth="1"/>
    <col min="2087" max="2087" width="0" style="2894" hidden="1" customWidth="1"/>
    <col min="2088" max="2088" width="7.109375" style="2894" customWidth="1"/>
    <col min="2089" max="2089" width="13" style="2894" customWidth="1"/>
    <col min="2090" max="2090" width="19.21875" style="2894" customWidth="1"/>
    <col min="2091" max="2092" width="23" style="2894" customWidth="1"/>
    <col min="2093" max="2093" width="9" style="2894" customWidth="1"/>
    <col min="2094" max="2304" width="8.88671875" style="2894"/>
    <col min="2305" max="2305" width="43.77734375" style="2894" customWidth="1"/>
    <col min="2306" max="2306" width="7.109375" style="2894" customWidth="1"/>
    <col min="2307" max="2307" width="15.88671875" style="2894" customWidth="1"/>
    <col min="2308" max="2308" width="7.109375" style="2894" customWidth="1"/>
    <col min="2309" max="2309" width="5.21875" style="2894" customWidth="1"/>
    <col min="2310" max="2310" width="94" style="2894" customWidth="1"/>
    <col min="2311" max="2311" width="9" style="2894" customWidth="1"/>
    <col min="2312" max="2312" width="23.21875" style="2894" customWidth="1"/>
    <col min="2313" max="2313" width="84.77734375" style="2894" customWidth="1"/>
    <col min="2314" max="2315" width="15.88671875" style="2894" customWidth="1"/>
    <col min="2316" max="2316" width="10.109375" style="2894" customWidth="1"/>
    <col min="2317" max="2317" width="9" style="2894" customWidth="1"/>
    <col min="2318" max="2318" width="27.88671875" style="2894" customWidth="1"/>
    <col min="2319" max="2319" width="31.77734375" style="2894" customWidth="1"/>
    <col min="2320" max="2320" width="11.33203125" style="2894" customWidth="1"/>
    <col min="2321" max="2322" width="17.77734375" style="2894" customWidth="1"/>
    <col min="2323" max="2323" width="14.77734375" style="2894" customWidth="1"/>
    <col min="2324" max="2324" width="37.33203125" style="2894" customWidth="1"/>
    <col min="2325" max="2325" width="23.21875" style="2894" customWidth="1"/>
    <col min="2326" max="2330" width="0" style="2894" hidden="1" customWidth="1"/>
    <col min="2331" max="2331" width="10.21875" style="2894" customWidth="1"/>
    <col min="2332" max="2333" width="0" style="2894" hidden="1" customWidth="1"/>
    <col min="2334" max="2334" width="23.21875" style="2894" customWidth="1"/>
    <col min="2335" max="2336" width="0" style="2894" hidden="1" customWidth="1"/>
    <col min="2337" max="2337" width="12.109375" style="2894" customWidth="1"/>
    <col min="2338" max="2338" width="0" style="2894" hidden="1" customWidth="1"/>
    <col min="2339" max="2339" width="18.21875" style="2894" customWidth="1"/>
    <col min="2340" max="2340" width="0" style="2894" hidden="1" customWidth="1"/>
    <col min="2341" max="2341" width="16.33203125" style="2894" customWidth="1"/>
    <col min="2342" max="2342" width="25" style="2894" customWidth="1"/>
    <col min="2343" max="2343" width="0" style="2894" hidden="1" customWidth="1"/>
    <col min="2344" max="2344" width="7.109375" style="2894" customWidth="1"/>
    <col min="2345" max="2345" width="13" style="2894" customWidth="1"/>
    <col min="2346" max="2346" width="19.21875" style="2894" customWidth="1"/>
    <col min="2347" max="2348" width="23" style="2894" customWidth="1"/>
    <col min="2349" max="2349" width="9" style="2894" customWidth="1"/>
    <col min="2350" max="2560" width="8.88671875" style="2894"/>
    <col min="2561" max="2561" width="43.77734375" style="2894" customWidth="1"/>
    <col min="2562" max="2562" width="7.109375" style="2894" customWidth="1"/>
    <col min="2563" max="2563" width="15.88671875" style="2894" customWidth="1"/>
    <col min="2564" max="2564" width="7.109375" style="2894" customWidth="1"/>
    <col min="2565" max="2565" width="5.21875" style="2894" customWidth="1"/>
    <col min="2566" max="2566" width="94" style="2894" customWidth="1"/>
    <col min="2567" max="2567" width="9" style="2894" customWidth="1"/>
    <col min="2568" max="2568" width="23.21875" style="2894" customWidth="1"/>
    <col min="2569" max="2569" width="84.77734375" style="2894" customWidth="1"/>
    <col min="2570" max="2571" width="15.88671875" style="2894" customWidth="1"/>
    <col min="2572" max="2572" width="10.109375" style="2894" customWidth="1"/>
    <col min="2573" max="2573" width="9" style="2894" customWidth="1"/>
    <col min="2574" max="2574" width="27.88671875" style="2894" customWidth="1"/>
    <col min="2575" max="2575" width="31.77734375" style="2894" customWidth="1"/>
    <col min="2576" max="2576" width="11.33203125" style="2894" customWidth="1"/>
    <col min="2577" max="2578" width="17.77734375" style="2894" customWidth="1"/>
    <col min="2579" max="2579" width="14.77734375" style="2894" customWidth="1"/>
    <col min="2580" max="2580" width="37.33203125" style="2894" customWidth="1"/>
    <col min="2581" max="2581" width="23.21875" style="2894" customWidth="1"/>
    <col min="2582" max="2586" width="0" style="2894" hidden="1" customWidth="1"/>
    <col min="2587" max="2587" width="10.21875" style="2894" customWidth="1"/>
    <col min="2588" max="2589" width="0" style="2894" hidden="1" customWidth="1"/>
    <col min="2590" max="2590" width="23.21875" style="2894" customWidth="1"/>
    <col min="2591" max="2592" width="0" style="2894" hidden="1" customWidth="1"/>
    <col min="2593" max="2593" width="12.109375" style="2894" customWidth="1"/>
    <col min="2594" max="2594" width="0" style="2894" hidden="1" customWidth="1"/>
    <col min="2595" max="2595" width="18.21875" style="2894" customWidth="1"/>
    <col min="2596" max="2596" width="0" style="2894" hidden="1" customWidth="1"/>
    <col min="2597" max="2597" width="16.33203125" style="2894" customWidth="1"/>
    <col min="2598" max="2598" width="25" style="2894" customWidth="1"/>
    <col min="2599" max="2599" width="0" style="2894" hidden="1" customWidth="1"/>
    <col min="2600" max="2600" width="7.109375" style="2894" customWidth="1"/>
    <col min="2601" max="2601" width="13" style="2894" customWidth="1"/>
    <col min="2602" max="2602" width="19.21875" style="2894" customWidth="1"/>
    <col min="2603" max="2604" width="23" style="2894" customWidth="1"/>
    <col min="2605" max="2605" width="9" style="2894" customWidth="1"/>
    <col min="2606" max="2816" width="8.88671875" style="2894"/>
    <col min="2817" max="2817" width="43.77734375" style="2894" customWidth="1"/>
    <col min="2818" max="2818" width="7.109375" style="2894" customWidth="1"/>
    <col min="2819" max="2819" width="15.88671875" style="2894" customWidth="1"/>
    <col min="2820" max="2820" width="7.109375" style="2894" customWidth="1"/>
    <col min="2821" max="2821" width="5.21875" style="2894" customWidth="1"/>
    <col min="2822" max="2822" width="94" style="2894" customWidth="1"/>
    <col min="2823" max="2823" width="9" style="2894" customWidth="1"/>
    <col min="2824" max="2824" width="23.21875" style="2894" customWidth="1"/>
    <col min="2825" max="2825" width="84.77734375" style="2894" customWidth="1"/>
    <col min="2826" max="2827" width="15.88671875" style="2894" customWidth="1"/>
    <col min="2828" max="2828" width="10.109375" style="2894" customWidth="1"/>
    <col min="2829" max="2829" width="9" style="2894" customWidth="1"/>
    <col min="2830" max="2830" width="27.88671875" style="2894" customWidth="1"/>
    <col min="2831" max="2831" width="31.77734375" style="2894" customWidth="1"/>
    <col min="2832" max="2832" width="11.33203125" style="2894" customWidth="1"/>
    <col min="2833" max="2834" width="17.77734375" style="2894" customWidth="1"/>
    <col min="2835" max="2835" width="14.77734375" style="2894" customWidth="1"/>
    <col min="2836" max="2836" width="37.33203125" style="2894" customWidth="1"/>
    <col min="2837" max="2837" width="23.21875" style="2894" customWidth="1"/>
    <col min="2838" max="2842" width="0" style="2894" hidden="1" customWidth="1"/>
    <col min="2843" max="2843" width="10.21875" style="2894" customWidth="1"/>
    <col min="2844" max="2845" width="0" style="2894" hidden="1" customWidth="1"/>
    <col min="2846" max="2846" width="23.21875" style="2894" customWidth="1"/>
    <col min="2847" max="2848" width="0" style="2894" hidden="1" customWidth="1"/>
    <col min="2849" max="2849" width="12.109375" style="2894" customWidth="1"/>
    <col min="2850" max="2850" width="0" style="2894" hidden="1" customWidth="1"/>
    <col min="2851" max="2851" width="18.21875" style="2894" customWidth="1"/>
    <col min="2852" max="2852" width="0" style="2894" hidden="1" customWidth="1"/>
    <col min="2853" max="2853" width="16.33203125" style="2894" customWidth="1"/>
    <col min="2854" max="2854" width="25" style="2894" customWidth="1"/>
    <col min="2855" max="2855" width="0" style="2894" hidden="1" customWidth="1"/>
    <col min="2856" max="2856" width="7.109375" style="2894" customWidth="1"/>
    <col min="2857" max="2857" width="13" style="2894" customWidth="1"/>
    <col min="2858" max="2858" width="19.21875" style="2894" customWidth="1"/>
    <col min="2859" max="2860" width="23" style="2894" customWidth="1"/>
    <col min="2861" max="2861" width="9" style="2894" customWidth="1"/>
    <col min="2862" max="3072" width="8.88671875" style="2894"/>
    <col min="3073" max="3073" width="43.77734375" style="2894" customWidth="1"/>
    <col min="3074" max="3074" width="7.109375" style="2894" customWidth="1"/>
    <col min="3075" max="3075" width="15.88671875" style="2894" customWidth="1"/>
    <col min="3076" max="3076" width="7.109375" style="2894" customWidth="1"/>
    <col min="3077" max="3077" width="5.21875" style="2894" customWidth="1"/>
    <col min="3078" max="3078" width="94" style="2894" customWidth="1"/>
    <col min="3079" max="3079" width="9" style="2894" customWidth="1"/>
    <col min="3080" max="3080" width="23.21875" style="2894" customWidth="1"/>
    <col min="3081" max="3081" width="84.77734375" style="2894" customWidth="1"/>
    <col min="3082" max="3083" width="15.88671875" style="2894" customWidth="1"/>
    <col min="3084" max="3084" width="10.109375" style="2894" customWidth="1"/>
    <col min="3085" max="3085" width="9" style="2894" customWidth="1"/>
    <col min="3086" max="3086" width="27.88671875" style="2894" customWidth="1"/>
    <col min="3087" max="3087" width="31.77734375" style="2894" customWidth="1"/>
    <col min="3088" max="3088" width="11.33203125" style="2894" customWidth="1"/>
    <col min="3089" max="3090" width="17.77734375" style="2894" customWidth="1"/>
    <col min="3091" max="3091" width="14.77734375" style="2894" customWidth="1"/>
    <col min="3092" max="3092" width="37.33203125" style="2894" customWidth="1"/>
    <col min="3093" max="3093" width="23.21875" style="2894" customWidth="1"/>
    <col min="3094" max="3098" width="0" style="2894" hidden="1" customWidth="1"/>
    <col min="3099" max="3099" width="10.21875" style="2894" customWidth="1"/>
    <col min="3100" max="3101" width="0" style="2894" hidden="1" customWidth="1"/>
    <col min="3102" max="3102" width="23.21875" style="2894" customWidth="1"/>
    <col min="3103" max="3104" width="0" style="2894" hidden="1" customWidth="1"/>
    <col min="3105" max="3105" width="12.109375" style="2894" customWidth="1"/>
    <col min="3106" max="3106" width="0" style="2894" hidden="1" customWidth="1"/>
    <col min="3107" max="3107" width="18.21875" style="2894" customWidth="1"/>
    <col min="3108" max="3108" width="0" style="2894" hidden="1" customWidth="1"/>
    <col min="3109" max="3109" width="16.33203125" style="2894" customWidth="1"/>
    <col min="3110" max="3110" width="25" style="2894" customWidth="1"/>
    <col min="3111" max="3111" width="0" style="2894" hidden="1" customWidth="1"/>
    <col min="3112" max="3112" width="7.109375" style="2894" customWidth="1"/>
    <col min="3113" max="3113" width="13" style="2894" customWidth="1"/>
    <col min="3114" max="3114" width="19.21875" style="2894" customWidth="1"/>
    <col min="3115" max="3116" width="23" style="2894" customWidth="1"/>
    <col min="3117" max="3117" width="9" style="2894" customWidth="1"/>
    <col min="3118" max="3328" width="8.88671875" style="2894"/>
    <col min="3329" max="3329" width="43.77734375" style="2894" customWidth="1"/>
    <col min="3330" max="3330" width="7.109375" style="2894" customWidth="1"/>
    <col min="3331" max="3331" width="15.88671875" style="2894" customWidth="1"/>
    <col min="3332" max="3332" width="7.109375" style="2894" customWidth="1"/>
    <col min="3333" max="3333" width="5.21875" style="2894" customWidth="1"/>
    <col min="3334" max="3334" width="94" style="2894" customWidth="1"/>
    <col min="3335" max="3335" width="9" style="2894" customWidth="1"/>
    <col min="3336" max="3336" width="23.21875" style="2894" customWidth="1"/>
    <col min="3337" max="3337" width="84.77734375" style="2894" customWidth="1"/>
    <col min="3338" max="3339" width="15.88671875" style="2894" customWidth="1"/>
    <col min="3340" max="3340" width="10.109375" style="2894" customWidth="1"/>
    <col min="3341" max="3341" width="9" style="2894" customWidth="1"/>
    <col min="3342" max="3342" width="27.88671875" style="2894" customWidth="1"/>
    <col min="3343" max="3343" width="31.77734375" style="2894" customWidth="1"/>
    <col min="3344" max="3344" width="11.33203125" style="2894" customWidth="1"/>
    <col min="3345" max="3346" width="17.77734375" style="2894" customWidth="1"/>
    <col min="3347" max="3347" width="14.77734375" style="2894" customWidth="1"/>
    <col min="3348" max="3348" width="37.33203125" style="2894" customWidth="1"/>
    <col min="3349" max="3349" width="23.21875" style="2894" customWidth="1"/>
    <col min="3350" max="3354" width="0" style="2894" hidden="1" customWidth="1"/>
    <col min="3355" max="3355" width="10.21875" style="2894" customWidth="1"/>
    <col min="3356" max="3357" width="0" style="2894" hidden="1" customWidth="1"/>
    <col min="3358" max="3358" width="23.21875" style="2894" customWidth="1"/>
    <col min="3359" max="3360" width="0" style="2894" hidden="1" customWidth="1"/>
    <col min="3361" max="3361" width="12.109375" style="2894" customWidth="1"/>
    <col min="3362" max="3362" width="0" style="2894" hidden="1" customWidth="1"/>
    <col min="3363" max="3363" width="18.21875" style="2894" customWidth="1"/>
    <col min="3364" max="3364" width="0" style="2894" hidden="1" customWidth="1"/>
    <col min="3365" max="3365" width="16.33203125" style="2894" customWidth="1"/>
    <col min="3366" max="3366" width="25" style="2894" customWidth="1"/>
    <col min="3367" max="3367" width="0" style="2894" hidden="1" customWidth="1"/>
    <col min="3368" max="3368" width="7.109375" style="2894" customWidth="1"/>
    <col min="3369" max="3369" width="13" style="2894" customWidth="1"/>
    <col min="3370" max="3370" width="19.21875" style="2894" customWidth="1"/>
    <col min="3371" max="3372" width="23" style="2894" customWidth="1"/>
    <col min="3373" max="3373" width="9" style="2894" customWidth="1"/>
    <col min="3374" max="3584" width="8.88671875" style="2894"/>
    <col min="3585" max="3585" width="43.77734375" style="2894" customWidth="1"/>
    <col min="3586" max="3586" width="7.109375" style="2894" customWidth="1"/>
    <col min="3587" max="3587" width="15.88671875" style="2894" customWidth="1"/>
    <col min="3588" max="3588" width="7.109375" style="2894" customWidth="1"/>
    <col min="3589" max="3589" width="5.21875" style="2894" customWidth="1"/>
    <col min="3590" max="3590" width="94" style="2894" customWidth="1"/>
    <col min="3591" max="3591" width="9" style="2894" customWidth="1"/>
    <col min="3592" max="3592" width="23.21875" style="2894" customWidth="1"/>
    <col min="3593" max="3593" width="84.77734375" style="2894" customWidth="1"/>
    <col min="3594" max="3595" width="15.88671875" style="2894" customWidth="1"/>
    <col min="3596" max="3596" width="10.109375" style="2894" customWidth="1"/>
    <col min="3597" max="3597" width="9" style="2894" customWidth="1"/>
    <col min="3598" max="3598" width="27.88671875" style="2894" customWidth="1"/>
    <col min="3599" max="3599" width="31.77734375" style="2894" customWidth="1"/>
    <col min="3600" max="3600" width="11.33203125" style="2894" customWidth="1"/>
    <col min="3601" max="3602" width="17.77734375" style="2894" customWidth="1"/>
    <col min="3603" max="3603" width="14.77734375" style="2894" customWidth="1"/>
    <col min="3604" max="3604" width="37.33203125" style="2894" customWidth="1"/>
    <col min="3605" max="3605" width="23.21875" style="2894" customWidth="1"/>
    <col min="3606" max="3610" width="0" style="2894" hidden="1" customWidth="1"/>
    <col min="3611" max="3611" width="10.21875" style="2894" customWidth="1"/>
    <col min="3612" max="3613" width="0" style="2894" hidden="1" customWidth="1"/>
    <col min="3614" max="3614" width="23.21875" style="2894" customWidth="1"/>
    <col min="3615" max="3616" width="0" style="2894" hidden="1" customWidth="1"/>
    <col min="3617" max="3617" width="12.109375" style="2894" customWidth="1"/>
    <col min="3618" max="3618" width="0" style="2894" hidden="1" customWidth="1"/>
    <col min="3619" max="3619" width="18.21875" style="2894" customWidth="1"/>
    <col min="3620" max="3620" width="0" style="2894" hidden="1" customWidth="1"/>
    <col min="3621" max="3621" width="16.33203125" style="2894" customWidth="1"/>
    <col min="3622" max="3622" width="25" style="2894" customWidth="1"/>
    <col min="3623" max="3623" width="0" style="2894" hidden="1" customWidth="1"/>
    <col min="3624" max="3624" width="7.109375" style="2894" customWidth="1"/>
    <col min="3625" max="3625" width="13" style="2894" customWidth="1"/>
    <col min="3626" max="3626" width="19.21875" style="2894" customWidth="1"/>
    <col min="3627" max="3628" width="23" style="2894" customWidth="1"/>
    <col min="3629" max="3629" width="9" style="2894" customWidth="1"/>
    <col min="3630" max="3840" width="8.88671875" style="2894"/>
    <col min="3841" max="3841" width="43.77734375" style="2894" customWidth="1"/>
    <col min="3842" max="3842" width="7.109375" style="2894" customWidth="1"/>
    <col min="3843" max="3843" width="15.88671875" style="2894" customWidth="1"/>
    <col min="3844" max="3844" width="7.109375" style="2894" customWidth="1"/>
    <col min="3845" max="3845" width="5.21875" style="2894" customWidth="1"/>
    <col min="3846" max="3846" width="94" style="2894" customWidth="1"/>
    <col min="3847" max="3847" width="9" style="2894" customWidth="1"/>
    <col min="3848" max="3848" width="23.21875" style="2894" customWidth="1"/>
    <col min="3849" max="3849" width="84.77734375" style="2894" customWidth="1"/>
    <col min="3850" max="3851" width="15.88671875" style="2894" customWidth="1"/>
    <col min="3852" max="3852" width="10.109375" style="2894" customWidth="1"/>
    <col min="3853" max="3853" width="9" style="2894" customWidth="1"/>
    <col min="3854" max="3854" width="27.88671875" style="2894" customWidth="1"/>
    <col min="3855" max="3855" width="31.77734375" style="2894" customWidth="1"/>
    <col min="3856" max="3856" width="11.33203125" style="2894" customWidth="1"/>
    <col min="3857" max="3858" width="17.77734375" style="2894" customWidth="1"/>
    <col min="3859" max="3859" width="14.77734375" style="2894" customWidth="1"/>
    <col min="3860" max="3860" width="37.33203125" style="2894" customWidth="1"/>
    <col min="3861" max="3861" width="23.21875" style="2894" customWidth="1"/>
    <col min="3862" max="3866" width="0" style="2894" hidden="1" customWidth="1"/>
    <col min="3867" max="3867" width="10.21875" style="2894" customWidth="1"/>
    <col min="3868" max="3869" width="0" style="2894" hidden="1" customWidth="1"/>
    <col min="3870" max="3870" width="23.21875" style="2894" customWidth="1"/>
    <col min="3871" max="3872" width="0" style="2894" hidden="1" customWidth="1"/>
    <col min="3873" max="3873" width="12.109375" style="2894" customWidth="1"/>
    <col min="3874" max="3874" width="0" style="2894" hidden="1" customWidth="1"/>
    <col min="3875" max="3875" width="18.21875" style="2894" customWidth="1"/>
    <col min="3876" max="3876" width="0" style="2894" hidden="1" customWidth="1"/>
    <col min="3877" max="3877" width="16.33203125" style="2894" customWidth="1"/>
    <col min="3878" max="3878" width="25" style="2894" customWidth="1"/>
    <col min="3879" max="3879" width="0" style="2894" hidden="1" customWidth="1"/>
    <col min="3880" max="3880" width="7.109375" style="2894" customWidth="1"/>
    <col min="3881" max="3881" width="13" style="2894" customWidth="1"/>
    <col min="3882" max="3882" width="19.21875" style="2894" customWidth="1"/>
    <col min="3883" max="3884" width="23" style="2894" customWidth="1"/>
    <col min="3885" max="3885" width="9" style="2894" customWidth="1"/>
    <col min="3886" max="4096" width="8.88671875" style="2894"/>
    <col min="4097" max="4097" width="43.77734375" style="2894" customWidth="1"/>
    <col min="4098" max="4098" width="7.109375" style="2894" customWidth="1"/>
    <col min="4099" max="4099" width="15.88671875" style="2894" customWidth="1"/>
    <col min="4100" max="4100" width="7.109375" style="2894" customWidth="1"/>
    <col min="4101" max="4101" width="5.21875" style="2894" customWidth="1"/>
    <col min="4102" max="4102" width="94" style="2894" customWidth="1"/>
    <col min="4103" max="4103" width="9" style="2894" customWidth="1"/>
    <col min="4104" max="4104" width="23.21875" style="2894" customWidth="1"/>
    <col min="4105" max="4105" width="84.77734375" style="2894" customWidth="1"/>
    <col min="4106" max="4107" width="15.88671875" style="2894" customWidth="1"/>
    <col min="4108" max="4108" width="10.109375" style="2894" customWidth="1"/>
    <col min="4109" max="4109" width="9" style="2894" customWidth="1"/>
    <col min="4110" max="4110" width="27.88671875" style="2894" customWidth="1"/>
    <col min="4111" max="4111" width="31.77734375" style="2894" customWidth="1"/>
    <col min="4112" max="4112" width="11.33203125" style="2894" customWidth="1"/>
    <col min="4113" max="4114" width="17.77734375" style="2894" customWidth="1"/>
    <col min="4115" max="4115" width="14.77734375" style="2894" customWidth="1"/>
    <col min="4116" max="4116" width="37.33203125" style="2894" customWidth="1"/>
    <col min="4117" max="4117" width="23.21875" style="2894" customWidth="1"/>
    <col min="4118" max="4122" width="0" style="2894" hidden="1" customWidth="1"/>
    <col min="4123" max="4123" width="10.21875" style="2894" customWidth="1"/>
    <col min="4124" max="4125" width="0" style="2894" hidden="1" customWidth="1"/>
    <col min="4126" max="4126" width="23.21875" style="2894" customWidth="1"/>
    <col min="4127" max="4128" width="0" style="2894" hidden="1" customWidth="1"/>
    <col min="4129" max="4129" width="12.109375" style="2894" customWidth="1"/>
    <col min="4130" max="4130" width="0" style="2894" hidden="1" customWidth="1"/>
    <col min="4131" max="4131" width="18.21875" style="2894" customWidth="1"/>
    <col min="4132" max="4132" width="0" style="2894" hidden="1" customWidth="1"/>
    <col min="4133" max="4133" width="16.33203125" style="2894" customWidth="1"/>
    <col min="4134" max="4134" width="25" style="2894" customWidth="1"/>
    <col min="4135" max="4135" width="0" style="2894" hidden="1" customWidth="1"/>
    <col min="4136" max="4136" width="7.109375" style="2894" customWidth="1"/>
    <col min="4137" max="4137" width="13" style="2894" customWidth="1"/>
    <col min="4138" max="4138" width="19.21875" style="2894" customWidth="1"/>
    <col min="4139" max="4140" width="23" style="2894" customWidth="1"/>
    <col min="4141" max="4141" width="9" style="2894" customWidth="1"/>
    <col min="4142" max="4352" width="8.88671875" style="2894"/>
    <col min="4353" max="4353" width="43.77734375" style="2894" customWidth="1"/>
    <col min="4354" max="4354" width="7.109375" style="2894" customWidth="1"/>
    <col min="4355" max="4355" width="15.88671875" style="2894" customWidth="1"/>
    <col min="4356" max="4356" width="7.109375" style="2894" customWidth="1"/>
    <col min="4357" max="4357" width="5.21875" style="2894" customWidth="1"/>
    <col min="4358" max="4358" width="94" style="2894" customWidth="1"/>
    <col min="4359" max="4359" width="9" style="2894" customWidth="1"/>
    <col min="4360" max="4360" width="23.21875" style="2894" customWidth="1"/>
    <col min="4361" max="4361" width="84.77734375" style="2894" customWidth="1"/>
    <col min="4362" max="4363" width="15.88671875" style="2894" customWidth="1"/>
    <col min="4364" max="4364" width="10.109375" style="2894" customWidth="1"/>
    <col min="4365" max="4365" width="9" style="2894" customWidth="1"/>
    <col min="4366" max="4366" width="27.88671875" style="2894" customWidth="1"/>
    <col min="4367" max="4367" width="31.77734375" style="2894" customWidth="1"/>
    <col min="4368" max="4368" width="11.33203125" style="2894" customWidth="1"/>
    <col min="4369" max="4370" width="17.77734375" style="2894" customWidth="1"/>
    <col min="4371" max="4371" width="14.77734375" style="2894" customWidth="1"/>
    <col min="4372" max="4372" width="37.33203125" style="2894" customWidth="1"/>
    <col min="4373" max="4373" width="23.21875" style="2894" customWidth="1"/>
    <col min="4374" max="4378" width="0" style="2894" hidden="1" customWidth="1"/>
    <col min="4379" max="4379" width="10.21875" style="2894" customWidth="1"/>
    <col min="4380" max="4381" width="0" style="2894" hidden="1" customWidth="1"/>
    <col min="4382" max="4382" width="23.21875" style="2894" customWidth="1"/>
    <col min="4383" max="4384" width="0" style="2894" hidden="1" customWidth="1"/>
    <col min="4385" max="4385" width="12.109375" style="2894" customWidth="1"/>
    <col min="4386" max="4386" width="0" style="2894" hidden="1" customWidth="1"/>
    <col min="4387" max="4387" width="18.21875" style="2894" customWidth="1"/>
    <col min="4388" max="4388" width="0" style="2894" hidden="1" customWidth="1"/>
    <col min="4389" max="4389" width="16.33203125" style="2894" customWidth="1"/>
    <col min="4390" max="4390" width="25" style="2894" customWidth="1"/>
    <col min="4391" max="4391" width="0" style="2894" hidden="1" customWidth="1"/>
    <col min="4392" max="4392" width="7.109375" style="2894" customWidth="1"/>
    <col min="4393" max="4393" width="13" style="2894" customWidth="1"/>
    <col min="4394" max="4394" width="19.21875" style="2894" customWidth="1"/>
    <col min="4395" max="4396" width="23" style="2894" customWidth="1"/>
    <col min="4397" max="4397" width="9" style="2894" customWidth="1"/>
    <col min="4398" max="4608" width="8.88671875" style="2894"/>
    <col min="4609" max="4609" width="43.77734375" style="2894" customWidth="1"/>
    <col min="4610" max="4610" width="7.109375" style="2894" customWidth="1"/>
    <col min="4611" max="4611" width="15.88671875" style="2894" customWidth="1"/>
    <col min="4612" max="4612" width="7.109375" style="2894" customWidth="1"/>
    <col min="4613" max="4613" width="5.21875" style="2894" customWidth="1"/>
    <col min="4614" max="4614" width="94" style="2894" customWidth="1"/>
    <col min="4615" max="4615" width="9" style="2894" customWidth="1"/>
    <col min="4616" max="4616" width="23.21875" style="2894" customWidth="1"/>
    <col min="4617" max="4617" width="84.77734375" style="2894" customWidth="1"/>
    <col min="4618" max="4619" width="15.88671875" style="2894" customWidth="1"/>
    <col min="4620" max="4620" width="10.109375" style="2894" customWidth="1"/>
    <col min="4621" max="4621" width="9" style="2894" customWidth="1"/>
    <col min="4622" max="4622" width="27.88671875" style="2894" customWidth="1"/>
    <col min="4623" max="4623" width="31.77734375" style="2894" customWidth="1"/>
    <col min="4624" max="4624" width="11.33203125" style="2894" customWidth="1"/>
    <col min="4625" max="4626" width="17.77734375" style="2894" customWidth="1"/>
    <col min="4627" max="4627" width="14.77734375" style="2894" customWidth="1"/>
    <col min="4628" max="4628" width="37.33203125" style="2894" customWidth="1"/>
    <col min="4629" max="4629" width="23.21875" style="2894" customWidth="1"/>
    <col min="4630" max="4634" width="0" style="2894" hidden="1" customWidth="1"/>
    <col min="4635" max="4635" width="10.21875" style="2894" customWidth="1"/>
    <col min="4636" max="4637" width="0" style="2894" hidden="1" customWidth="1"/>
    <col min="4638" max="4638" width="23.21875" style="2894" customWidth="1"/>
    <col min="4639" max="4640" width="0" style="2894" hidden="1" customWidth="1"/>
    <col min="4641" max="4641" width="12.109375" style="2894" customWidth="1"/>
    <col min="4642" max="4642" width="0" style="2894" hidden="1" customWidth="1"/>
    <col min="4643" max="4643" width="18.21875" style="2894" customWidth="1"/>
    <col min="4644" max="4644" width="0" style="2894" hidden="1" customWidth="1"/>
    <col min="4645" max="4645" width="16.33203125" style="2894" customWidth="1"/>
    <col min="4646" max="4646" width="25" style="2894" customWidth="1"/>
    <col min="4647" max="4647" width="0" style="2894" hidden="1" customWidth="1"/>
    <col min="4648" max="4648" width="7.109375" style="2894" customWidth="1"/>
    <col min="4649" max="4649" width="13" style="2894" customWidth="1"/>
    <col min="4650" max="4650" width="19.21875" style="2894" customWidth="1"/>
    <col min="4651" max="4652" width="23" style="2894" customWidth="1"/>
    <col min="4653" max="4653" width="9" style="2894" customWidth="1"/>
    <col min="4654" max="4864" width="8.88671875" style="2894"/>
    <col min="4865" max="4865" width="43.77734375" style="2894" customWidth="1"/>
    <col min="4866" max="4866" width="7.109375" style="2894" customWidth="1"/>
    <col min="4867" max="4867" width="15.88671875" style="2894" customWidth="1"/>
    <col min="4868" max="4868" width="7.109375" style="2894" customWidth="1"/>
    <col min="4869" max="4869" width="5.21875" style="2894" customWidth="1"/>
    <col min="4870" max="4870" width="94" style="2894" customWidth="1"/>
    <col min="4871" max="4871" width="9" style="2894" customWidth="1"/>
    <col min="4872" max="4872" width="23.21875" style="2894" customWidth="1"/>
    <col min="4873" max="4873" width="84.77734375" style="2894" customWidth="1"/>
    <col min="4874" max="4875" width="15.88671875" style="2894" customWidth="1"/>
    <col min="4876" max="4876" width="10.109375" style="2894" customWidth="1"/>
    <col min="4877" max="4877" width="9" style="2894" customWidth="1"/>
    <col min="4878" max="4878" width="27.88671875" style="2894" customWidth="1"/>
    <col min="4879" max="4879" width="31.77734375" style="2894" customWidth="1"/>
    <col min="4880" max="4880" width="11.33203125" style="2894" customWidth="1"/>
    <col min="4881" max="4882" width="17.77734375" style="2894" customWidth="1"/>
    <col min="4883" max="4883" width="14.77734375" style="2894" customWidth="1"/>
    <col min="4884" max="4884" width="37.33203125" style="2894" customWidth="1"/>
    <col min="4885" max="4885" width="23.21875" style="2894" customWidth="1"/>
    <col min="4886" max="4890" width="0" style="2894" hidden="1" customWidth="1"/>
    <col min="4891" max="4891" width="10.21875" style="2894" customWidth="1"/>
    <col min="4892" max="4893" width="0" style="2894" hidden="1" customWidth="1"/>
    <col min="4894" max="4894" width="23.21875" style="2894" customWidth="1"/>
    <col min="4895" max="4896" width="0" style="2894" hidden="1" customWidth="1"/>
    <col min="4897" max="4897" width="12.109375" style="2894" customWidth="1"/>
    <col min="4898" max="4898" width="0" style="2894" hidden="1" customWidth="1"/>
    <col min="4899" max="4899" width="18.21875" style="2894" customWidth="1"/>
    <col min="4900" max="4900" width="0" style="2894" hidden="1" customWidth="1"/>
    <col min="4901" max="4901" width="16.33203125" style="2894" customWidth="1"/>
    <col min="4902" max="4902" width="25" style="2894" customWidth="1"/>
    <col min="4903" max="4903" width="0" style="2894" hidden="1" customWidth="1"/>
    <col min="4904" max="4904" width="7.109375" style="2894" customWidth="1"/>
    <col min="4905" max="4905" width="13" style="2894" customWidth="1"/>
    <col min="4906" max="4906" width="19.21875" style="2894" customWidth="1"/>
    <col min="4907" max="4908" width="23" style="2894" customWidth="1"/>
    <col min="4909" max="4909" width="9" style="2894" customWidth="1"/>
    <col min="4910" max="5120" width="8.88671875" style="2894"/>
    <col min="5121" max="5121" width="43.77734375" style="2894" customWidth="1"/>
    <col min="5122" max="5122" width="7.109375" style="2894" customWidth="1"/>
    <col min="5123" max="5123" width="15.88671875" style="2894" customWidth="1"/>
    <col min="5124" max="5124" width="7.109375" style="2894" customWidth="1"/>
    <col min="5125" max="5125" width="5.21875" style="2894" customWidth="1"/>
    <col min="5126" max="5126" width="94" style="2894" customWidth="1"/>
    <col min="5127" max="5127" width="9" style="2894" customWidth="1"/>
    <col min="5128" max="5128" width="23.21875" style="2894" customWidth="1"/>
    <col min="5129" max="5129" width="84.77734375" style="2894" customWidth="1"/>
    <col min="5130" max="5131" width="15.88671875" style="2894" customWidth="1"/>
    <col min="5132" max="5132" width="10.109375" style="2894" customWidth="1"/>
    <col min="5133" max="5133" width="9" style="2894" customWidth="1"/>
    <col min="5134" max="5134" width="27.88671875" style="2894" customWidth="1"/>
    <col min="5135" max="5135" width="31.77734375" style="2894" customWidth="1"/>
    <col min="5136" max="5136" width="11.33203125" style="2894" customWidth="1"/>
    <col min="5137" max="5138" width="17.77734375" style="2894" customWidth="1"/>
    <col min="5139" max="5139" width="14.77734375" style="2894" customWidth="1"/>
    <col min="5140" max="5140" width="37.33203125" style="2894" customWidth="1"/>
    <col min="5141" max="5141" width="23.21875" style="2894" customWidth="1"/>
    <col min="5142" max="5146" width="0" style="2894" hidden="1" customWidth="1"/>
    <col min="5147" max="5147" width="10.21875" style="2894" customWidth="1"/>
    <col min="5148" max="5149" width="0" style="2894" hidden="1" customWidth="1"/>
    <col min="5150" max="5150" width="23.21875" style="2894" customWidth="1"/>
    <col min="5151" max="5152" width="0" style="2894" hidden="1" customWidth="1"/>
    <col min="5153" max="5153" width="12.109375" style="2894" customWidth="1"/>
    <col min="5154" max="5154" width="0" style="2894" hidden="1" customWidth="1"/>
    <col min="5155" max="5155" width="18.21875" style="2894" customWidth="1"/>
    <col min="5156" max="5156" width="0" style="2894" hidden="1" customWidth="1"/>
    <col min="5157" max="5157" width="16.33203125" style="2894" customWidth="1"/>
    <col min="5158" max="5158" width="25" style="2894" customWidth="1"/>
    <col min="5159" max="5159" width="0" style="2894" hidden="1" customWidth="1"/>
    <col min="5160" max="5160" width="7.109375" style="2894" customWidth="1"/>
    <col min="5161" max="5161" width="13" style="2894" customWidth="1"/>
    <col min="5162" max="5162" width="19.21875" style="2894" customWidth="1"/>
    <col min="5163" max="5164" width="23" style="2894" customWidth="1"/>
    <col min="5165" max="5165" width="9" style="2894" customWidth="1"/>
    <col min="5166" max="5376" width="8.88671875" style="2894"/>
    <col min="5377" max="5377" width="43.77734375" style="2894" customWidth="1"/>
    <col min="5378" max="5378" width="7.109375" style="2894" customWidth="1"/>
    <col min="5379" max="5379" width="15.88671875" style="2894" customWidth="1"/>
    <col min="5380" max="5380" width="7.109375" style="2894" customWidth="1"/>
    <col min="5381" max="5381" width="5.21875" style="2894" customWidth="1"/>
    <col min="5382" max="5382" width="94" style="2894" customWidth="1"/>
    <col min="5383" max="5383" width="9" style="2894" customWidth="1"/>
    <col min="5384" max="5384" width="23.21875" style="2894" customWidth="1"/>
    <col min="5385" max="5385" width="84.77734375" style="2894" customWidth="1"/>
    <col min="5386" max="5387" width="15.88671875" style="2894" customWidth="1"/>
    <col min="5388" max="5388" width="10.109375" style="2894" customWidth="1"/>
    <col min="5389" max="5389" width="9" style="2894" customWidth="1"/>
    <col min="5390" max="5390" width="27.88671875" style="2894" customWidth="1"/>
    <col min="5391" max="5391" width="31.77734375" style="2894" customWidth="1"/>
    <col min="5392" max="5392" width="11.33203125" style="2894" customWidth="1"/>
    <col min="5393" max="5394" width="17.77734375" style="2894" customWidth="1"/>
    <col min="5395" max="5395" width="14.77734375" style="2894" customWidth="1"/>
    <col min="5396" max="5396" width="37.33203125" style="2894" customWidth="1"/>
    <col min="5397" max="5397" width="23.21875" style="2894" customWidth="1"/>
    <col min="5398" max="5402" width="0" style="2894" hidden="1" customWidth="1"/>
    <col min="5403" max="5403" width="10.21875" style="2894" customWidth="1"/>
    <col min="5404" max="5405" width="0" style="2894" hidden="1" customWidth="1"/>
    <col min="5406" max="5406" width="23.21875" style="2894" customWidth="1"/>
    <col min="5407" max="5408" width="0" style="2894" hidden="1" customWidth="1"/>
    <col min="5409" max="5409" width="12.109375" style="2894" customWidth="1"/>
    <col min="5410" max="5410" width="0" style="2894" hidden="1" customWidth="1"/>
    <col min="5411" max="5411" width="18.21875" style="2894" customWidth="1"/>
    <col min="5412" max="5412" width="0" style="2894" hidden="1" customWidth="1"/>
    <col min="5413" max="5413" width="16.33203125" style="2894" customWidth="1"/>
    <col min="5414" max="5414" width="25" style="2894" customWidth="1"/>
    <col min="5415" max="5415" width="0" style="2894" hidden="1" customWidth="1"/>
    <col min="5416" max="5416" width="7.109375" style="2894" customWidth="1"/>
    <col min="5417" max="5417" width="13" style="2894" customWidth="1"/>
    <col min="5418" max="5418" width="19.21875" style="2894" customWidth="1"/>
    <col min="5419" max="5420" width="23" style="2894" customWidth="1"/>
    <col min="5421" max="5421" width="9" style="2894" customWidth="1"/>
    <col min="5422" max="5632" width="8.88671875" style="2894"/>
    <col min="5633" max="5633" width="43.77734375" style="2894" customWidth="1"/>
    <col min="5634" max="5634" width="7.109375" style="2894" customWidth="1"/>
    <col min="5635" max="5635" width="15.88671875" style="2894" customWidth="1"/>
    <col min="5636" max="5636" width="7.109375" style="2894" customWidth="1"/>
    <col min="5637" max="5637" width="5.21875" style="2894" customWidth="1"/>
    <col min="5638" max="5638" width="94" style="2894" customWidth="1"/>
    <col min="5639" max="5639" width="9" style="2894" customWidth="1"/>
    <col min="5640" max="5640" width="23.21875" style="2894" customWidth="1"/>
    <col min="5641" max="5641" width="84.77734375" style="2894" customWidth="1"/>
    <col min="5642" max="5643" width="15.88671875" style="2894" customWidth="1"/>
    <col min="5644" max="5644" width="10.109375" style="2894" customWidth="1"/>
    <col min="5645" max="5645" width="9" style="2894" customWidth="1"/>
    <col min="5646" max="5646" width="27.88671875" style="2894" customWidth="1"/>
    <col min="5647" max="5647" width="31.77734375" style="2894" customWidth="1"/>
    <col min="5648" max="5648" width="11.33203125" style="2894" customWidth="1"/>
    <col min="5649" max="5650" width="17.77734375" style="2894" customWidth="1"/>
    <col min="5651" max="5651" width="14.77734375" style="2894" customWidth="1"/>
    <col min="5652" max="5652" width="37.33203125" style="2894" customWidth="1"/>
    <col min="5653" max="5653" width="23.21875" style="2894" customWidth="1"/>
    <col min="5654" max="5658" width="0" style="2894" hidden="1" customWidth="1"/>
    <col min="5659" max="5659" width="10.21875" style="2894" customWidth="1"/>
    <col min="5660" max="5661" width="0" style="2894" hidden="1" customWidth="1"/>
    <col min="5662" max="5662" width="23.21875" style="2894" customWidth="1"/>
    <col min="5663" max="5664" width="0" style="2894" hidden="1" customWidth="1"/>
    <col min="5665" max="5665" width="12.109375" style="2894" customWidth="1"/>
    <col min="5666" max="5666" width="0" style="2894" hidden="1" customWidth="1"/>
    <col min="5667" max="5667" width="18.21875" style="2894" customWidth="1"/>
    <col min="5668" max="5668" width="0" style="2894" hidden="1" customWidth="1"/>
    <col min="5669" max="5669" width="16.33203125" style="2894" customWidth="1"/>
    <col min="5670" max="5670" width="25" style="2894" customWidth="1"/>
    <col min="5671" max="5671" width="0" style="2894" hidden="1" customWidth="1"/>
    <col min="5672" max="5672" width="7.109375" style="2894" customWidth="1"/>
    <col min="5673" max="5673" width="13" style="2894" customWidth="1"/>
    <col min="5674" max="5674" width="19.21875" style="2894" customWidth="1"/>
    <col min="5675" max="5676" width="23" style="2894" customWidth="1"/>
    <col min="5677" max="5677" width="9" style="2894" customWidth="1"/>
    <col min="5678" max="5888" width="8.88671875" style="2894"/>
    <col min="5889" max="5889" width="43.77734375" style="2894" customWidth="1"/>
    <col min="5890" max="5890" width="7.109375" style="2894" customWidth="1"/>
    <col min="5891" max="5891" width="15.88671875" style="2894" customWidth="1"/>
    <col min="5892" max="5892" width="7.109375" style="2894" customWidth="1"/>
    <col min="5893" max="5893" width="5.21875" style="2894" customWidth="1"/>
    <col min="5894" max="5894" width="94" style="2894" customWidth="1"/>
    <col min="5895" max="5895" width="9" style="2894" customWidth="1"/>
    <col min="5896" max="5896" width="23.21875" style="2894" customWidth="1"/>
    <col min="5897" max="5897" width="84.77734375" style="2894" customWidth="1"/>
    <col min="5898" max="5899" width="15.88671875" style="2894" customWidth="1"/>
    <col min="5900" max="5900" width="10.109375" style="2894" customWidth="1"/>
    <col min="5901" max="5901" width="9" style="2894" customWidth="1"/>
    <col min="5902" max="5902" width="27.88671875" style="2894" customWidth="1"/>
    <col min="5903" max="5903" width="31.77734375" style="2894" customWidth="1"/>
    <col min="5904" max="5904" width="11.33203125" style="2894" customWidth="1"/>
    <col min="5905" max="5906" width="17.77734375" style="2894" customWidth="1"/>
    <col min="5907" max="5907" width="14.77734375" style="2894" customWidth="1"/>
    <col min="5908" max="5908" width="37.33203125" style="2894" customWidth="1"/>
    <col min="5909" max="5909" width="23.21875" style="2894" customWidth="1"/>
    <col min="5910" max="5914" width="0" style="2894" hidden="1" customWidth="1"/>
    <col min="5915" max="5915" width="10.21875" style="2894" customWidth="1"/>
    <col min="5916" max="5917" width="0" style="2894" hidden="1" customWidth="1"/>
    <col min="5918" max="5918" width="23.21875" style="2894" customWidth="1"/>
    <col min="5919" max="5920" width="0" style="2894" hidden="1" customWidth="1"/>
    <col min="5921" max="5921" width="12.109375" style="2894" customWidth="1"/>
    <col min="5922" max="5922" width="0" style="2894" hidden="1" customWidth="1"/>
    <col min="5923" max="5923" width="18.21875" style="2894" customWidth="1"/>
    <col min="5924" max="5924" width="0" style="2894" hidden="1" customWidth="1"/>
    <col min="5925" max="5925" width="16.33203125" style="2894" customWidth="1"/>
    <col min="5926" max="5926" width="25" style="2894" customWidth="1"/>
    <col min="5927" max="5927" width="0" style="2894" hidden="1" customWidth="1"/>
    <col min="5928" max="5928" width="7.109375" style="2894" customWidth="1"/>
    <col min="5929" max="5929" width="13" style="2894" customWidth="1"/>
    <col min="5930" max="5930" width="19.21875" style="2894" customWidth="1"/>
    <col min="5931" max="5932" width="23" style="2894" customWidth="1"/>
    <col min="5933" max="5933" width="9" style="2894" customWidth="1"/>
    <col min="5934" max="6144" width="8.88671875" style="2894"/>
    <col min="6145" max="6145" width="43.77734375" style="2894" customWidth="1"/>
    <col min="6146" max="6146" width="7.109375" style="2894" customWidth="1"/>
    <col min="6147" max="6147" width="15.88671875" style="2894" customWidth="1"/>
    <col min="6148" max="6148" width="7.109375" style="2894" customWidth="1"/>
    <col min="6149" max="6149" width="5.21875" style="2894" customWidth="1"/>
    <col min="6150" max="6150" width="94" style="2894" customWidth="1"/>
    <col min="6151" max="6151" width="9" style="2894" customWidth="1"/>
    <col min="6152" max="6152" width="23.21875" style="2894" customWidth="1"/>
    <col min="6153" max="6153" width="84.77734375" style="2894" customWidth="1"/>
    <col min="6154" max="6155" width="15.88671875" style="2894" customWidth="1"/>
    <col min="6156" max="6156" width="10.109375" style="2894" customWidth="1"/>
    <col min="6157" max="6157" width="9" style="2894" customWidth="1"/>
    <col min="6158" max="6158" width="27.88671875" style="2894" customWidth="1"/>
    <col min="6159" max="6159" width="31.77734375" style="2894" customWidth="1"/>
    <col min="6160" max="6160" width="11.33203125" style="2894" customWidth="1"/>
    <col min="6161" max="6162" width="17.77734375" style="2894" customWidth="1"/>
    <col min="6163" max="6163" width="14.77734375" style="2894" customWidth="1"/>
    <col min="6164" max="6164" width="37.33203125" style="2894" customWidth="1"/>
    <col min="6165" max="6165" width="23.21875" style="2894" customWidth="1"/>
    <col min="6166" max="6170" width="0" style="2894" hidden="1" customWidth="1"/>
    <col min="6171" max="6171" width="10.21875" style="2894" customWidth="1"/>
    <col min="6172" max="6173" width="0" style="2894" hidden="1" customWidth="1"/>
    <col min="6174" max="6174" width="23.21875" style="2894" customWidth="1"/>
    <col min="6175" max="6176" width="0" style="2894" hidden="1" customWidth="1"/>
    <col min="6177" max="6177" width="12.109375" style="2894" customWidth="1"/>
    <col min="6178" max="6178" width="0" style="2894" hidden="1" customWidth="1"/>
    <col min="6179" max="6179" width="18.21875" style="2894" customWidth="1"/>
    <col min="6180" max="6180" width="0" style="2894" hidden="1" customWidth="1"/>
    <col min="6181" max="6181" width="16.33203125" style="2894" customWidth="1"/>
    <col min="6182" max="6182" width="25" style="2894" customWidth="1"/>
    <col min="6183" max="6183" width="0" style="2894" hidden="1" customWidth="1"/>
    <col min="6184" max="6184" width="7.109375" style="2894" customWidth="1"/>
    <col min="6185" max="6185" width="13" style="2894" customWidth="1"/>
    <col min="6186" max="6186" width="19.21875" style="2894" customWidth="1"/>
    <col min="6187" max="6188" width="23" style="2894" customWidth="1"/>
    <col min="6189" max="6189" width="9" style="2894" customWidth="1"/>
    <col min="6190" max="6400" width="8.88671875" style="2894"/>
    <col min="6401" max="6401" width="43.77734375" style="2894" customWidth="1"/>
    <col min="6402" max="6402" width="7.109375" style="2894" customWidth="1"/>
    <col min="6403" max="6403" width="15.88671875" style="2894" customWidth="1"/>
    <col min="6404" max="6404" width="7.109375" style="2894" customWidth="1"/>
    <col min="6405" max="6405" width="5.21875" style="2894" customWidth="1"/>
    <col min="6406" max="6406" width="94" style="2894" customWidth="1"/>
    <col min="6407" max="6407" width="9" style="2894" customWidth="1"/>
    <col min="6408" max="6408" width="23.21875" style="2894" customWidth="1"/>
    <col min="6409" max="6409" width="84.77734375" style="2894" customWidth="1"/>
    <col min="6410" max="6411" width="15.88671875" style="2894" customWidth="1"/>
    <col min="6412" max="6412" width="10.109375" style="2894" customWidth="1"/>
    <col min="6413" max="6413" width="9" style="2894" customWidth="1"/>
    <col min="6414" max="6414" width="27.88671875" style="2894" customWidth="1"/>
    <col min="6415" max="6415" width="31.77734375" style="2894" customWidth="1"/>
    <col min="6416" max="6416" width="11.33203125" style="2894" customWidth="1"/>
    <col min="6417" max="6418" width="17.77734375" style="2894" customWidth="1"/>
    <col min="6419" max="6419" width="14.77734375" style="2894" customWidth="1"/>
    <col min="6420" max="6420" width="37.33203125" style="2894" customWidth="1"/>
    <col min="6421" max="6421" width="23.21875" style="2894" customWidth="1"/>
    <col min="6422" max="6426" width="0" style="2894" hidden="1" customWidth="1"/>
    <col min="6427" max="6427" width="10.21875" style="2894" customWidth="1"/>
    <col min="6428" max="6429" width="0" style="2894" hidden="1" customWidth="1"/>
    <col min="6430" max="6430" width="23.21875" style="2894" customWidth="1"/>
    <col min="6431" max="6432" width="0" style="2894" hidden="1" customWidth="1"/>
    <col min="6433" max="6433" width="12.109375" style="2894" customWidth="1"/>
    <col min="6434" max="6434" width="0" style="2894" hidden="1" customWidth="1"/>
    <col min="6435" max="6435" width="18.21875" style="2894" customWidth="1"/>
    <col min="6436" max="6436" width="0" style="2894" hidden="1" customWidth="1"/>
    <col min="6437" max="6437" width="16.33203125" style="2894" customWidth="1"/>
    <col min="6438" max="6438" width="25" style="2894" customWidth="1"/>
    <col min="6439" max="6439" width="0" style="2894" hidden="1" customWidth="1"/>
    <col min="6440" max="6440" width="7.109375" style="2894" customWidth="1"/>
    <col min="6441" max="6441" width="13" style="2894" customWidth="1"/>
    <col min="6442" max="6442" width="19.21875" style="2894" customWidth="1"/>
    <col min="6443" max="6444" width="23" style="2894" customWidth="1"/>
    <col min="6445" max="6445" width="9" style="2894" customWidth="1"/>
    <col min="6446" max="6656" width="8.88671875" style="2894"/>
    <col min="6657" max="6657" width="43.77734375" style="2894" customWidth="1"/>
    <col min="6658" max="6658" width="7.109375" style="2894" customWidth="1"/>
    <col min="6659" max="6659" width="15.88671875" style="2894" customWidth="1"/>
    <col min="6660" max="6660" width="7.109375" style="2894" customWidth="1"/>
    <col min="6661" max="6661" width="5.21875" style="2894" customWidth="1"/>
    <col min="6662" max="6662" width="94" style="2894" customWidth="1"/>
    <col min="6663" max="6663" width="9" style="2894" customWidth="1"/>
    <col min="6664" max="6664" width="23.21875" style="2894" customWidth="1"/>
    <col min="6665" max="6665" width="84.77734375" style="2894" customWidth="1"/>
    <col min="6666" max="6667" width="15.88671875" style="2894" customWidth="1"/>
    <col min="6668" max="6668" width="10.109375" style="2894" customWidth="1"/>
    <col min="6669" max="6669" width="9" style="2894" customWidth="1"/>
    <col min="6670" max="6670" width="27.88671875" style="2894" customWidth="1"/>
    <col min="6671" max="6671" width="31.77734375" style="2894" customWidth="1"/>
    <col min="6672" max="6672" width="11.33203125" style="2894" customWidth="1"/>
    <col min="6673" max="6674" width="17.77734375" style="2894" customWidth="1"/>
    <col min="6675" max="6675" width="14.77734375" style="2894" customWidth="1"/>
    <col min="6676" max="6676" width="37.33203125" style="2894" customWidth="1"/>
    <col min="6677" max="6677" width="23.21875" style="2894" customWidth="1"/>
    <col min="6678" max="6682" width="0" style="2894" hidden="1" customWidth="1"/>
    <col min="6683" max="6683" width="10.21875" style="2894" customWidth="1"/>
    <col min="6684" max="6685" width="0" style="2894" hidden="1" customWidth="1"/>
    <col min="6686" max="6686" width="23.21875" style="2894" customWidth="1"/>
    <col min="6687" max="6688" width="0" style="2894" hidden="1" customWidth="1"/>
    <col min="6689" max="6689" width="12.109375" style="2894" customWidth="1"/>
    <col min="6690" max="6690" width="0" style="2894" hidden="1" customWidth="1"/>
    <col min="6691" max="6691" width="18.21875" style="2894" customWidth="1"/>
    <col min="6692" max="6692" width="0" style="2894" hidden="1" customWidth="1"/>
    <col min="6693" max="6693" width="16.33203125" style="2894" customWidth="1"/>
    <col min="6694" max="6694" width="25" style="2894" customWidth="1"/>
    <col min="6695" max="6695" width="0" style="2894" hidden="1" customWidth="1"/>
    <col min="6696" max="6696" width="7.109375" style="2894" customWidth="1"/>
    <col min="6697" max="6697" width="13" style="2894" customWidth="1"/>
    <col min="6698" max="6698" width="19.21875" style="2894" customWidth="1"/>
    <col min="6699" max="6700" width="23" style="2894" customWidth="1"/>
    <col min="6701" max="6701" width="9" style="2894" customWidth="1"/>
    <col min="6702" max="6912" width="8.88671875" style="2894"/>
    <col min="6913" max="6913" width="43.77734375" style="2894" customWidth="1"/>
    <col min="6914" max="6914" width="7.109375" style="2894" customWidth="1"/>
    <col min="6915" max="6915" width="15.88671875" style="2894" customWidth="1"/>
    <col min="6916" max="6916" width="7.109375" style="2894" customWidth="1"/>
    <col min="6917" max="6917" width="5.21875" style="2894" customWidth="1"/>
    <col min="6918" max="6918" width="94" style="2894" customWidth="1"/>
    <col min="6919" max="6919" width="9" style="2894" customWidth="1"/>
    <col min="6920" max="6920" width="23.21875" style="2894" customWidth="1"/>
    <col min="6921" max="6921" width="84.77734375" style="2894" customWidth="1"/>
    <col min="6922" max="6923" width="15.88671875" style="2894" customWidth="1"/>
    <col min="6924" max="6924" width="10.109375" style="2894" customWidth="1"/>
    <col min="6925" max="6925" width="9" style="2894" customWidth="1"/>
    <col min="6926" max="6926" width="27.88671875" style="2894" customWidth="1"/>
    <col min="6927" max="6927" width="31.77734375" style="2894" customWidth="1"/>
    <col min="6928" max="6928" width="11.33203125" style="2894" customWidth="1"/>
    <col min="6929" max="6930" width="17.77734375" style="2894" customWidth="1"/>
    <col min="6931" max="6931" width="14.77734375" style="2894" customWidth="1"/>
    <col min="6932" max="6932" width="37.33203125" style="2894" customWidth="1"/>
    <col min="6933" max="6933" width="23.21875" style="2894" customWidth="1"/>
    <col min="6934" max="6938" width="0" style="2894" hidden="1" customWidth="1"/>
    <col min="6939" max="6939" width="10.21875" style="2894" customWidth="1"/>
    <col min="6940" max="6941" width="0" style="2894" hidden="1" customWidth="1"/>
    <col min="6942" max="6942" width="23.21875" style="2894" customWidth="1"/>
    <col min="6943" max="6944" width="0" style="2894" hidden="1" customWidth="1"/>
    <col min="6945" max="6945" width="12.109375" style="2894" customWidth="1"/>
    <col min="6946" max="6946" width="0" style="2894" hidden="1" customWidth="1"/>
    <col min="6947" max="6947" width="18.21875" style="2894" customWidth="1"/>
    <col min="6948" max="6948" width="0" style="2894" hidden="1" customWidth="1"/>
    <col min="6949" max="6949" width="16.33203125" style="2894" customWidth="1"/>
    <col min="6950" max="6950" width="25" style="2894" customWidth="1"/>
    <col min="6951" max="6951" width="0" style="2894" hidden="1" customWidth="1"/>
    <col min="6952" max="6952" width="7.109375" style="2894" customWidth="1"/>
    <col min="6953" max="6953" width="13" style="2894" customWidth="1"/>
    <col min="6954" max="6954" width="19.21875" style="2894" customWidth="1"/>
    <col min="6955" max="6956" width="23" style="2894" customWidth="1"/>
    <col min="6957" max="6957" width="9" style="2894" customWidth="1"/>
    <col min="6958" max="7168" width="8.88671875" style="2894"/>
    <col min="7169" max="7169" width="43.77734375" style="2894" customWidth="1"/>
    <col min="7170" max="7170" width="7.109375" style="2894" customWidth="1"/>
    <col min="7171" max="7171" width="15.88671875" style="2894" customWidth="1"/>
    <col min="7172" max="7172" width="7.109375" style="2894" customWidth="1"/>
    <col min="7173" max="7173" width="5.21875" style="2894" customWidth="1"/>
    <col min="7174" max="7174" width="94" style="2894" customWidth="1"/>
    <col min="7175" max="7175" width="9" style="2894" customWidth="1"/>
    <col min="7176" max="7176" width="23.21875" style="2894" customWidth="1"/>
    <col min="7177" max="7177" width="84.77734375" style="2894" customWidth="1"/>
    <col min="7178" max="7179" width="15.88671875" style="2894" customWidth="1"/>
    <col min="7180" max="7180" width="10.109375" style="2894" customWidth="1"/>
    <col min="7181" max="7181" width="9" style="2894" customWidth="1"/>
    <col min="7182" max="7182" width="27.88671875" style="2894" customWidth="1"/>
    <col min="7183" max="7183" width="31.77734375" style="2894" customWidth="1"/>
    <col min="7184" max="7184" width="11.33203125" style="2894" customWidth="1"/>
    <col min="7185" max="7186" width="17.77734375" style="2894" customWidth="1"/>
    <col min="7187" max="7187" width="14.77734375" style="2894" customWidth="1"/>
    <col min="7188" max="7188" width="37.33203125" style="2894" customWidth="1"/>
    <col min="7189" max="7189" width="23.21875" style="2894" customWidth="1"/>
    <col min="7190" max="7194" width="0" style="2894" hidden="1" customWidth="1"/>
    <col min="7195" max="7195" width="10.21875" style="2894" customWidth="1"/>
    <col min="7196" max="7197" width="0" style="2894" hidden="1" customWidth="1"/>
    <col min="7198" max="7198" width="23.21875" style="2894" customWidth="1"/>
    <col min="7199" max="7200" width="0" style="2894" hidden="1" customWidth="1"/>
    <col min="7201" max="7201" width="12.109375" style="2894" customWidth="1"/>
    <col min="7202" max="7202" width="0" style="2894" hidden="1" customWidth="1"/>
    <col min="7203" max="7203" width="18.21875" style="2894" customWidth="1"/>
    <col min="7204" max="7204" width="0" style="2894" hidden="1" customWidth="1"/>
    <col min="7205" max="7205" width="16.33203125" style="2894" customWidth="1"/>
    <col min="7206" max="7206" width="25" style="2894" customWidth="1"/>
    <col min="7207" max="7207" width="0" style="2894" hidden="1" customWidth="1"/>
    <col min="7208" max="7208" width="7.109375" style="2894" customWidth="1"/>
    <col min="7209" max="7209" width="13" style="2894" customWidth="1"/>
    <col min="7210" max="7210" width="19.21875" style="2894" customWidth="1"/>
    <col min="7211" max="7212" width="23" style="2894" customWidth="1"/>
    <col min="7213" max="7213" width="9" style="2894" customWidth="1"/>
    <col min="7214" max="7424" width="8.88671875" style="2894"/>
    <col min="7425" max="7425" width="43.77734375" style="2894" customWidth="1"/>
    <col min="7426" max="7426" width="7.109375" style="2894" customWidth="1"/>
    <col min="7427" max="7427" width="15.88671875" style="2894" customWidth="1"/>
    <col min="7428" max="7428" width="7.109375" style="2894" customWidth="1"/>
    <col min="7429" max="7429" width="5.21875" style="2894" customWidth="1"/>
    <col min="7430" max="7430" width="94" style="2894" customWidth="1"/>
    <col min="7431" max="7431" width="9" style="2894" customWidth="1"/>
    <col min="7432" max="7432" width="23.21875" style="2894" customWidth="1"/>
    <col min="7433" max="7433" width="84.77734375" style="2894" customWidth="1"/>
    <col min="7434" max="7435" width="15.88671875" style="2894" customWidth="1"/>
    <col min="7436" max="7436" width="10.109375" style="2894" customWidth="1"/>
    <col min="7437" max="7437" width="9" style="2894" customWidth="1"/>
    <col min="7438" max="7438" width="27.88671875" style="2894" customWidth="1"/>
    <col min="7439" max="7439" width="31.77734375" style="2894" customWidth="1"/>
    <col min="7440" max="7440" width="11.33203125" style="2894" customWidth="1"/>
    <col min="7441" max="7442" width="17.77734375" style="2894" customWidth="1"/>
    <col min="7443" max="7443" width="14.77734375" style="2894" customWidth="1"/>
    <col min="7444" max="7444" width="37.33203125" style="2894" customWidth="1"/>
    <col min="7445" max="7445" width="23.21875" style="2894" customWidth="1"/>
    <col min="7446" max="7450" width="0" style="2894" hidden="1" customWidth="1"/>
    <col min="7451" max="7451" width="10.21875" style="2894" customWidth="1"/>
    <col min="7452" max="7453" width="0" style="2894" hidden="1" customWidth="1"/>
    <col min="7454" max="7454" width="23.21875" style="2894" customWidth="1"/>
    <col min="7455" max="7456" width="0" style="2894" hidden="1" customWidth="1"/>
    <col min="7457" max="7457" width="12.109375" style="2894" customWidth="1"/>
    <col min="7458" max="7458" width="0" style="2894" hidden="1" customWidth="1"/>
    <col min="7459" max="7459" width="18.21875" style="2894" customWidth="1"/>
    <col min="7460" max="7460" width="0" style="2894" hidden="1" customWidth="1"/>
    <col min="7461" max="7461" width="16.33203125" style="2894" customWidth="1"/>
    <col min="7462" max="7462" width="25" style="2894" customWidth="1"/>
    <col min="7463" max="7463" width="0" style="2894" hidden="1" customWidth="1"/>
    <col min="7464" max="7464" width="7.109375" style="2894" customWidth="1"/>
    <col min="7465" max="7465" width="13" style="2894" customWidth="1"/>
    <col min="7466" max="7466" width="19.21875" style="2894" customWidth="1"/>
    <col min="7467" max="7468" width="23" style="2894" customWidth="1"/>
    <col min="7469" max="7469" width="9" style="2894" customWidth="1"/>
    <col min="7470" max="7680" width="8.88671875" style="2894"/>
    <col min="7681" max="7681" width="43.77734375" style="2894" customWidth="1"/>
    <col min="7682" max="7682" width="7.109375" style="2894" customWidth="1"/>
    <col min="7683" max="7683" width="15.88671875" style="2894" customWidth="1"/>
    <col min="7684" max="7684" width="7.109375" style="2894" customWidth="1"/>
    <col min="7685" max="7685" width="5.21875" style="2894" customWidth="1"/>
    <col min="7686" max="7686" width="94" style="2894" customWidth="1"/>
    <col min="7687" max="7687" width="9" style="2894" customWidth="1"/>
    <col min="7688" max="7688" width="23.21875" style="2894" customWidth="1"/>
    <col min="7689" max="7689" width="84.77734375" style="2894" customWidth="1"/>
    <col min="7690" max="7691" width="15.88671875" style="2894" customWidth="1"/>
    <col min="7692" max="7692" width="10.109375" style="2894" customWidth="1"/>
    <col min="7693" max="7693" width="9" style="2894" customWidth="1"/>
    <col min="7694" max="7694" width="27.88671875" style="2894" customWidth="1"/>
    <col min="7695" max="7695" width="31.77734375" style="2894" customWidth="1"/>
    <col min="7696" max="7696" width="11.33203125" style="2894" customWidth="1"/>
    <col min="7697" max="7698" width="17.77734375" style="2894" customWidth="1"/>
    <col min="7699" max="7699" width="14.77734375" style="2894" customWidth="1"/>
    <col min="7700" max="7700" width="37.33203125" style="2894" customWidth="1"/>
    <col min="7701" max="7701" width="23.21875" style="2894" customWidth="1"/>
    <col min="7702" max="7706" width="0" style="2894" hidden="1" customWidth="1"/>
    <col min="7707" max="7707" width="10.21875" style="2894" customWidth="1"/>
    <col min="7708" max="7709" width="0" style="2894" hidden="1" customWidth="1"/>
    <col min="7710" max="7710" width="23.21875" style="2894" customWidth="1"/>
    <col min="7711" max="7712" width="0" style="2894" hidden="1" customWidth="1"/>
    <col min="7713" max="7713" width="12.109375" style="2894" customWidth="1"/>
    <col min="7714" max="7714" width="0" style="2894" hidden="1" customWidth="1"/>
    <col min="7715" max="7715" width="18.21875" style="2894" customWidth="1"/>
    <col min="7716" max="7716" width="0" style="2894" hidden="1" customWidth="1"/>
    <col min="7717" max="7717" width="16.33203125" style="2894" customWidth="1"/>
    <col min="7718" max="7718" width="25" style="2894" customWidth="1"/>
    <col min="7719" max="7719" width="0" style="2894" hidden="1" customWidth="1"/>
    <col min="7720" max="7720" width="7.109375" style="2894" customWidth="1"/>
    <col min="7721" max="7721" width="13" style="2894" customWidth="1"/>
    <col min="7722" max="7722" width="19.21875" style="2894" customWidth="1"/>
    <col min="7723" max="7724" width="23" style="2894" customWidth="1"/>
    <col min="7725" max="7725" width="9" style="2894" customWidth="1"/>
    <col min="7726" max="7936" width="8.88671875" style="2894"/>
    <col min="7937" max="7937" width="43.77734375" style="2894" customWidth="1"/>
    <col min="7938" max="7938" width="7.109375" style="2894" customWidth="1"/>
    <col min="7939" max="7939" width="15.88671875" style="2894" customWidth="1"/>
    <col min="7940" max="7940" width="7.109375" style="2894" customWidth="1"/>
    <col min="7941" max="7941" width="5.21875" style="2894" customWidth="1"/>
    <col min="7942" max="7942" width="94" style="2894" customWidth="1"/>
    <col min="7943" max="7943" width="9" style="2894" customWidth="1"/>
    <col min="7944" max="7944" width="23.21875" style="2894" customWidth="1"/>
    <col min="7945" max="7945" width="84.77734375" style="2894" customWidth="1"/>
    <col min="7946" max="7947" width="15.88671875" style="2894" customWidth="1"/>
    <col min="7948" max="7948" width="10.109375" style="2894" customWidth="1"/>
    <col min="7949" max="7949" width="9" style="2894" customWidth="1"/>
    <col min="7950" max="7950" width="27.88671875" style="2894" customWidth="1"/>
    <col min="7951" max="7951" width="31.77734375" style="2894" customWidth="1"/>
    <col min="7952" max="7952" width="11.33203125" style="2894" customWidth="1"/>
    <col min="7953" max="7954" width="17.77734375" style="2894" customWidth="1"/>
    <col min="7955" max="7955" width="14.77734375" style="2894" customWidth="1"/>
    <col min="7956" max="7956" width="37.33203125" style="2894" customWidth="1"/>
    <col min="7957" max="7957" width="23.21875" style="2894" customWidth="1"/>
    <col min="7958" max="7962" width="0" style="2894" hidden="1" customWidth="1"/>
    <col min="7963" max="7963" width="10.21875" style="2894" customWidth="1"/>
    <col min="7964" max="7965" width="0" style="2894" hidden="1" customWidth="1"/>
    <col min="7966" max="7966" width="23.21875" style="2894" customWidth="1"/>
    <col min="7967" max="7968" width="0" style="2894" hidden="1" customWidth="1"/>
    <col min="7969" max="7969" width="12.109375" style="2894" customWidth="1"/>
    <col min="7970" max="7970" width="0" style="2894" hidden="1" customWidth="1"/>
    <col min="7971" max="7971" width="18.21875" style="2894" customWidth="1"/>
    <col min="7972" max="7972" width="0" style="2894" hidden="1" customWidth="1"/>
    <col min="7973" max="7973" width="16.33203125" style="2894" customWidth="1"/>
    <col min="7974" max="7974" width="25" style="2894" customWidth="1"/>
    <col min="7975" max="7975" width="0" style="2894" hidden="1" customWidth="1"/>
    <col min="7976" max="7976" width="7.109375" style="2894" customWidth="1"/>
    <col min="7977" max="7977" width="13" style="2894" customWidth="1"/>
    <col min="7978" max="7978" width="19.21875" style="2894" customWidth="1"/>
    <col min="7979" max="7980" width="23" style="2894" customWidth="1"/>
    <col min="7981" max="7981" width="9" style="2894" customWidth="1"/>
    <col min="7982" max="8192" width="8.88671875" style="2894"/>
    <col min="8193" max="8193" width="43.77734375" style="2894" customWidth="1"/>
    <col min="8194" max="8194" width="7.109375" style="2894" customWidth="1"/>
    <col min="8195" max="8195" width="15.88671875" style="2894" customWidth="1"/>
    <col min="8196" max="8196" width="7.109375" style="2894" customWidth="1"/>
    <col min="8197" max="8197" width="5.21875" style="2894" customWidth="1"/>
    <col min="8198" max="8198" width="94" style="2894" customWidth="1"/>
    <col min="8199" max="8199" width="9" style="2894" customWidth="1"/>
    <col min="8200" max="8200" width="23.21875" style="2894" customWidth="1"/>
    <col min="8201" max="8201" width="84.77734375" style="2894" customWidth="1"/>
    <col min="8202" max="8203" width="15.88671875" style="2894" customWidth="1"/>
    <col min="8204" max="8204" width="10.109375" style="2894" customWidth="1"/>
    <col min="8205" max="8205" width="9" style="2894" customWidth="1"/>
    <col min="8206" max="8206" width="27.88671875" style="2894" customWidth="1"/>
    <col min="8207" max="8207" width="31.77734375" style="2894" customWidth="1"/>
    <col min="8208" max="8208" width="11.33203125" style="2894" customWidth="1"/>
    <col min="8209" max="8210" width="17.77734375" style="2894" customWidth="1"/>
    <col min="8211" max="8211" width="14.77734375" style="2894" customWidth="1"/>
    <col min="8212" max="8212" width="37.33203125" style="2894" customWidth="1"/>
    <col min="8213" max="8213" width="23.21875" style="2894" customWidth="1"/>
    <col min="8214" max="8218" width="0" style="2894" hidden="1" customWidth="1"/>
    <col min="8219" max="8219" width="10.21875" style="2894" customWidth="1"/>
    <col min="8220" max="8221" width="0" style="2894" hidden="1" customWidth="1"/>
    <col min="8222" max="8222" width="23.21875" style="2894" customWidth="1"/>
    <col min="8223" max="8224" width="0" style="2894" hidden="1" customWidth="1"/>
    <col min="8225" max="8225" width="12.109375" style="2894" customWidth="1"/>
    <col min="8226" max="8226" width="0" style="2894" hidden="1" customWidth="1"/>
    <col min="8227" max="8227" width="18.21875" style="2894" customWidth="1"/>
    <col min="8228" max="8228" width="0" style="2894" hidden="1" customWidth="1"/>
    <col min="8229" max="8229" width="16.33203125" style="2894" customWidth="1"/>
    <col min="8230" max="8230" width="25" style="2894" customWidth="1"/>
    <col min="8231" max="8231" width="0" style="2894" hidden="1" customWidth="1"/>
    <col min="8232" max="8232" width="7.109375" style="2894" customWidth="1"/>
    <col min="8233" max="8233" width="13" style="2894" customWidth="1"/>
    <col min="8234" max="8234" width="19.21875" style="2894" customWidth="1"/>
    <col min="8235" max="8236" width="23" style="2894" customWidth="1"/>
    <col min="8237" max="8237" width="9" style="2894" customWidth="1"/>
    <col min="8238" max="8448" width="8.88671875" style="2894"/>
    <col min="8449" max="8449" width="43.77734375" style="2894" customWidth="1"/>
    <col min="8450" max="8450" width="7.109375" style="2894" customWidth="1"/>
    <col min="8451" max="8451" width="15.88671875" style="2894" customWidth="1"/>
    <col min="8452" max="8452" width="7.109375" style="2894" customWidth="1"/>
    <col min="8453" max="8453" width="5.21875" style="2894" customWidth="1"/>
    <col min="8454" max="8454" width="94" style="2894" customWidth="1"/>
    <col min="8455" max="8455" width="9" style="2894" customWidth="1"/>
    <col min="8456" max="8456" width="23.21875" style="2894" customWidth="1"/>
    <col min="8457" max="8457" width="84.77734375" style="2894" customWidth="1"/>
    <col min="8458" max="8459" width="15.88671875" style="2894" customWidth="1"/>
    <col min="8460" max="8460" width="10.109375" style="2894" customWidth="1"/>
    <col min="8461" max="8461" width="9" style="2894" customWidth="1"/>
    <col min="8462" max="8462" width="27.88671875" style="2894" customWidth="1"/>
    <col min="8463" max="8463" width="31.77734375" style="2894" customWidth="1"/>
    <col min="8464" max="8464" width="11.33203125" style="2894" customWidth="1"/>
    <col min="8465" max="8466" width="17.77734375" style="2894" customWidth="1"/>
    <col min="8467" max="8467" width="14.77734375" style="2894" customWidth="1"/>
    <col min="8468" max="8468" width="37.33203125" style="2894" customWidth="1"/>
    <col min="8469" max="8469" width="23.21875" style="2894" customWidth="1"/>
    <col min="8470" max="8474" width="0" style="2894" hidden="1" customWidth="1"/>
    <col min="8475" max="8475" width="10.21875" style="2894" customWidth="1"/>
    <col min="8476" max="8477" width="0" style="2894" hidden="1" customWidth="1"/>
    <col min="8478" max="8478" width="23.21875" style="2894" customWidth="1"/>
    <col min="8479" max="8480" width="0" style="2894" hidden="1" customWidth="1"/>
    <col min="8481" max="8481" width="12.109375" style="2894" customWidth="1"/>
    <col min="8482" max="8482" width="0" style="2894" hidden="1" customWidth="1"/>
    <col min="8483" max="8483" width="18.21875" style="2894" customWidth="1"/>
    <col min="8484" max="8484" width="0" style="2894" hidden="1" customWidth="1"/>
    <col min="8485" max="8485" width="16.33203125" style="2894" customWidth="1"/>
    <col min="8486" max="8486" width="25" style="2894" customWidth="1"/>
    <col min="8487" max="8487" width="0" style="2894" hidden="1" customWidth="1"/>
    <col min="8488" max="8488" width="7.109375" style="2894" customWidth="1"/>
    <col min="8489" max="8489" width="13" style="2894" customWidth="1"/>
    <col min="8490" max="8490" width="19.21875" style="2894" customWidth="1"/>
    <col min="8491" max="8492" width="23" style="2894" customWidth="1"/>
    <col min="8493" max="8493" width="9" style="2894" customWidth="1"/>
    <col min="8494" max="8704" width="8.88671875" style="2894"/>
    <col min="8705" max="8705" width="43.77734375" style="2894" customWidth="1"/>
    <col min="8706" max="8706" width="7.109375" style="2894" customWidth="1"/>
    <col min="8707" max="8707" width="15.88671875" style="2894" customWidth="1"/>
    <col min="8708" max="8708" width="7.109375" style="2894" customWidth="1"/>
    <col min="8709" max="8709" width="5.21875" style="2894" customWidth="1"/>
    <col min="8710" max="8710" width="94" style="2894" customWidth="1"/>
    <col min="8711" max="8711" width="9" style="2894" customWidth="1"/>
    <col min="8712" max="8712" width="23.21875" style="2894" customWidth="1"/>
    <col min="8713" max="8713" width="84.77734375" style="2894" customWidth="1"/>
    <col min="8714" max="8715" width="15.88671875" style="2894" customWidth="1"/>
    <col min="8716" max="8716" width="10.109375" style="2894" customWidth="1"/>
    <col min="8717" max="8717" width="9" style="2894" customWidth="1"/>
    <col min="8718" max="8718" width="27.88671875" style="2894" customWidth="1"/>
    <col min="8719" max="8719" width="31.77734375" style="2894" customWidth="1"/>
    <col min="8720" max="8720" width="11.33203125" style="2894" customWidth="1"/>
    <col min="8721" max="8722" width="17.77734375" style="2894" customWidth="1"/>
    <col min="8723" max="8723" width="14.77734375" style="2894" customWidth="1"/>
    <col min="8724" max="8724" width="37.33203125" style="2894" customWidth="1"/>
    <col min="8725" max="8725" width="23.21875" style="2894" customWidth="1"/>
    <col min="8726" max="8730" width="0" style="2894" hidden="1" customWidth="1"/>
    <col min="8731" max="8731" width="10.21875" style="2894" customWidth="1"/>
    <col min="8732" max="8733" width="0" style="2894" hidden="1" customWidth="1"/>
    <col min="8734" max="8734" width="23.21875" style="2894" customWidth="1"/>
    <col min="8735" max="8736" width="0" style="2894" hidden="1" customWidth="1"/>
    <col min="8737" max="8737" width="12.109375" style="2894" customWidth="1"/>
    <col min="8738" max="8738" width="0" style="2894" hidden="1" customWidth="1"/>
    <col min="8739" max="8739" width="18.21875" style="2894" customWidth="1"/>
    <col min="8740" max="8740" width="0" style="2894" hidden="1" customWidth="1"/>
    <col min="8741" max="8741" width="16.33203125" style="2894" customWidth="1"/>
    <col min="8742" max="8742" width="25" style="2894" customWidth="1"/>
    <col min="8743" max="8743" width="0" style="2894" hidden="1" customWidth="1"/>
    <col min="8744" max="8744" width="7.109375" style="2894" customWidth="1"/>
    <col min="8745" max="8745" width="13" style="2894" customWidth="1"/>
    <col min="8746" max="8746" width="19.21875" style="2894" customWidth="1"/>
    <col min="8747" max="8748" width="23" style="2894" customWidth="1"/>
    <col min="8749" max="8749" width="9" style="2894" customWidth="1"/>
    <col min="8750" max="8960" width="8.88671875" style="2894"/>
    <col min="8961" max="8961" width="43.77734375" style="2894" customWidth="1"/>
    <col min="8962" max="8962" width="7.109375" style="2894" customWidth="1"/>
    <col min="8963" max="8963" width="15.88671875" style="2894" customWidth="1"/>
    <col min="8964" max="8964" width="7.109375" style="2894" customWidth="1"/>
    <col min="8965" max="8965" width="5.21875" style="2894" customWidth="1"/>
    <col min="8966" max="8966" width="94" style="2894" customWidth="1"/>
    <col min="8967" max="8967" width="9" style="2894" customWidth="1"/>
    <col min="8968" max="8968" width="23.21875" style="2894" customWidth="1"/>
    <col min="8969" max="8969" width="84.77734375" style="2894" customWidth="1"/>
    <col min="8970" max="8971" width="15.88671875" style="2894" customWidth="1"/>
    <col min="8972" max="8972" width="10.109375" style="2894" customWidth="1"/>
    <col min="8973" max="8973" width="9" style="2894" customWidth="1"/>
    <col min="8974" max="8974" width="27.88671875" style="2894" customWidth="1"/>
    <col min="8975" max="8975" width="31.77734375" style="2894" customWidth="1"/>
    <col min="8976" max="8976" width="11.33203125" style="2894" customWidth="1"/>
    <col min="8977" max="8978" width="17.77734375" style="2894" customWidth="1"/>
    <col min="8979" max="8979" width="14.77734375" style="2894" customWidth="1"/>
    <col min="8980" max="8980" width="37.33203125" style="2894" customWidth="1"/>
    <col min="8981" max="8981" width="23.21875" style="2894" customWidth="1"/>
    <col min="8982" max="8986" width="0" style="2894" hidden="1" customWidth="1"/>
    <col min="8987" max="8987" width="10.21875" style="2894" customWidth="1"/>
    <col min="8988" max="8989" width="0" style="2894" hidden="1" customWidth="1"/>
    <col min="8990" max="8990" width="23.21875" style="2894" customWidth="1"/>
    <col min="8991" max="8992" width="0" style="2894" hidden="1" customWidth="1"/>
    <col min="8993" max="8993" width="12.109375" style="2894" customWidth="1"/>
    <col min="8994" max="8994" width="0" style="2894" hidden="1" customWidth="1"/>
    <col min="8995" max="8995" width="18.21875" style="2894" customWidth="1"/>
    <col min="8996" max="8996" width="0" style="2894" hidden="1" customWidth="1"/>
    <col min="8997" max="8997" width="16.33203125" style="2894" customWidth="1"/>
    <col min="8998" max="8998" width="25" style="2894" customWidth="1"/>
    <col min="8999" max="8999" width="0" style="2894" hidden="1" customWidth="1"/>
    <col min="9000" max="9000" width="7.109375" style="2894" customWidth="1"/>
    <col min="9001" max="9001" width="13" style="2894" customWidth="1"/>
    <col min="9002" max="9002" width="19.21875" style="2894" customWidth="1"/>
    <col min="9003" max="9004" width="23" style="2894" customWidth="1"/>
    <col min="9005" max="9005" width="9" style="2894" customWidth="1"/>
    <col min="9006" max="9216" width="8.88671875" style="2894"/>
    <col min="9217" max="9217" width="43.77734375" style="2894" customWidth="1"/>
    <col min="9218" max="9218" width="7.109375" style="2894" customWidth="1"/>
    <col min="9219" max="9219" width="15.88671875" style="2894" customWidth="1"/>
    <col min="9220" max="9220" width="7.109375" style="2894" customWidth="1"/>
    <col min="9221" max="9221" width="5.21875" style="2894" customWidth="1"/>
    <col min="9222" max="9222" width="94" style="2894" customWidth="1"/>
    <col min="9223" max="9223" width="9" style="2894" customWidth="1"/>
    <col min="9224" max="9224" width="23.21875" style="2894" customWidth="1"/>
    <col min="9225" max="9225" width="84.77734375" style="2894" customWidth="1"/>
    <col min="9226" max="9227" width="15.88671875" style="2894" customWidth="1"/>
    <col min="9228" max="9228" width="10.109375" style="2894" customWidth="1"/>
    <col min="9229" max="9229" width="9" style="2894" customWidth="1"/>
    <col min="9230" max="9230" width="27.88671875" style="2894" customWidth="1"/>
    <col min="9231" max="9231" width="31.77734375" style="2894" customWidth="1"/>
    <col min="9232" max="9232" width="11.33203125" style="2894" customWidth="1"/>
    <col min="9233" max="9234" width="17.77734375" style="2894" customWidth="1"/>
    <col min="9235" max="9235" width="14.77734375" style="2894" customWidth="1"/>
    <col min="9236" max="9236" width="37.33203125" style="2894" customWidth="1"/>
    <col min="9237" max="9237" width="23.21875" style="2894" customWidth="1"/>
    <col min="9238" max="9242" width="0" style="2894" hidden="1" customWidth="1"/>
    <col min="9243" max="9243" width="10.21875" style="2894" customWidth="1"/>
    <col min="9244" max="9245" width="0" style="2894" hidden="1" customWidth="1"/>
    <col min="9246" max="9246" width="23.21875" style="2894" customWidth="1"/>
    <col min="9247" max="9248" width="0" style="2894" hidden="1" customWidth="1"/>
    <col min="9249" max="9249" width="12.109375" style="2894" customWidth="1"/>
    <col min="9250" max="9250" width="0" style="2894" hidden="1" customWidth="1"/>
    <col min="9251" max="9251" width="18.21875" style="2894" customWidth="1"/>
    <col min="9252" max="9252" width="0" style="2894" hidden="1" customWidth="1"/>
    <col min="9253" max="9253" width="16.33203125" style="2894" customWidth="1"/>
    <col min="9254" max="9254" width="25" style="2894" customWidth="1"/>
    <col min="9255" max="9255" width="0" style="2894" hidden="1" customWidth="1"/>
    <col min="9256" max="9256" width="7.109375" style="2894" customWidth="1"/>
    <col min="9257" max="9257" width="13" style="2894" customWidth="1"/>
    <col min="9258" max="9258" width="19.21875" style="2894" customWidth="1"/>
    <col min="9259" max="9260" width="23" style="2894" customWidth="1"/>
    <col min="9261" max="9261" width="9" style="2894" customWidth="1"/>
    <col min="9262" max="9472" width="8.88671875" style="2894"/>
    <col min="9473" max="9473" width="43.77734375" style="2894" customWidth="1"/>
    <col min="9474" max="9474" width="7.109375" style="2894" customWidth="1"/>
    <col min="9475" max="9475" width="15.88671875" style="2894" customWidth="1"/>
    <col min="9476" max="9476" width="7.109375" style="2894" customWidth="1"/>
    <col min="9477" max="9477" width="5.21875" style="2894" customWidth="1"/>
    <col min="9478" max="9478" width="94" style="2894" customWidth="1"/>
    <col min="9479" max="9479" width="9" style="2894" customWidth="1"/>
    <col min="9480" max="9480" width="23.21875" style="2894" customWidth="1"/>
    <col min="9481" max="9481" width="84.77734375" style="2894" customWidth="1"/>
    <col min="9482" max="9483" width="15.88671875" style="2894" customWidth="1"/>
    <col min="9484" max="9484" width="10.109375" style="2894" customWidth="1"/>
    <col min="9485" max="9485" width="9" style="2894" customWidth="1"/>
    <col min="9486" max="9486" width="27.88671875" style="2894" customWidth="1"/>
    <col min="9487" max="9487" width="31.77734375" style="2894" customWidth="1"/>
    <col min="9488" max="9488" width="11.33203125" style="2894" customWidth="1"/>
    <col min="9489" max="9490" width="17.77734375" style="2894" customWidth="1"/>
    <col min="9491" max="9491" width="14.77734375" style="2894" customWidth="1"/>
    <col min="9492" max="9492" width="37.33203125" style="2894" customWidth="1"/>
    <col min="9493" max="9493" width="23.21875" style="2894" customWidth="1"/>
    <col min="9494" max="9498" width="0" style="2894" hidden="1" customWidth="1"/>
    <col min="9499" max="9499" width="10.21875" style="2894" customWidth="1"/>
    <col min="9500" max="9501" width="0" style="2894" hidden="1" customWidth="1"/>
    <col min="9502" max="9502" width="23.21875" style="2894" customWidth="1"/>
    <col min="9503" max="9504" width="0" style="2894" hidden="1" customWidth="1"/>
    <col min="9505" max="9505" width="12.109375" style="2894" customWidth="1"/>
    <col min="9506" max="9506" width="0" style="2894" hidden="1" customWidth="1"/>
    <col min="9507" max="9507" width="18.21875" style="2894" customWidth="1"/>
    <col min="9508" max="9508" width="0" style="2894" hidden="1" customWidth="1"/>
    <col min="9509" max="9509" width="16.33203125" style="2894" customWidth="1"/>
    <col min="9510" max="9510" width="25" style="2894" customWidth="1"/>
    <col min="9511" max="9511" width="0" style="2894" hidden="1" customWidth="1"/>
    <col min="9512" max="9512" width="7.109375" style="2894" customWidth="1"/>
    <col min="9513" max="9513" width="13" style="2894" customWidth="1"/>
    <col min="9514" max="9514" width="19.21875" style="2894" customWidth="1"/>
    <col min="9515" max="9516" width="23" style="2894" customWidth="1"/>
    <col min="9517" max="9517" width="9" style="2894" customWidth="1"/>
    <col min="9518" max="9728" width="8.88671875" style="2894"/>
    <col min="9729" max="9729" width="43.77734375" style="2894" customWidth="1"/>
    <col min="9730" max="9730" width="7.109375" style="2894" customWidth="1"/>
    <col min="9731" max="9731" width="15.88671875" style="2894" customWidth="1"/>
    <col min="9732" max="9732" width="7.109375" style="2894" customWidth="1"/>
    <col min="9733" max="9733" width="5.21875" style="2894" customWidth="1"/>
    <col min="9734" max="9734" width="94" style="2894" customWidth="1"/>
    <col min="9735" max="9735" width="9" style="2894" customWidth="1"/>
    <col min="9736" max="9736" width="23.21875" style="2894" customWidth="1"/>
    <col min="9737" max="9737" width="84.77734375" style="2894" customWidth="1"/>
    <col min="9738" max="9739" width="15.88671875" style="2894" customWidth="1"/>
    <col min="9740" max="9740" width="10.109375" style="2894" customWidth="1"/>
    <col min="9741" max="9741" width="9" style="2894" customWidth="1"/>
    <col min="9742" max="9742" width="27.88671875" style="2894" customWidth="1"/>
    <col min="9743" max="9743" width="31.77734375" style="2894" customWidth="1"/>
    <col min="9744" max="9744" width="11.33203125" style="2894" customWidth="1"/>
    <col min="9745" max="9746" width="17.77734375" style="2894" customWidth="1"/>
    <col min="9747" max="9747" width="14.77734375" style="2894" customWidth="1"/>
    <col min="9748" max="9748" width="37.33203125" style="2894" customWidth="1"/>
    <col min="9749" max="9749" width="23.21875" style="2894" customWidth="1"/>
    <col min="9750" max="9754" width="0" style="2894" hidden="1" customWidth="1"/>
    <col min="9755" max="9755" width="10.21875" style="2894" customWidth="1"/>
    <col min="9756" max="9757" width="0" style="2894" hidden="1" customWidth="1"/>
    <col min="9758" max="9758" width="23.21875" style="2894" customWidth="1"/>
    <col min="9759" max="9760" width="0" style="2894" hidden="1" customWidth="1"/>
    <col min="9761" max="9761" width="12.109375" style="2894" customWidth="1"/>
    <col min="9762" max="9762" width="0" style="2894" hidden="1" customWidth="1"/>
    <col min="9763" max="9763" width="18.21875" style="2894" customWidth="1"/>
    <col min="9764" max="9764" width="0" style="2894" hidden="1" customWidth="1"/>
    <col min="9765" max="9765" width="16.33203125" style="2894" customWidth="1"/>
    <col min="9766" max="9766" width="25" style="2894" customWidth="1"/>
    <col min="9767" max="9767" width="0" style="2894" hidden="1" customWidth="1"/>
    <col min="9768" max="9768" width="7.109375" style="2894" customWidth="1"/>
    <col min="9769" max="9769" width="13" style="2894" customWidth="1"/>
    <col min="9770" max="9770" width="19.21875" style="2894" customWidth="1"/>
    <col min="9771" max="9772" width="23" style="2894" customWidth="1"/>
    <col min="9773" max="9773" width="9" style="2894" customWidth="1"/>
    <col min="9774" max="9984" width="8.88671875" style="2894"/>
    <col min="9985" max="9985" width="43.77734375" style="2894" customWidth="1"/>
    <col min="9986" max="9986" width="7.109375" style="2894" customWidth="1"/>
    <col min="9987" max="9987" width="15.88671875" style="2894" customWidth="1"/>
    <col min="9988" max="9988" width="7.109375" style="2894" customWidth="1"/>
    <col min="9989" max="9989" width="5.21875" style="2894" customWidth="1"/>
    <col min="9990" max="9990" width="94" style="2894" customWidth="1"/>
    <col min="9991" max="9991" width="9" style="2894" customWidth="1"/>
    <col min="9992" max="9992" width="23.21875" style="2894" customWidth="1"/>
    <col min="9993" max="9993" width="84.77734375" style="2894" customWidth="1"/>
    <col min="9994" max="9995" width="15.88671875" style="2894" customWidth="1"/>
    <col min="9996" max="9996" width="10.109375" style="2894" customWidth="1"/>
    <col min="9997" max="9997" width="9" style="2894" customWidth="1"/>
    <col min="9998" max="9998" width="27.88671875" style="2894" customWidth="1"/>
    <col min="9999" max="9999" width="31.77734375" style="2894" customWidth="1"/>
    <col min="10000" max="10000" width="11.33203125" style="2894" customWidth="1"/>
    <col min="10001" max="10002" width="17.77734375" style="2894" customWidth="1"/>
    <col min="10003" max="10003" width="14.77734375" style="2894" customWidth="1"/>
    <col min="10004" max="10004" width="37.33203125" style="2894" customWidth="1"/>
    <col min="10005" max="10005" width="23.21875" style="2894" customWidth="1"/>
    <col min="10006" max="10010" width="0" style="2894" hidden="1" customWidth="1"/>
    <col min="10011" max="10011" width="10.21875" style="2894" customWidth="1"/>
    <col min="10012" max="10013" width="0" style="2894" hidden="1" customWidth="1"/>
    <col min="10014" max="10014" width="23.21875" style="2894" customWidth="1"/>
    <col min="10015" max="10016" width="0" style="2894" hidden="1" customWidth="1"/>
    <col min="10017" max="10017" width="12.109375" style="2894" customWidth="1"/>
    <col min="10018" max="10018" width="0" style="2894" hidden="1" customWidth="1"/>
    <col min="10019" max="10019" width="18.21875" style="2894" customWidth="1"/>
    <col min="10020" max="10020" width="0" style="2894" hidden="1" customWidth="1"/>
    <col min="10021" max="10021" width="16.33203125" style="2894" customWidth="1"/>
    <col min="10022" max="10022" width="25" style="2894" customWidth="1"/>
    <col min="10023" max="10023" width="0" style="2894" hidden="1" customWidth="1"/>
    <col min="10024" max="10024" width="7.109375" style="2894" customWidth="1"/>
    <col min="10025" max="10025" width="13" style="2894" customWidth="1"/>
    <col min="10026" max="10026" width="19.21875" style="2894" customWidth="1"/>
    <col min="10027" max="10028" width="23" style="2894" customWidth="1"/>
    <col min="10029" max="10029" width="9" style="2894" customWidth="1"/>
    <col min="10030" max="10240" width="8.88671875" style="2894"/>
    <col min="10241" max="10241" width="43.77734375" style="2894" customWidth="1"/>
    <col min="10242" max="10242" width="7.109375" style="2894" customWidth="1"/>
    <col min="10243" max="10243" width="15.88671875" style="2894" customWidth="1"/>
    <col min="10244" max="10244" width="7.109375" style="2894" customWidth="1"/>
    <col min="10245" max="10245" width="5.21875" style="2894" customWidth="1"/>
    <col min="10246" max="10246" width="94" style="2894" customWidth="1"/>
    <col min="10247" max="10247" width="9" style="2894" customWidth="1"/>
    <col min="10248" max="10248" width="23.21875" style="2894" customWidth="1"/>
    <col min="10249" max="10249" width="84.77734375" style="2894" customWidth="1"/>
    <col min="10250" max="10251" width="15.88671875" style="2894" customWidth="1"/>
    <col min="10252" max="10252" width="10.109375" style="2894" customWidth="1"/>
    <col min="10253" max="10253" width="9" style="2894" customWidth="1"/>
    <col min="10254" max="10254" width="27.88671875" style="2894" customWidth="1"/>
    <col min="10255" max="10255" width="31.77734375" style="2894" customWidth="1"/>
    <col min="10256" max="10256" width="11.33203125" style="2894" customWidth="1"/>
    <col min="10257" max="10258" width="17.77734375" style="2894" customWidth="1"/>
    <col min="10259" max="10259" width="14.77734375" style="2894" customWidth="1"/>
    <col min="10260" max="10260" width="37.33203125" style="2894" customWidth="1"/>
    <col min="10261" max="10261" width="23.21875" style="2894" customWidth="1"/>
    <col min="10262" max="10266" width="0" style="2894" hidden="1" customWidth="1"/>
    <col min="10267" max="10267" width="10.21875" style="2894" customWidth="1"/>
    <col min="10268" max="10269" width="0" style="2894" hidden="1" customWidth="1"/>
    <col min="10270" max="10270" width="23.21875" style="2894" customWidth="1"/>
    <col min="10271" max="10272" width="0" style="2894" hidden="1" customWidth="1"/>
    <col min="10273" max="10273" width="12.109375" style="2894" customWidth="1"/>
    <col min="10274" max="10274" width="0" style="2894" hidden="1" customWidth="1"/>
    <col min="10275" max="10275" width="18.21875" style="2894" customWidth="1"/>
    <col min="10276" max="10276" width="0" style="2894" hidden="1" customWidth="1"/>
    <col min="10277" max="10277" width="16.33203125" style="2894" customWidth="1"/>
    <col min="10278" max="10278" width="25" style="2894" customWidth="1"/>
    <col min="10279" max="10279" width="0" style="2894" hidden="1" customWidth="1"/>
    <col min="10280" max="10280" width="7.109375" style="2894" customWidth="1"/>
    <col min="10281" max="10281" width="13" style="2894" customWidth="1"/>
    <col min="10282" max="10282" width="19.21875" style="2894" customWidth="1"/>
    <col min="10283" max="10284" width="23" style="2894" customWidth="1"/>
    <col min="10285" max="10285" width="9" style="2894" customWidth="1"/>
    <col min="10286" max="10496" width="8.88671875" style="2894"/>
    <col min="10497" max="10497" width="43.77734375" style="2894" customWidth="1"/>
    <col min="10498" max="10498" width="7.109375" style="2894" customWidth="1"/>
    <col min="10499" max="10499" width="15.88671875" style="2894" customWidth="1"/>
    <col min="10500" max="10500" width="7.109375" style="2894" customWidth="1"/>
    <col min="10501" max="10501" width="5.21875" style="2894" customWidth="1"/>
    <col min="10502" max="10502" width="94" style="2894" customWidth="1"/>
    <col min="10503" max="10503" width="9" style="2894" customWidth="1"/>
    <col min="10504" max="10504" width="23.21875" style="2894" customWidth="1"/>
    <col min="10505" max="10505" width="84.77734375" style="2894" customWidth="1"/>
    <col min="10506" max="10507" width="15.88671875" style="2894" customWidth="1"/>
    <col min="10508" max="10508" width="10.109375" style="2894" customWidth="1"/>
    <col min="10509" max="10509" width="9" style="2894" customWidth="1"/>
    <col min="10510" max="10510" width="27.88671875" style="2894" customWidth="1"/>
    <col min="10511" max="10511" width="31.77734375" style="2894" customWidth="1"/>
    <col min="10512" max="10512" width="11.33203125" style="2894" customWidth="1"/>
    <col min="10513" max="10514" width="17.77734375" style="2894" customWidth="1"/>
    <col min="10515" max="10515" width="14.77734375" style="2894" customWidth="1"/>
    <col min="10516" max="10516" width="37.33203125" style="2894" customWidth="1"/>
    <col min="10517" max="10517" width="23.21875" style="2894" customWidth="1"/>
    <col min="10518" max="10522" width="0" style="2894" hidden="1" customWidth="1"/>
    <col min="10523" max="10523" width="10.21875" style="2894" customWidth="1"/>
    <col min="10524" max="10525" width="0" style="2894" hidden="1" customWidth="1"/>
    <col min="10526" max="10526" width="23.21875" style="2894" customWidth="1"/>
    <col min="10527" max="10528" width="0" style="2894" hidden="1" customWidth="1"/>
    <col min="10529" max="10529" width="12.109375" style="2894" customWidth="1"/>
    <col min="10530" max="10530" width="0" style="2894" hidden="1" customWidth="1"/>
    <col min="10531" max="10531" width="18.21875" style="2894" customWidth="1"/>
    <col min="10532" max="10532" width="0" style="2894" hidden="1" customWidth="1"/>
    <col min="10533" max="10533" width="16.33203125" style="2894" customWidth="1"/>
    <col min="10534" max="10534" width="25" style="2894" customWidth="1"/>
    <col min="10535" max="10535" width="0" style="2894" hidden="1" customWidth="1"/>
    <col min="10536" max="10536" width="7.109375" style="2894" customWidth="1"/>
    <col min="10537" max="10537" width="13" style="2894" customWidth="1"/>
    <col min="10538" max="10538" width="19.21875" style="2894" customWidth="1"/>
    <col min="10539" max="10540" width="23" style="2894" customWidth="1"/>
    <col min="10541" max="10541" width="9" style="2894" customWidth="1"/>
    <col min="10542" max="10752" width="8.88671875" style="2894"/>
    <col min="10753" max="10753" width="43.77734375" style="2894" customWidth="1"/>
    <col min="10754" max="10754" width="7.109375" style="2894" customWidth="1"/>
    <col min="10755" max="10755" width="15.88671875" style="2894" customWidth="1"/>
    <col min="10756" max="10756" width="7.109375" style="2894" customWidth="1"/>
    <col min="10757" max="10757" width="5.21875" style="2894" customWidth="1"/>
    <col min="10758" max="10758" width="94" style="2894" customWidth="1"/>
    <col min="10759" max="10759" width="9" style="2894" customWidth="1"/>
    <col min="10760" max="10760" width="23.21875" style="2894" customWidth="1"/>
    <col min="10761" max="10761" width="84.77734375" style="2894" customWidth="1"/>
    <col min="10762" max="10763" width="15.88671875" style="2894" customWidth="1"/>
    <col min="10764" max="10764" width="10.109375" style="2894" customWidth="1"/>
    <col min="10765" max="10765" width="9" style="2894" customWidth="1"/>
    <col min="10766" max="10766" width="27.88671875" style="2894" customWidth="1"/>
    <col min="10767" max="10767" width="31.77734375" style="2894" customWidth="1"/>
    <col min="10768" max="10768" width="11.33203125" style="2894" customWidth="1"/>
    <col min="10769" max="10770" width="17.77734375" style="2894" customWidth="1"/>
    <col min="10771" max="10771" width="14.77734375" style="2894" customWidth="1"/>
    <col min="10772" max="10772" width="37.33203125" style="2894" customWidth="1"/>
    <col min="10773" max="10773" width="23.21875" style="2894" customWidth="1"/>
    <col min="10774" max="10778" width="0" style="2894" hidden="1" customWidth="1"/>
    <col min="10779" max="10779" width="10.21875" style="2894" customWidth="1"/>
    <col min="10780" max="10781" width="0" style="2894" hidden="1" customWidth="1"/>
    <col min="10782" max="10782" width="23.21875" style="2894" customWidth="1"/>
    <col min="10783" max="10784" width="0" style="2894" hidden="1" customWidth="1"/>
    <col min="10785" max="10785" width="12.109375" style="2894" customWidth="1"/>
    <col min="10786" max="10786" width="0" style="2894" hidden="1" customWidth="1"/>
    <col min="10787" max="10787" width="18.21875" style="2894" customWidth="1"/>
    <col min="10788" max="10788" width="0" style="2894" hidden="1" customWidth="1"/>
    <col min="10789" max="10789" width="16.33203125" style="2894" customWidth="1"/>
    <col min="10790" max="10790" width="25" style="2894" customWidth="1"/>
    <col min="10791" max="10791" width="0" style="2894" hidden="1" customWidth="1"/>
    <col min="10792" max="10792" width="7.109375" style="2894" customWidth="1"/>
    <col min="10793" max="10793" width="13" style="2894" customWidth="1"/>
    <col min="10794" max="10794" width="19.21875" style="2894" customWidth="1"/>
    <col min="10795" max="10796" width="23" style="2894" customWidth="1"/>
    <col min="10797" max="10797" width="9" style="2894" customWidth="1"/>
    <col min="10798" max="11008" width="8.88671875" style="2894"/>
    <col min="11009" max="11009" width="43.77734375" style="2894" customWidth="1"/>
    <col min="11010" max="11010" width="7.109375" style="2894" customWidth="1"/>
    <col min="11011" max="11011" width="15.88671875" style="2894" customWidth="1"/>
    <col min="11012" max="11012" width="7.109375" style="2894" customWidth="1"/>
    <col min="11013" max="11013" width="5.21875" style="2894" customWidth="1"/>
    <col min="11014" max="11014" width="94" style="2894" customWidth="1"/>
    <col min="11015" max="11015" width="9" style="2894" customWidth="1"/>
    <col min="11016" max="11016" width="23.21875" style="2894" customWidth="1"/>
    <col min="11017" max="11017" width="84.77734375" style="2894" customWidth="1"/>
    <col min="11018" max="11019" width="15.88671875" style="2894" customWidth="1"/>
    <col min="11020" max="11020" width="10.109375" style="2894" customWidth="1"/>
    <col min="11021" max="11021" width="9" style="2894" customWidth="1"/>
    <col min="11022" max="11022" width="27.88671875" style="2894" customWidth="1"/>
    <col min="11023" max="11023" width="31.77734375" style="2894" customWidth="1"/>
    <col min="11024" max="11024" width="11.33203125" style="2894" customWidth="1"/>
    <col min="11025" max="11026" width="17.77734375" style="2894" customWidth="1"/>
    <col min="11027" max="11027" width="14.77734375" style="2894" customWidth="1"/>
    <col min="11028" max="11028" width="37.33203125" style="2894" customWidth="1"/>
    <col min="11029" max="11029" width="23.21875" style="2894" customWidth="1"/>
    <col min="11030" max="11034" width="0" style="2894" hidden="1" customWidth="1"/>
    <col min="11035" max="11035" width="10.21875" style="2894" customWidth="1"/>
    <col min="11036" max="11037" width="0" style="2894" hidden="1" customWidth="1"/>
    <col min="11038" max="11038" width="23.21875" style="2894" customWidth="1"/>
    <col min="11039" max="11040" width="0" style="2894" hidden="1" customWidth="1"/>
    <col min="11041" max="11041" width="12.109375" style="2894" customWidth="1"/>
    <col min="11042" max="11042" width="0" style="2894" hidden="1" customWidth="1"/>
    <col min="11043" max="11043" width="18.21875" style="2894" customWidth="1"/>
    <col min="11044" max="11044" width="0" style="2894" hidden="1" customWidth="1"/>
    <col min="11045" max="11045" width="16.33203125" style="2894" customWidth="1"/>
    <col min="11046" max="11046" width="25" style="2894" customWidth="1"/>
    <col min="11047" max="11047" width="0" style="2894" hidden="1" customWidth="1"/>
    <col min="11048" max="11048" width="7.109375" style="2894" customWidth="1"/>
    <col min="11049" max="11049" width="13" style="2894" customWidth="1"/>
    <col min="11050" max="11050" width="19.21875" style="2894" customWidth="1"/>
    <col min="11051" max="11052" width="23" style="2894" customWidth="1"/>
    <col min="11053" max="11053" width="9" style="2894" customWidth="1"/>
    <col min="11054" max="11264" width="8.88671875" style="2894"/>
    <col min="11265" max="11265" width="43.77734375" style="2894" customWidth="1"/>
    <col min="11266" max="11266" width="7.109375" style="2894" customWidth="1"/>
    <col min="11267" max="11267" width="15.88671875" style="2894" customWidth="1"/>
    <col min="11268" max="11268" width="7.109375" style="2894" customWidth="1"/>
    <col min="11269" max="11269" width="5.21875" style="2894" customWidth="1"/>
    <col min="11270" max="11270" width="94" style="2894" customWidth="1"/>
    <col min="11271" max="11271" width="9" style="2894" customWidth="1"/>
    <col min="11272" max="11272" width="23.21875" style="2894" customWidth="1"/>
    <col min="11273" max="11273" width="84.77734375" style="2894" customWidth="1"/>
    <col min="11274" max="11275" width="15.88671875" style="2894" customWidth="1"/>
    <col min="11276" max="11276" width="10.109375" style="2894" customWidth="1"/>
    <col min="11277" max="11277" width="9" style="2894" customWidth="1"/>
    <col min="11278" max="11278" width="27.88671875" style="2894" customWidth="1"/>
    <col min="11279" max="11279" width="31.77734375" style="2894" customWidth="1"/>
    <col min="11280" max="11280" width="11.33203125" style="2894" customWidth="1"/>
    <col min="11281" max="11282" width="17.77734375" style="2894" customWidth="1"/>
    <col min="11283" max="11283" width="14.77734375" style="2894" customWidth="1"/>
    <col min="11284" max="11284" width="37.33203125" style="2894" customWidth="1"/>
    <col min="11285" max="11285" width="23.21875" style="2894" customWidth="1"/>
    <col min="11286" max="11290" width="0" style="2894" hidden="1" customWidth="1"/>
    <col min="11291" max="11291" width="10.21875" style="2894" customWidth="1"/>
    <col min="11292" max="11293" width="0" style="2894" hidden="1" customWidth="1"/>
    <col min="11294" max="11294" width="23.21875" style="2894" customWidth="1"/>
    <col min="11295" max="11296" width="0" style="2894" hidden="1" customWidth="1"/>
    <col min="11297" max="11297" width="12.109375" style="2894" customWidth="1"/>
    <col min="11298" max="11298" width="0" style="2894" hidden="1" customWidth="1"/>
    <col min="11299" max="11299" width="18.21875" style="2894" customWidth="1"/>
    <col min="11300" max="11300" width="0" style="2894" hidden="1" customWidth="1"/>
    <col min="11301" max="11301" width="16.33203125" style="2894" customWidth="1"/>
    <col min="11302" max="11302" width="25" style="2894" customWidth="1"/>
    <col min="11303" max="11303" width="0" style="2894" hidden="1" customWidth="1"/>
    <col min="11304" max="11304" width="7.109375" style="2894" customWidth="1"/>
    <col min="11305" max="11305" width="13" style="2894" customWidth="1"/>
    <col min="11306" max="11306" width="19.21875" style="2894" customWidth="1"/>
    <col min="11307" max="11308" width="23" style="2894" customWidth="1"/>
    <col min="11309" max="11309" width="9" style="2894" customWidth="1"/>
    <col min="11310" max="11520" width="8.88671875" style="2894"/>
    <col min="11521" max="11521" width="43.77734375" style="2894" customWidth="1"/>
    <col min="11522" max="11522" width="7.109375" style="2894" customWidth="1"/>
    <col min="11523" max="11523" width="15.88671875" style="2894" customWidth="1"/>
    <col min="11524" max="11524" width="7.109375" style="2894" customWidth="1"/>
    <col min="11525" max="11525" width="5.21875" style="2894" customWidth="1"/>
    <col min="11526" max="11526" width="94" style="2894" customWidth="1"/>
    <col min="11527" max="11527" width="9" style="2894" customWidth="1"/>
    <col min="11528" max="11528" width="23.21875" style="2894" customWidth="1"/>
    <col min="11529" max="11529" width="84.77734375" style="2894" customWidth="1"/>
    <col min="11530" max="11531" width="15.88671875" style="2894" customWidth="1"/>
    <col min="11532" max="11532" width="10.109375" style="2894" customWidth="1"/>
    <col min="11533" max="11533" width="9" style="2894" customWidth="1"/>
    <col min="11534" max="11534" width="27.88671875" style="2894" customWidth="1"/>
    <col min="11535" max="11535" width="31.77734375" style="2894" customWidth="1"/>
    <col min="11536" max="11536" width="11.33203125" style="2894" customWidth="1"/>
    <col min="11537" max="11538" width="17.77734375" style="2894" customWidth="1"/>
    <col min="11539" max="11539" width="14.77734375" style="2894" customWidth="1"/>
    <col min="11540" max="11540" width="37.33203125" style="2894" customWidth="1"/>
    <col min="11541" max="11541" width="23.21875" style="2894" customWidth="1"/>
    <col min="11542" max="11546" width="0" style="2894" hidden="1" customWidth="1"/>
    <col min="11547" max="11547" width="10.21875" style="2894" customWidth="1"/>
    <col min="11548" max="11549" width="0" style="2894" hidden="1" customWidth="1"/>
    <col min="11550" max="11550" width="23.21875" style="2894" customWidth="1"/>
    <col min="11551" max="11552" width="0" style="2894" hidden="1" customWidth="1"/>
    <col min="11553" max="11553" width="12.109375" style="2894" customWidth="1"/>
    <col min="11554" max="11554" width="0" style="2894" hidden="1" customWidth="1"/>
    <col min="11555" max="11555" width="18.21875" style="2894" customWidth="1"/>
    <col min="11556" max="11556" width="0" style="2894" hidden="1" customWidth="1"/>
    <col min="11557" max="11557" width="16.33203125" style="2894" customWidth="1"/>
    <col min="11558" max="11558" width="25" style="2894" customWidth="1"/>
    <col min="11559" max="11559" width="0" style="2894" hidden="1" customWidth="1"/>
    <col min="11560" max="11560" width="7.109375" style="2894" customWidth="1"/>
    <col min="11561" max="11561" width="13" style="2894" customWidth="1"/>
    <col min="11562" max="11562" width="19.21875" style="2894" customWidth="1"/>
    <col min="11563" max="11564" width="23" style="2894" customWidth="1"/>
    <col min="11565" max="11565" width="9" style="2894" customWidth="1"/>
    <col min="11566" max="11776" width="8.88671875" style="2894"/>
    <col min="11777" max="11777" width="43.77734375" style="2894" customWidth="1"/>
    <col min="11778" max="11778" width="7.109375" style="2894" customWidth="1"/>
    <col min="11779" max="11779" width="15.88671875" style="2894" customWidth="1"/>
    <col min="11780" max="11780" width="7.109375" style="2894" customWidth="1"/>
    <col min="11781" max="11781" width="5.21875" style="2894" customWidth="1"/>
    <col min="11782" max="11782" width="94" style="2894" customWidth="1"/>
    <col min="11783" max="11783" width="9" style="2894" customWidth="1"/>
    <col min="11784" max="11784" width="23.21875" style="2894" customWidth="1"/>
    <col min="11785" max="11785" width="84.77734375" style="2894" customWidth="1"/>
    <col min="11786" max="11787" width="15.88671875" style="2894" customWidth="1"/>
    <col min="11788" max="11788" width="10.109375" style="2894" customWidth="1"/>
    <col min="11789" max="11789" width="9" style="2894" customWidth="1"/>
    <col min="11790" max="11790" width="27.88671875" style="2894" customWidth="1"/>
    <col min="11791" max="11791" width="31.77734375" style="2894" customWidth="1"/>
    <col min="11792" max="11792" width="11.33203125" style="2894" customWidth="1"/>
    <col min="11793" max="11794" width="17.77734375" style="2894" customWidth="1"/>
    <col min="11795" max="11795" width="14.77734375" style="2894" customWidth="1"/>
    <col min="11796" max="11796" width="37.33203125" style="2894" customWidth="1"/>
    <col min="11797" max="11797" width="23.21875" style="2894" customWidth="1"/>
    <col min="11798" max="11802" width="0" style="2894" hidden="1" customWidth="1"/>
    <col min="11803" max="11803" width="10.21875" style="2894" customWidth="1"/>
    <col min="11804" max="11805" width="0" style="2894" hidden="1" customWidth="1"/>
    <col min="11806" max="11806" width="23.21875" style="2894" customWidth="1"/>
    <col min="11807" max="11808" width="0" style="2894" hidden="1" customWidth="1"/>
    <col min="11809" max="11809" width="12.109375" style="2894" customWidth="1"/>
    <col min="11810" max="11810" width="0" style="2894" hidden="1" customWidth="1"/>
    <col min="11811" max="11811" width="18.21875" style="2894" customWidth="1"/>
    <col min="11812" max="11812" width="0" style="2894" hidden="1" customWidth="1"/>
    <col min="11813" max="11813" width="16.33203125" style="2894" customWidth="1"/>
    <col min="11814" max="11814" width="25" style="2894" customWidth="1"/>
    <col min="11815" max="11815" width="0" style="2894" hidden="1" customWidth="1"/>
    <col min="11816" max="11816" width="7.109375" style="2894" customWidth="1"/>
    <col min="11817" max="11817" width="13" style="2894" customWidth="1"/>
    <col min="11818" max="11818" width="19.21875" style="2894" customWidth="1"/>
    <col min="11819" max="11820" width="23" style="2894" customWidth="1"/>
    <col min="11821" max="11821" width="9" style="2894" customWidth="1"/>
    <col min="11822" max="12032" width="8.88671875" style="2894"/>
    <col min="12033" max="12033" width="43.77734375" style="2894" customWidth="1"/>
    <col min="12034" max="12034" width="7.109375" style="2894" customWidth="1"/>
    <col min="12035" max="12035" width="15.88671875" style="2894" customWidth="1"/>
    <col min="12036" max="12036" width="7.109375" style="2894" customWidth="1"/>
    <col min="12037" max="12037" width="5.21875" style="2894" customWidth="1"/>
    <col min="12038" max="12038" width="94" style="2894" customWidth="1"/>
    <col min="12039" max="12039" width="9" style="2894" customWidth="1"/>
    <col min="12040" max="12040" width="23.21875" style="2894" customWidth="1"/>
    <col min="12041" max="12041" width="84.77734375" style="2894" customWidth="1"/>
    <col min="12042" max="12043" width="15.88671875" style="2894" customWidth="1"/>
    <col min="12044" max="12044" width="10.109375" style="2894" customWidth="1"/>
    <col min="12045" max="12045" width="9" style="2894" customWidth="1"/>
    <col min="12046" max="12046" width="27.88671875" style="2894" customWidth="1"/>
    <col min="12047" max="12047" width="31.77734375" style="2894" customWidth="1"/>
    <col min="12048" max="12048" width="11.33203125" style="2894" customWidth="1"/>
    <col min="12049" max="12050" width="17.77734375" style="2894" customWidth="1"/>
    <col min="12051" max="12051" width="14.77734375" style="2894" customWidth="1"/>
    <col min="12052" max="12052" width="37.33203125" style="2894" customWidth="1"/>
    <col min="12053" max="12053" width="23.21875" style="2894" customWidth="1"/>
    <col min="12054" max="12058" width="0" style="2894" hidden="1" customWidth="1"/>
    <col min="12059" max="12059" width="10.21875" style="2894" customWidth="1"/>
    <col min="12060" max="12061" width="0" style="2894" hidden="1" customWidth="1"/>
    <col min="12062" max="12062" width="23.21875" style="2894" customWidth="1"/>
    <col min="12063" max="12064" width="0" style="2894" hidden="1" customWidth="1"/>
    <col min="12065" max="12065" width="12.109375" style="2894" customWidth="1"/>
    <col min="12066" max="12066" width="0" style="2894" hidden="1" customWidth="1"/>
    <col min="12067" max="12067" width="18.21875" style="2894" customWidth="1"/>
    <col min="12068" max="12068" width="0" style="2894" hidden="1" customWidth="1"/>
    <col min="12069" max="12069" width="16.33203125" style="2894" customWidth="1"/>
    <col min="12070" max="12070" width="25" style="2894" customWidth="1"/>
    <col min="12071" max="12071" width="0" style="2894" hidden="1" customWidth="1"/>
    <col min="12072" max="12072" width="7.109375" style="2894" customWidth="1"/>
    <col min="12073" max="12073" width="13" style="2894" customWidth="1"/>
    <col min="12074" max="12074" width="19.21875" style="2894" customWidth="1"/>
    <col min="12075" max="12076" width="23" style="2894" customWidth="1"/>
    <col min="12077" max="12077" width="9" style="2894" customWidth="1"/>
    <col min="12078" max="12288" width="8.88671875" style="2894"/>
    <col min="12289" max="12289" width="43.77734375" style="2894" customWidth="1"/>
    <col min="12290" max="12290" width="7.109375" style="2894" customWidth="1"/>
    <col min="12291" max="12291" width="15.88671875" style="2894" customWidth="1"/>
    <col min="12292" max="12292" width="7.109375" style="2894" customWidth="1"/>
    <col min="12293" max="12293" width="5.21875" style="2894" customWidth="1"/>
    <col min="12294" max="12294" width="94" style="2894" customWidth="1"/>
    <col min="12295" max="12295" width="9" style="2894" customWidth="1"/>
    <col min="12296" max="12296" width="23.21875" style="2894" customWidth="1"/>
    <col min="12297" max="12297" width="84.77734375" style="2894" customWidth="1"/>
    <col min="12298" max="12299" width="15.88671875" style="2894" customWidth="1"/>
    <col min="12300" max="12300" width="10.109375" style="2894" customWidth="1"/>
    <col min="12301" max="12301" width="9" style="2894" customWidth="1"/>
    <col min="12302" max="12302" width="27.88671875" style="2894" customWidth="1"/>
    <col min="12303" max="12303" width="31.77734375" style="2894" customWidth="1"/>
    <col min="12304" max="12304" width="11.33203125" style="2894" customWidth="1"/>
    <col min="12305" max="12306" width="17.77734375" style="2894" customWidth="1"/>
    <col min="12307" max="12307" width="14.77734375" style="2894" customWidth="1"/>
    <col min="12308" max="12308" width="37.33203125" style="2894" customWidth="1"/>
    <col min="12309" max="12309" width="23.21875" style="2894" customWidth="1"/>
    <col min="12310" max="12314" width="0" style="2894" hidden="1" customWidth="1"/>
    <col min="12315" max="12315" width="10.21875" style="2894" customWidth="1"/>
    <col min="12316" max="12317" width="0" style="2894" hidden="1" customWidth="1"/>
    <col min="12318" max="12318" width="23.21875" style="2894" customWidth="1"/>
    <col min="12319" max="12320" width="0" style="2894" hidden="1" customWidth="1"/>
    <col min="12321" max="12321" width="12.109375" style="2894" customWidth="1"/>
    <col min="12322" max="12322" width="0" style="2894" hidden="1" customWidth="1"/>
    <col min="12323" max="12323" width="18.21875" style="2894" customWidth="1"/>
    <col min="12324" max="12324" width="0" style="2894" hidden="1" customWidth="1"/>
    <col min="12325" max="12325" width="16.33203125" style="2894" customWidth="1"/>
    <col min="12326" max="12326" width="25" style="2894" customWidth="1"/>
    <col min="12327" max="12327" width="0" style="2894" hidden="1" customWidth="1"/>
    <col min="12328" max="12328" width="7.109375" style="2894" customWidth="1"/>
    <col min="12329" max="12329" width="13" style="2894" customWidth="1"/>
    <col min="12330" max="12330" width="19.21875" style="2894" customWidth="1"/>
    <col min="12331" max="12332" width="23" style="2894" customWidth="1"/>
    <col min="12333" max="12333" width="9" style="2894" customWidth="1"/>
    <col min="12334" max="12544" width="8.88671875" style="2894"/>
    <col min="12545" max="12545" width="43.77734375" style="2894" customWidth="1"/>
    <col min="12546" max="12546" width="7.109375" style="2894" customWidth="1"/>
    <col min="12547" max="12547" width="15.88671875" style="2894" customWidth="1"/>
    <col min="12548" max="12548" width="7.109375" style="2894" customWidth="1"/>
    <col min="12549" max="12549" width="5.21875" style="2894" customWidth="1"/>
    <col min="12550" max="12550" width="94" style="2894" customWidth="1"/>
    <col min="12551" max="12551" width="9" style="2894" customWidth="1"/>
    <col min="12552" max="12552" width="23.21875" style="2894" customWidth="1"/>
    <col min="12553" max="12553" width="84.77734375" style="2894" customWidth="1"/>
    <col min="12554" max="12555" width="15.88671875" style="2894" customWidth="1"/>
    <col min="12556" max="12556" width="10.109375" style="2894" customWidth="1"/>
    <col min="12557" max="12557" width="9" style="2894" customWidth="1"/>
    <col min="12558" max="12558" width="27.88671875" style="2894" customWidth="1"/>
    <col min="12559" max="12559" width="31.77734375" style="2894" customWidth="1"/>
    <col min="12560" max="12560" width="11.33203125" style="2894" customWidth="1"/>
    <col min="12561" max="12562" width="17.77734375" style="2894" customWidth="1"/>
    <col min="12563" max="12563" width="14.77734375" style="2894" customWidth="1"/>
    <col min="12564" max="12564" width="37.33203125" style="2894" customWidth="1"/>
    <col min="12565" max="12565" width="23.21875" style="2894" customWidth="1"/>
    <col min="12566" max="12570" width="0" style="2894" hidden="1" customWidth="1"/>
    <col min="12571" max="12571" width="10.21875" style="2894" customWidth="1"/>
    <col min="12572" max="12573" width="0" style="2894" hidden="1" customWidth="1"/>
    <col min="12574" max="12574" width="23.21875" style="2894" customWidth="1"/>
    <col min="12575" max="12576" width="0" style="2894" hidden="1" customWidth="1"/>
    <col min="12577" max="12577" width="12.109375" style="2894" customWidth="1"/>
    <col min="12578" max="12578" width="0" style="2894" hidden="1" customWidth="1"/>
    <col min="12579" max="12579" width="18.21875" style="2894" customWidth="1"/>
    <col min="12580" max="12580" width="0" style="2894" hidden="1" customWidth="1"/>
    <col min="12581" max="12581" width="16.33203125" style="2894" customWidth="1"/>
    <col min="12582" max="12582" width="25" style="2894" customWidth="1"/>
    <col min="12583" max="12583" width="0" style="2894" hidden="1" customWidth="1"/>
    <col min="12584" max="12584" width="7.109375" style="2894" customWidth="1"/>
    <col min="12585" max="12585" width="13" style="2894" customWidth="1"/>
    <col min="12586" max="12586" width="19.21875" style="2894" customWidth="1"/>
    <col min="12587" max="12588" width="23" style="2894" customWidth="1"/>
    <col min="12589" max="12589" width="9" style="2894" customWidth="1"/>
    <col min="12590" max="12800" width="8.88671875" style="2894"/>
    <col min="12801" max="12801" width="43.77734375" style="2894" customWidth="1"/>
    <col min="12802" max="12802" width="7.109375" style="2894" customWidth="1"/>
    <col min="12803" max="12803" width="15.88671875" style="2894" customWidth="1"/>
    <col min="12804" max="12804" width="7.109375" style="2894" customWidth="1"/>
    <col min="12805" max="12805" width="5.21875" style="2894" customWidth="1"/>
    <col min="12806" max="12806" width="94" style="2894" customWidth="1"/>
    <col min="12807" max="12807" width="9" style="2894" customWidth="1"/>
    <col min="12808" max="12808" width="23.21875" style="2894" customWidth="1"/>
    <col min="12809" max="12809" width="84.77734375" style="2894" customWidth="1"/>
    <col min="12810" max="12811" width="15.88671875" style="2894" customWidth="1"/>
    <col min="12812" max="12812" width="10.109375" style="2894" customWidth="1"/>
    <col min="12813" max="12813" width="9" style="2894" customWidth="1"/>
    <col min="12814" max="12814" width="27.88671875" style="2894" customWidth="1"/>
    <col min="12815" max="12815" width="31.77734375" style="2894" customWidth="1"/>
    <col min="12816" max="12816" width="11.33203125" style="2894" customWidth="1"/>
    <col min="12817" max="12818" width="17.77734375" style="2894" customWidth="1"/>
    <col min="12819" max="12819" width="14.77734375" style="2894" customWidth="1"/>
    <col min="12820" max="12820" width="37.33203125" style="2894" customWidth="1"/>
    <col min="12821" max="12821" width="23.21875" style="2894" customWidth="1"/>
    <col min="12822" max="12826" width="0" style="2894" hidden="1" customWidth="1"/>
    <col min="12827" max="12827" width="10.21875" style="2894" customWidth="1"/>
    <col min="12828" max="12829" width="0" style="2894" hidden="1" customWidth="1"/>
    <col min="12830" max="12830" width="23.21875" style="2894" customWidth="1"/>
    <col min="12831" max="12832" width="0" style="2894" hidden="1" customWidth="1"/>
    <col min="12833" max="12833" width="12.109375" style="2894" customWidth="1"/>
    <col min="12834" max="12834" width="0" style="2894" hidden="1" customWidth="1"/>
    <col min="12835" max="12835" width="18.21875" style="2894" customWidth="1"/>
    <col min="12836" max="12836" width="0" style="2894" hidden="1" customWidth="1"/>
    <col min="12837" max="12837" width="16.33203125" style="2894" customWidth="1"/>
    <col min="12838" max="12838" width="25" style="2894" customWidth="1"/>
    <col min="12839" max="12839" width="0" style="2894" hidden="1" customWidth="1"/>
    <col min="12840" max="12840" width="7.109375" style="2894" customWidth="1"/>
    <col min="12841" max="12841" width="13" style="2894" customWidth="1"/>
    <col min="12842" max="12842" width="19.21875" style="2894" customWidth="1"/>
    <col min="12843" max="12844" width="23" style="2894" customWidth="1"/>
    <col min="12845" max="12845" width="9" style="2894" customWidth="1"/>
    <col min="12846" max="13056" width="8.88671875" style="2894"/>
    <col min="13057" max="13057" width="43.77734375" style="2894" customWidth="1"/>
    <col min="13058" max="13058" width="7.109375" style="2894" customWidth="1"/>
    <col min="13059" max="13059" width="15.88671875" style="2894" customWidth="1"/>
    <col min="13060" max="13060" width="7.109375" style="2894" customWidth="1"/>
    <col min="13061" max="13061" width="5.21875" style="2894" customWidth="1"/>
    <col min="13062" max="13062" width="94" style="2894" customWidth="1"/>
    <col min="13063" max="13063" width="9" style="2894" customWidth="1"/>
    <col min="13064" max="13064" width="23.21875" style="2894" customWidth="1"/>
    <col min="13065" max="13065" width="84.77734375" style="2894" customWidth="1"/>
    <col min="13066" max="13067" width="15.88671875" style="2894" customWidth="1"/>
    <col min="13068" max="13068" width="10.109375" style="2894" customWidth="1"/>
    <col min="13069" max="13069" width="9" style="2894" customWidth="1"/>
    <col min="13070" max="13070" width="27.88671875" style="2894" customWidth="1"/>
    <col min="13071" max="13071" width="31.77734375" style="2894" customWidth="1"/>
    <col min="13072" max="13072" width="11.33203125" style="2894" customWidth="1"/>
    <col min="13073" max="13074" width="17.77734375" style="2894" customWidth="1"/>
    <col min="13075" max="13075" width="14.77734375" style="2894" customWidth="1"/>
    <col min="13076" max="13076" width="37.33203125" style="2894" customWidth="1"/>
    <col min="13077" max="13077" width="23.21875" style="2894" customWidth="1"/>
    <col min="13078" max="13082" width="0" style="2894" hidden="1" customWidth="1"/>
    <col min="13083" max="13083" width="10.21875" style="2894" customWidth="1"/>
    <col min="13084" max="13085" width="0" style="2894" hidden="1" customWidth="1"/>
    <col min="13086" max="13086" width="23.21875" style="2894" customWidth="1"/>
    <col min="13087" max="13088" width="0" style="2894" hidden="1" customWidth="1"/>
    <col min="13089" max="13089" width="12.109375" style="2894" customWidth="1"/>
    <col min="13090" max="13090" width="0" style="2894" hidden="1" customWidth="1"/>
    <col min="13091" max="13091" width="18.21875" style="2894" customWidth="1"/>
    <col min="13092" max="13092" width="0" style="2894" hidden="1" customWidth="1"/>
    <col min="13093" max="13093" width="16.33203125" style="2894" customWidth="1"/>
    <col min="13094" max="13094" width="25" style="2894" customWidth="1"/>
    <col min="13095" max="13095" width="0" style="2894" hidden="1" customWidth="1"/>
    <col min="13096" max="13096" width="7.109375" style="2894" customWidth="1"/>
    <col min="13097" max="13097" width="13" style="2894" customWidth="1"/>
    <col min="13098" max="13098" width="19.21875" style="2894" customWidth="1"/>
    <col min="13099" max="13100" width="23" style="2894" customWidth="1"/>
    <col min="13101" max="13101" width="9" style="2894" customWidth="1"/>
    <col min="13102" max="13312" width="8.88671875" style="2894"/>
    <col min="13313" max="13313" width="43.77734375" style="2894" customWidth="1"/>
    <col min="13314" max="13314" width="7.109375" style="2894" customWidth="1"/>
    <col min="13315" max="13315" width="15.88671875" style="2894" customWidth="1"/>
    <col min="13316" max="13316" width="7.109375" style="2894" customWidth="1"/>
    <col min="13317" max="13317" width="5.21875" style="2894" customWidth="1"/>
    <col min="13318" max="13318" width="94" style="2894" customWidth="1"/>
    <col min="13319" max="13319" width="9" style="2894" customWidth="1"/>
    <col min="13320" max="13320" width="23.21875" style="2894" customWidth="1"/>
    <col min="13321" max="13321" width="84.77734375" style="2894" customWidth="1"/>
    <col min="13322" max="13323" width="15.88671875" style="2894" customWidth="1"/>
    <col min="13324" max="13324" width="10.109375" style="2894" customWidth="1"/>
    <col min="13325" max="13325" width="9" style="2894" customWidth="1"/>
    <col min="13326" max="13326" width="27.88671875" style="2894" customWidth="1"/>
    <col min="13327" max="13327" width="31.77734375" style="2894" customWidth="1"/>
    <col min="13328" max="13328" width="11.33203125" style="2894" customWidth="1"/>
    <col min="13329" max="13330" width="17.77734375" style="2894" customWidth="1"/>
    <col min="13331" max="13331" width="14.77734375" style="2894" customWidth="1"/>
    <col min="13332" max="13332" width="37.33203125" style="2894" customWidth="1"/>
    <col min="13333" max="13333" width="23.21875" style="2894" customWidth="1"/>
    <col min="13334" max="13338" width="0" style="2894" hidden="1" customWidth="1"/>
    <col min="13339" max="13339" width="10.21875" style="2894" customWidth="1"/>
    <col min="13340" max="13341" width="0" style="2894" hidden="1" customWidth="1"/>
    <col min="13342" max="13342" width="23.21875" style="2894" customWidth="1"/>
    <col min="13343" max="13344" width="0" style="2894" hidden="1" customWidth="1"/>
    <col min="13345" max="13345" width="12.109375" style="2894" customWidth="1"/>
    <col min="13346" max="13346" width="0" style="2894" hidden="1" customWidth="1"/>
    <col min="13347" max="13347" width="18.21875" style="2894" customWidth="1"/>
    <col min="13348" max="13348" width="0" style="2894" hidden="1" customWidth="1"/>
    <col min="13349" max="13349" width="16.33203125" style="2894" customWidth="1"/>
    <col min="13350" max="13350" width="25" style="2894" customWidth="1"/>
    <col min="13351" max="13351" width="0" style="2894" hidden="1" customWidth="1"/>
    <col min="13352" max="13352" width="7.109375" style="2894" customWidth="1"/>
    <col min="13353" max="13353" width="13" style="2894" customWidth="1"/>
    <col min="13354" max="13354" width="19.21875" style="2894" customWidth="1"/>
    <col min="13355" max="13356" width="23" style="2894" customWidth="1"/>
    <col min="13357" max="13357" width="9" style="2894" customWidth="1"/>
    <col min="13358" max="13568" width="8.88671875" style="2894"/>
    <col min="13569" max="13569" width="43.77734375" style="2894" customWidth="1"/>
    <col min="13570" max="13570" width="7.109375" style="2894" customWidth="1"/>
    <col min="13571" max="13571" width="15.88671875" style="2894" customWidth="1"/>
    <col min="13572" max="13572" width="7.109375" style="2894" customWidth="1"/>
    <col min="13573" max="13573" width="5.21875" style="2894" customWidth="1"/>
    <col min="13574" max="13574" width="94" style="2894" customWidth="1"/>
    <col min="13575" max="13575" width="9" style="2894" customWidth="1"/>
    <col min="13576" max="13576" width="23.21875" style="2894" customWidth="1"/>
    <col min="13577" max="13577" width="84.77734375" style="2894" customWidth="1"/>
    <col min="13578" max="13579" width="15.88671875" style="2894" customWidth="1"/>
    <col min="13580" max="13580" width="10.109375" style="2894" customWidth="1"/>
    <col min="13581" max="13581" width="9" style="2894" customWidth="1"/>
    <col min="13582" max="13582" width="27.88671875" style="2894" customWidth="1"/>
    <col min="13583" max="13583" width="31.77734375" style="2894" customWidth="1"/>
    <col min="13584" max="13584" width="11.33203125" style="2894" customWidth="1"/>
    <col min="13585" max="13586" width="17.77734375" style="2894" customWidth="1"/>
    <col min="13587" max="13587" width="14.77734375" style="2894" customWidth="1"/>
    <col min="13588" max="13588" width="37.33203125" style="2894" customWidth="1"/>
    <col min="13589" max="13589" width="23.21875" style="2894" customWidth="1"/>
    <col min="13590" max="13594" width="0" style="2894" hidden="1" customWidth="1"/>
    <col min="13595" max="13595" width="10.21875" style="2894" customWidth="1"/>
    <col min="13596" max="13597" width="0" style="2894" hidden="1" customWidth="1"/>
    <col min="13598" max="13598" width="23.21875" style="2894" customWidth="1"/>
    <col min="13599" max="13600" width="0" style="2894" hidden="1" customWidth="1"/>
    <col min="13601" max="13601" width="12.109375" style="2894" customWidth="1"/>
    <col min="13602" max="13602" width="0" style="2894" hidden="1" customWidth="1"/>
    <col min="13603" max="13603" width="18.21875" style="2894" customWidth="1"/>
    <col min="13604" max="13604" width="0" style="2894" hidden="1" customWidth="1"/>
    <col min="13605" max="13605" width="16.33203125" style="2894" customWidth="1"/>
    <col min="13606" max="13606" width="25" style="2894" customWidth="1"/>
    <col min="13607" max="13607" width="0" style="2894" hidden="1" customWidth="1"/>
    <col min="13608" max="13608" width="7.109375" style="2894" customWidth="1"/>
    <col min="13609" max="13609" width="13" style="2894" customWidth="1"/>
    <col min="13610" max="13610" width="19.21875" style="2894" customWidth="1"/>
    <col min="13611" max="13612" width="23" style="2894" customWidth="1"/>
    <col min="13613" max="13613" width="9" style="2894" customWidth="1"/>
    <col min="13614" max="13824" width="8.88671875" style="2894"/>
    <col min="13825" max="13825" width="43.77734375" style="2894" customWidth="1"/>
    <col min="13826" max="13826" width="7.109375" style="2894" customWidth="1"/>
    <col min="13827" max="13827" width="15.88671875" style="2894" customWidth="1"/>
    <col min="13828" max="13828" width="7.109375" style="2894" customWidth="1"/>
    <col min="13829" max="13829" width="5.21875" style="2894" customWidth="1"/>
    <col min="13830" max="13830" width="94" style="2894" customWidth="1"/>
    <col min="13831" max="13831" width="9" style="2894" customWidth="1"/>
    <col min="13832" max="13832" width="23.21875" style="2894" customWidth="1"/>
    <col min="13833" max="13833" width="84.77734375" style="2894" customWidth="1"/>
    <col min="13834" max="13835" width="15.88671875" style="2894" customWidth="1"/>
    <col min="13836" max="13836" width="10.109375" style="2894" customWidth="1"/>
    <col min="13837" max="13837" width="9" style="2894" customWidth="1"/>
    <col min="13838" max="13838" width="27.88671875" style="2894" customWidth="1"/>
    <col min="13839" max="13839" width="31.77734375" style="2894" customWidth="1"/>
    <col min="13840" max="13840" width="11.33203125" style="2894" customWidth="1"/>
    <col min="13841" max="13842" width="17.77734375" style="2894" customWidth="1"/>
    <col min="13843" max="13843" width="14.77734375" style="2894" customWidth="1"/>
    <col min="13844" max="13844" width="37.33203125" style="2894" customWidth="1"/>
    <col min="13845" max="13845" width="23.21875" style="2894" customWidth="1"/>
    <col min="13846" max="13850" width="0" style="2894" hidden="1" customWidth="1"/>
    <col min="13851" max="13851" width="10.21875" style="2894" customWidth="1"/>
    <col min="13852" max="13853" width="0" style="2894" hidden="1" customWidth="1"/>
    <col min="13854" max="13854" width="23.21875" style="2894" customWidth="1"/>
    <col min="13855" max="13856" width="0" style="2894" hidden="1" customWidth="1"/>
    <col min="13857" max="13857" width="12.109375" style="2894" customWidth="1"/>
    <col min="13858" max="13858" width="0" style="2894" hidden="1" customWidth="1"/>
    <col min="13859" max="13859" width="18.21875" style="2894" customWidth="1"/>
    <col min="13860" max="13860" width="0" style="2894" hidden="1" customWidth="1"/>
    <col min="13861" max="13861" width="16.33203125" style="2894" customWidth="1"/>
    <col min="13862" max="13862" width="25" style="2894" customWidth="1"/>
    <col min="13863" max="13863" width="0" style="2894" hidden="1" customWidth="1"/>
    <col min="13864" max="13864" width="7.109375" style="2894" customWidth="1"/>
    <col min="13865" max="13865" width="13" style="2894" customWidth="1"/>
    <col min="13866" max="13866" width="19.21875" style="2894" customWidth="1"/>
    <col min="13867" max="13868" width="23" style="2894" customWidth="1"/>
    <col min="13869" max="13869" width="9" style="2894" customWidth="1"/>
    <col min="13870" max="14080" width="8.88671875" style="2894"/>
    <col min="14081" max="14081" width="43.77734375" style="2894" customWidth="1"/>
    <col min="14082" max="14082" width="7.109375" style="2894" customWidth="1"/>
    <col min="14083" max="14083" width="15.88671875" style="2894" customWidth="1"/>
    <col min="14084" max="14084" width="7.109375" style="2894" customWidth="1"/>
    <col min="14085" max="14085" width="5.21875" style="2894" customWidth="1"/>
    <col min="14086" max="14086" width="94" style="2894" customWidth="1"/>
    <col min="14087" max="14087" width="9" style="2894" customWidth="1"/>
    <col min="14088" max="14088" width="23.21875" style="2894" customWidth="1"/>
    <col min="14089" max="14089" width="84.77734375" style="2894" customWidth="1"/>
    <col min="14090" max="14091" width="15.88671875" style="2894" customWidth="1"/>
    <col min="14092" max="14092" width="10.109375" style="2894" customWidth="1"/>
    <col min="14093" max="14093" width="9" style="2894" customWidth="1"/>
    <col min="14094" max="14094" width="27.88671875" style="2894" customWidth="1"/>
    <col min="14095" max="14095" width="31.77734375" style="2894" customWidth="1"/>
    <col min="14096" max="14096" width="11.33203125" style="2894" customWidth="1"/>
    <col min="14097" max="14098" width="17.77734375" style="2894" customWidth="1"/>
    <col min="14099" max="14099" width="14.77734375" style="2894" customWidth="1"/>
    <col min="14100" max="14100" width="37.33203125" style="2894" customWidth="1"/>
    <col min="14101" max="14101" width="23.21875" style="2894" customWidth="1"/>
    <col min="14102" max="14106" width="0" style="2894" hidden="1" customWidth="1"/>
    <col min="14107" max="14107" width="10.21875" style="2894" customWidth="1"/>
    <col min="14108" max="14109" width="0" style="2894" hidden="1" customWidth="1"/>
    <col min="14110" max="14110" width="23.21875" style="2894" customWidth="1"/>
    <col min="14111" max="14112" width="0" style="2894" hidden="1" customWidth="1"/>
    <col min="14113" max="14113" width="12.109375" style="2894" customWidth="1"/>
    <col min="14114" max="14114" width="0" style="2894" hidden="1" customWidth="1"/>
    <col min="14115" max="14115" width="18.21875" style="2894" customWidth="1"/>
    <col min="14116" max="14116" width="0" style="2894" hidden="1" customWidth="1"/>
    <col min="14117" max="14117" width="16.33203125" style="2894" customWidth="1"/>
    <col min="14118" max="14118" width="25" style="2894" customWidth="1"/>
    <col min="14119" max="14119" width="0" style="2894" hidden="1" customWidth="1"/>
    <col min="14120" max="14120" width="7.109375" style="2894" customWidth="1"/>
    <col min="14121" max="14121" width="13" style="2894" customWidth="1"/>
    <col min="14122" max="14122" width="19.21875" style="2894" customWidth="1"/>
    <col min="14123" max="14124" width="23" style="2894" customWidth="1"/>
    <col min="14125" max="14125" width="9" style="2894" customWidth="1"/>
    <col min="14126" max="14336" width="8.88671875" style="2894"/>
    <col min="14337" max="14337" width="43.77734375" style="2894" customWidth="1"/>
    <col min="14338" max="14338" width="7.109375" style="2894" customWidth="1"/>
    <col min="14339" max="14339" width="15.88671875" style="2894" customWidth="1"/>
    <col min="14340" max="14340" width="7.109375" style="2894" customWidth="1"/>
    <col min="14341" max="14341" width="5.21875" style="2894" customWidth="1"/>
    <col min="14342" max="14342" width="94" style="2894" customWidth="1"/>
    <col min="14343" max="14343" width="9" style="2894" customWidth="1"/>
    <col min="14344" max="14344" width="23.21875" style="2894" customWidth="1"/>
    <col min="14345" max="14345" width="84.77734375" style="2894" customWidth="1"/>
    <col min="14346" max="14347" width="15.88671875" style="2894" customWidth="1"/>
    <col min="14348" max="14348" width="10.109375" style="2894" customWidth="1"/>
    <col min="14349" max="14349" width="9" style="2894" customWidth="1"/>
    <col min="14350" max="14350" width="27.88671875" style="2894" customWidth="1"/>
    <col min="14351" max="14351" width="31.77734375" style="2894" customWidth="1"/>
    <col min="14352" max="14352" width="11.33203125" style="2894" customWidth="1"/>
    <col min="14353" max="14354" width="17.77734375" style="2894" customWidth="1"/>
    <col min="14355" max="14355" width="14.77734375" style="2894" customWidth="1"/>
    <col min="14356" max="14356" width="37.33203125" style="2894" customWidth="1"/>
    <col min="14357" max="14357" width="23.21875" style="2894" customWidth="1"/>
    <col min="14358" max="14362" width="0" style="2894" hidden="1" customWidth="1"/>
    <col min="14363" max="14363" width="10.21875" style="2894" customWidth="1"/>
    <col min="14364" max="14365" width="0" style="2894" hidden="1" customWidth="1"/>
    <col min="14366" max="14366" width="23.21875" style="2894" customWidth="1"/>
    <col min="14367" max="14368" width="0" style="2894" hidden="1" customWidth="1"/>
    <col min="14369" max="14369" width="12.109375" style="2894" customWidth="1"/>
    <col min="14370" max="14370" width="0" style="2894" hidden="1" customWidth="1"/>
    <col min="14371" max="14371" width="18.21875" style="2894" customWidth="1"/>
    <col min="14372" max="14372" width="0" style="2894" hidden="1" customWidth="1"/>
    <col min="14373" max="14373" width="16.33203125" style="2894" customWidth="1"/>
    <col min="14374" max="14374" width="25" style="2894" customWidth="1"/>
    <col min="14375" max="14375" width="0" style="2894" hidden="1" customWidth="1"/>
    <col min="14376" max="14376" width="7.109375" style="2894" customWidth="1"/>
    <col min="14377" max="14377" width="13" style="2894" customWidth="1"/>
    <col min="14378" max="14378" width="19.21875" style="2894" customWidth="1"/>
    <col min="14379" max="14380" width="23" style="2894" customWidth="1"/>
    <col min="14381" max="14381" width="9" style="2894" customWidth="1"/>
    <col min="14382" max="14592" width="8.88671875" style="2894"/>
    <col min="14593" max="14593" width="43.77734375" style="2894" customWidth="1"/>
    <col min="14594" max="14594" width="7.109375" style="2894" customWidth="1"/>
    <col min="14595" max="14595" width="15.88671875" style="2894" customWidth="1"/>
    <col min="14596" max="14596" width="7.109375" style="2894" customWidth="1"/>
    <col min="14597" max="14597" width="5.21875" style="2894" customWidth="1"/>
    <col min="14598" max="14598" width="94" style="2894" customWidth="1"/>
    <col min="14599" max="14599" width="9" style="2894" customWidth="1"/>
    <col min="14600" max="14600" width="23.21875" style="2894" customWidth="1"/>
    <col min="14601" max="14601" width="84.77734375" style="2894" customWidth="1"/>
    <col min="14602" max="14603" width="15.88671875" style="2894" customWidth="1"/>
    <col min="14604" max="14604" width="10.109375" style="2894" customWidth="1"/>
    <col min="14605" max="14605" width="9" style="2894" customWidth="1"/>
    <col min="14606" max="14606" width="27.88671875" style="2894" customWidth="1"/>
    <col min="14607" max="14607" width="31.77734375" style="2894" customWidth="1"/>
    <col min="14608" max="14608" width="11.33203125" style="2894" customWidth="1"/>
    <col min="14609" max="14610" width="17.77734375" style="2894" customWidth="1"/>
    <col min="14611" max="14611" width="14.77734375" style="2894" customWidth="1"/>
    <col min="14612" max="14612" width="37.33203125" style="2894" customWidth="1"/>
    <col min="14613" max="14613" width="23.21875" style="2894" customWidth="1"/>
    <col min="14614" max="14618" width="0" style="2894" hidden="1" customWidth="1"/>
    <col min="14619" max="14619" width="10.21875" style="2894" customWidth="1"/>
    <col min="14620" max="14621" width="0" style="2894" hidden="1" customWidth="1"/>
    <col min="14622" max="14622" width="23.21875" style="2894" customWidth="1"/>
    <col min="14623" max="14624" width="0" style="2894" hidden="1" customWidth="1"/>
    <col min="14625" max="14625" width="12.109375" style="2894" customWidth="1"/>
    <col min="14626" max="14626" width="0" style="2894" hidden="1" customWidth="1"/>
    <col min="14627" max="14627" width="18.21875" style="2894" customWidth="1"/>
    <col min="14628" max="14628" width="0" style="2894" hidden="1" customWidth="1"/>
    <col min="14629" max="14629" width="16.33203125" style="2894" customWidth="1"/>
    <col min="14630" max="14630" width="25" style="2894" customWidth="1"/>
    <col min="14631" max="14631" width="0" style="2894" hidden="1" customWidth="1"/>
    <col min="14632" max="14632" width="7.109375" style="2894" customWidth="1"/>
    <col min="14633" max="14633" width="13" style="2894" customWidth="1"/>
    <col min="14634" max="14634" width="19.21875" style="2894" customWidth="1"/>
    <col min="14635" max="14636" width="23" style="2894" customWidth="1"/>
    <col min="14637" max="14637" width="9" style="2894" customWidth="1"/>
    <col min="14638" max="14848" width="8.88671875" style="2894"/>
    <col min="14849" max="14849" width="43.77734375" style="2894" customWidth="1"/>
    <col min="14850" max="14850" width="7.109375" style="2894" customWidth="1"/>
    <col min="14851" max="14851" width="15.88671875" style="2894" customWidth="1"/>
    <col min="14852" max="14852" width="7.109375" style="2894" customWidth="1"/>
    <col min="14853" max="14853" width="5.21875" style="2894" customWidth="1"/>
    <col min="14854" max="14854" width="94" style="2894" customWidth="1"/>
    <col min="14855" max="14855" width="9" style="2894" customWidth="1"/>
    <col min="14856" max="14856" width="23.21875" style="2894" customWidth="1"/>
    <col min="14857" max="14857" width="84.77734375" style="2894" customWidth="1"/>
    <col min="14858" max="14859" width="15.88671875" style="2894" customWidth="1"/>
    <col min="14860" max="14860" width="10.109375" style="2894" customWidth="1"/>
    <col min="14861" max="14861" width="9" style="2894" customWidth="1"/>
    <col min="14862" max="14862" width="27.88671875" style="2894" customWidth="1"/>
    <col min="14863" max="14863" width="31.77734375" style="2894" customWidth="1"/>
    <col min="14864" max="14864" width="11.33203125" style="2894" customWidth="1"/>
    <col min="14865" max="14866" width="17.77734375" style="2894" customWidth="1"/>
    <col min="14867" max="14867" width="14.77734375" style="2894" customWidth="1"/>
    <col min="14868" max="14868" width="37.33203125" style="2894" customWidth="1"/>
    <col min="14869" max="14869" width="23.21875" style="2894" customWidth="1"/>
    <col min="14870" max="14874" width="0" style="2894" hidden="1" customWidth="1"/>
    <col min="14875" max="14875" width="10.21875" style="2894" customWidth="1"/>
    <col min="14876" max="14877" width="0" style="2894" hidden="1" customWidth="1"/>
    <col min="14878" max="14878" width="23.21875" style="2894" customWidth="1"/>
    <col min="14879" max="14880" width="0" style="2894" hidden="1" customWidth="1"/>
    <col min="14881" max="14881" width="12.109375" style="2894" customWidth="1"/>
    <col min="14882" max="14882" width="0" style="2894" hidden="1" customWidth="1"/>
    <col min="14883" max="14883" width="18.21875" style="2894" customWidth="1"/>
    <col min="14884" max="14884" width="0" style="2894" hidden="1" customWidth="1"/>
    <col min="14885" max="14885" width="16.33203125" style="2894" customWidth="1"/>
    <col min="14886" max="14886" width="25" style="2894" customWidth="1"/>
    <col min="14887" max="14887" width="0" style="2894" hidden="1" customWidth="1"/>
    <col min="14888" max="14888" width="7.109375" style="2894" customWidth="1"/>
    <col min="14889" max="14889" width="13" style="2894" customWidth="1"/>
    <col min="14890" max="14890" width="19.21875" style="2894" customWidth="1"/>
    <col min="14891" max="14892" width="23" style="2894" customWidth="1"/>
    <col min="14893" max="14893" width="9" style="2894" customWidth="1"/>
    <col min="14894" max="15104" width="8.88671875" style="2894"/>
    <col min="15105" max="15105" width="43.77734375" style="2894" customWidth="1"/>
    <col min="15106" max="15106" width="7.109375" style="2894" customWidth="1"/>
    <col min="15107" max="15107" width="15.88671875" style="2894" customWidth="1"/>
    <col min="15108" max="15108" width="7.109375" style="2894" customWidth="1"/>
    <col min="15109" max="15109" width="5.21875" style="2894" customWidth="1"/>
    <col min="15110" max="15110" width="94" style="2894" customWidth="1"/>
    <col min="15111" max="15111" width="9" style="2894" customWidth="1"/>
    <col min="15112" max="15112" width="23.21875" style="2894" customWidth="1"/>
    <col min="15113" max="15113" width="84.77734375" style="2894" customWidth="1"/>
    <col min="15114" max="15115" width="15.88671875" style="2894" customWidth="1"/>
    <col min="15116" max="15116" width="10.109375" style="2894" customWidth="1"/>
    <col min="15117" max="15117" width="9" style="2894" customWidth="1"/>
    <col min="15118" max="15118" width="27.88671875" style="2894" customWidth="1"/>
    <col min="15119" max="15119" width="31.77734375" style="2894" customWidth="1"/>
    <col min="15120" max="15120" width="11.33203125" style="2894" customWidth="1"/>
    <col min="15121" max="15122" width="17.77734375" style="2894" customWidth="1"/>
    <col min="15123" max="15123" width="14.77734375" style="2894" customWidth="1"/>
    <col min="15124" max="15124" width="37.33203125" style="2894" customWidth="1"/>
    <col min="15125" max="15125" width="23.21875" style="2894" customWidth="1"/>
    <col min="15126" max="15130" width="0" style="2894" hidden="1" customWidth="1"/>
    <col min="15131" max="15131" width="10.21875" style="2894" customWidth="1"/>
    <col min="15132" max="15133" width="0" style="2894" hidden="1" customWidth="1"/>
    <col min="15134" max="15134" width="23.21875" style="2894" customWidth="1"/>
    <col min="15135" max="15136" width="0" style="2894" hidden="1" customWidth="1"/>
    <col min="15137" max="15137" width="12.109375" style="2894" customWidth="1"/>
    <col min="15138" max="15138" width="0" style="2894" hidden="1" customWidth="1"/>
    <col min="15139" max="15139" width="18.21875" style="2894" customWidth="1"/>
    <col min="15140" max="15140" width="0" style="2894" hidden="1" customWidth="1"/>
    <col min="15141" max="15141" width="16.33203125" style="2894" customWidth="1"/>
    <col min="15142" max="15142" width="25" style="2894" customWidth="1"/>
    <col min="15143" max="15143" width="0" style="2894" hidden="1" customWidth="1"/>
    <col min="15144" max="15144" width="7.109375" style="2894" customWidth="1"/>
    <col min="15145" max="15145" width="13" style="2894" customWidth="1"/>
    <col min="15146" max="15146" width="19.21875" style="2894" customWidth="1"/>
    <col min="15147" max="15148" width="23" style="2894" customWidth="1"/>
    <col min="15149" max="15149" width="9" style="2894" customWidth="1"/>
    <col min="15150" max="15360" width="8.88671875" style="2894"/>
    <col min="15361" max="15361" width="43.77734375" style="2894" customWidth="1"/>
    <col min="15362" max="15362" width="7.109375" style="2894" customWidth="1"/>
    <col min="15363" max="15363" width="15.88671875" style="2894" customWidth="1"/>
    <col min="15364" max="15364" width="7.109375" style="2894" customWidth="1"/>
    <col min="15365" max="15365" width="5.21875" style="2894" customWidth="1"/>
    <col min="15366" max="15366" width="94" style="2894" customWidth="1"/>
    <col min="15367" max="15367" width="9" style="2894" customWidth="1"/>
    <col min="15368" max="15368" width="23.21875" style="2894" customWidth="1"/>
    <col min="15369" max="15369" width="84.77734375" style="2894" customWidth="1"/>
    <col min="15370" max="15371" width="15.88671875" style="2894" customWidth="1"/>
    <col min="15372" max="15372" width="10.109375" style="2894" customWidth="1"/>
    <col min="15373" max="15373" width="9" style="2894" customWidth="1"/>
    <col min="15374" max="15374" width="27.88671875" style="2894" customWidth="1"/>
    <col min="15375" max="15375" width="31.77734375" style="2894" customWidth="1"/>
    <col min="15376" max="15376" width="11.33203125" style="2894" customWidth="1"/>
    <col min="15377" max="15378" width="17.77734375" style="2894" customWidth="1"/>
    <col min="15379" max="15379" width="14.77734375" style="2894" customWidth="1"/>
    <col min="15380" max="15380" width="37.33203125" style="2894" customWidth="1"/>
    <col min="15381" max="15381" width="23.21875" style="2894" customWidth="1"/>
    <col min="15382" max="15386" width="0" style="2894" hidden="1" customWidth="1"/>
    <col min="15387" max="15387" width="10.21875" style="2894" customWidth="1"/>
    <col min="15388" max="15389" width="0" style="2894" hidden="1" customWidth="1"/>
    <col min="15390" max="15390" width="23.21875" style="2894" customWidth="1"/>
    <col min="15391" max="15392" width="0" style="2894" hidden="1" customWidth="1"/>
    <col min="15393" max="15393" width="12.109375" style="2894" customWidth="1"/>
    <col min="15394" max="15394" width="0" style="2894" hidden="1" customWidth="1"/>
    <col min="15395" max="15395" width="18.21875" style="2894" customWidth="1"/>
    <col min="15396" max="15396" width="0" style="2894" hidden="1" customWidth="1"/>
    <col min="15397" max="15397" width="16.33203125" style="2894" customWidth="1"/>
    <col min="15398" max="15398" width="25" style="2894" customWidth="1"/>
    <col min="15399" max="15399" width="0" style="2894" hidden="1" customWidth="1"/>
    <col min="15400" max="15400" width="7.109375" style="2894" customWidth="1"/>
    <col min="15401" max="15401" width="13" style="2894" customWidth="1"/>
    <col min="15402" max="15402" width="19.21875" style="2894" customWidth="1"/>
    <col min="15403" max="15404" width="23" style="2894" customWidth="1"/>
    <col min="15405" max="15405" width="9" style="2894" customWidth="1"/>
    <col min="15406" max="15616" width="8.88671875" style="2894"/>
    <col min="15617" max="15617" width="43.77734375" style="2894" customWidth="1"/>
    <col min="15618" max="15618" width="7.109375" style="2894" customWidth="1"/>
    <col min="15619" max="15619" width="15.88671875" style="2894" customWidth="1"/>
    <col min="15620" max="15620" width="7.109375" style="2894" customWidth="1"/>
    <col min="15621" max="15621" width="5.21875" style="2894" customWidth="1"/>
    <col min="15622" max="15622" width="94" style="2894" customWidth="1"/>
    <col min="15623" max="15623" width="9" style="2894" customWidth="1"/>
    <col min="15624" max="15624" width="23.21875" style="2894" customWidth="1"/>
    <col min="15625" max="15625" width="84.77734375" style="2894" customWidth="1"/>
    <col min="15626" max="15627" width="15.88671875" style="2894" customWidth="1"/>
    <col min="15628" max="15628" width="10.109375" style="2894" customWidth="1"/>
    <col min="15629" max="15629" width="9" style="2894" customWidth="1"/>
    <col min="15630" max="15630" width="27.88671875" style="2894" customWidth="1"/>
    <col min="15631" max="15631" width="31.77734375" style="2894" customWidth="1"/>
    <col min="15632" max="15632" width="11.33203125" style="2894" customWidth="1"/>
    <col min="15633" max="15634" width="17.77734375" style="2894" customWidth="1"/>
    <col min="15635" max="15635" width="14.77734375" style="2894" customWidth="1"/>
    <col min="15636" max="15636" width="37.33203125" style="2894" customWidth="1"/>
    <col min="15637" max="15637" width="23.21875" style="2894" customWidth="1"/>
    <col min="15638" max="15642" width="0" style="2894" hidden="1" customWidth="1"/>
    <col min="15643" max="15643" width="10.21875" style="2894" customWidth="1"/>
    <col min="15644" max="15645" width="0" style="2894" hidden="1" customWidth="1"/>
    <col min="15646" max="15646" width="23.21875" style="2894" customWidth="1"/>
    <col min="15647" max="15648" width="0" style="2894" hidden="1" customWidth="1"/>
    <col min="15649" max="15649" width="12.109375" style="2894" customWidth="1"/>
    <col min="15650" max="15650" width="0" style="2894" hidden="1" customWidth="1"/>
    <col min="15651" max="15651" width="18.21875" style="2894" customWidth="1"/>
    <col min="15652" max="15652" width="0" style="2894" hidden="1" customWidth="1"/>
    <col min="15653" max="15653" width="16.33203125" style="2894" customWidth="1"/>
    <col min="15654" max="15654" width="25" style="2894" customWidth="1"/>
    <col min="15655" max="15655" width="0" style="2894" hidden="1" customWidth="1"/>
    <col min="15656" max="15656" width="7.109375" style="2894" customWidth="1"/>
    <col min="15657" max="15657" width="13" style="2894" customWidth="1"/>
    <col min="15658" max="15658" width="19.21875" style="2894" customWidth="1"/>
    <col min="15659" max="15660" width="23" style="2894" customWidth="1"/>
    <col min="15661" max="15661" width="9" style="2894" customWidth="1"/>
    <col min="15662" max="15872" width="8.88671875" style="2894"/>
    <col min="15873" max="15873" width="43.77734375" style="2894" customWidth="1"/>
    <col min="15874" max="15874" width="7.109375" style="2894" customWidth="1"/>
    <col min="15875" max="15875" width="15.88671875" style="2894" customWidth="1"/>
    <col min="15876" max="15876" width="7.109375" style="2894" customWidth="1"/>
    <col min="15877" max="15877" width="5.21875" style="2894" customWidth="1"/>
    <col min="15878" max="15878" width="94" style="2894" customWidth="1"/>
    <col min="15879" max="15879" width="9" style="2894" customWidth="1"/>
    <col min="15880" max="15880" width="23.21875" style="2894" customWidth="1"/>
    <col min="15881" max="15881" width="84.77734375" style="2894" customWidth="1"/>
    <col min="15882" max="15883" width="15.88671875" style="2894" customWidth="1"/>
    <col min="15884" max="15884" width="10.109375" style="2894" customWidth="1"/>
    <col min="15885" max="15885" width="9" style="2894" customWidth="1"/>
    <col min="15886" max="15886" width="27.88671875" style="2894" customWidth="1"/>
    <col min="15887" max="15887" width="31.77734375" style="2894" customWidth="1"/>
    <col min="15888" max="15888" width="11.33203125" style="2894" customWidth="1"/>
    <col min="15889" max="15890" width="17.77734375" style="2894" customWidth="1"/>
    <col min="15891" max="15891" width="14.77734375" style="2894" customWidth="1"/>
    <col min="15892" max="15892" width="37.33203125" style="2894" customWidth="1"/>
    <col min="15893" max="15893" width="23.21875" style="2894" customWidth="1"/>
    <col min="15894" max="15898" width="0" style="2894" hidden="1" customWidth="1"/>
    <col min="15899" max="15899" width="10.21875" style="2894" customWidth="1"/>
    <col min="15900" max="15901" width="0" style="2894" hidden="1" customWidth="1"/>
    <col min="15902" max="15902" width="23.21875" style="2894" customWidth="1"/>
    <col min="15903" max="15904" width="0" style="2894" hidden="1" customWidth="1"/>
    <col min="15905" max="15905" width="12.109375" style="2894" customWidth="1"/>
    <col min="15906" max="15906" width="0" style="2894" hidden="1" customWidth="1"/>
    <col min="15907" max="15907" width="18.21875" style="2894" customWidth="1"/>
    <col min="15908" max="15908" width="0" style="2894" hidden="1" customWidth="1"/>
    <col min="15909" max="15909" width="16.33203125" style="2894" customWidth="1"/>
    <col min="15910" max="15910" width="25" style="2894" customWidth="1"/>
    <col min="15911" max="15911" width="0" style="2894" hidden="1" customWidth="1"/>
    <col min="15912" max="15912" width="7.109375" style="2894" customWidth="1"/>
    <col min="15913" max="15913" width="13" style="2894" customWidth="1"/>
    <col min="15914" max="15914" width="19.21875" style="2894" customWidth="1"/>
    <col min="15915" max="15916" width="23" style="2894" customWidth="1"/>
    <col min="15917" max="15917" width="9" style="2894" customWidth="1"/>
    <col min="15918" max="16128" width="8.88671875" style="2894"/>
    <col min="16129" max="16129" width="43.77734375" style="2894" customWidth="1"/>
    <col min="16130" max="16130" width="7.109375" style="2894" customWidth="1"/>
    <col min="16131" max="16131" width="15.88671875" style="2894" customWidth="1"/>
    <col min="16132" max="16132" width="7.109375" style="2894" customWidth="1"/>
    <col min="16133" max="16133" width="5.21875" style="2894" customWidth="1"/>
    <col min="16134" max="16134" width="94" style="2894" customWidth="1"/>
    <col min="16135" max="16135" width="9" style="2894" customWidth="1"/>
    <col min="16136" max="16136" width="23.21875" style="2894" customWidth="1"/>
    <col min="16137" max="16137" width="84.77734375" style="2894" customWidth="1"/>
    <col min="16138" max="16139" width="15.88671875" style="2894" customWidth="1"/>
    <col min="16140" max="16140" width="10.109375" style="2894" customWidth="1"/>
    <col min="16141" max="16141" width="9" style="2894" customWidth="1"/>
    <col min="16142" max="16142" width="27.88671875" style="2894" customWidth="1"/>
    <col min="16143" max="16143" width="31.77734375" style="2894" customWidth="1"/>
    <col min="16144" max="16144" width="11.33203125" style="2894" customWidth="1"/>
    <col min="16145" max="16146" width="17.77734375" style="2894" customWidth="1"/>
    <col min="16147" max="16147" width="14.77734375" style="2894" customWidth="1"/>
    <col min="16148" max="16148" width="37.33203125" style="2894" customWidth="1"/>
    <col min="16149" max="16149" width="23.21875" style="2894" customWidth="1"/>
    <col min="16150" max="16154" width="0" style="2894" hidden="1" customWidth="1"/>
    <col min="16155" max="16155" width="10.21875" style="2894" customWidth="1"/>
    <col min="16156" max="16157" width="0" style="2894" hidden="1" customWidth="1"/>
    <col min="16158" max="16158" width="23.21875" style="2894" customWidth="1"/>
    <col min="16159" max="16160" width="0" style="2894" hidden="1" customWidth="1"/>
    <col min="16161" max="16161" width="12.109375" style="2894" customWidth="1"/>
    <col min="16162" max="16162" width="0" style="2894" hidden="1" customWidth="1"/>
    <col min="16163" max="16163" width="18.21875" style="2894" customWidth="1"/>
    <col min="16164" max="16164" width="0" style="2894" hidden="1" customWidth="1"/>
    <col min="16165" max="16165" width="16.33203125" style="2894" customWidth="1"/>
    <col min="16166" max="16166" width="25" style="2894" customWidth="1"/>
    <col min="16167" max="16167" width="0" style="2894" hidden="1" customWidth="1"/>
    <col min="16168" max="16168" width="7.109375" style="2894" customWidth="1"/>
    <col min="16169" max="16169" width="13" style="2894" customWidth="1"/>
    <col min="16170" max="16170" width="19.21875" style="2894" customWidth="1"/>
    <col min="16171" max="16172" width="23" style="2894" customWidth="1"/>
    <col min="16173" max="16173" width="9" style="2894" customWidth="1"/>
    <col min="16174" max="16384" width="8.88671875" style="2894"/>
  </cols>
  <sheetData>
    <row r="1" spans="1:45">
      <c r="A1" s="2894" t="s">
        <v>3049</v>
      </c>
      <c r="B1" s="2894" t="s">
        <v>3050</v>
      </c>
      <c r="C1" s="2894" t="s">
        <v>3051</v>
      </c>
      <c r="D1" s="2894" t="s">
        <v>3052</v>
      </c>
      <c r="E1" s="2894" t="s">
        <v>3053</v>
      </c>
      <c r="F1" s="2894" t="s">
        <v>3054</v>
      </c>
      <c r="G1" s="2894" t="s">
        <v>3055</v>
      </c>
      <c r="H1" s="2894" t="s">
        <v>3056</v>
      </c>
      <c r="I1" s="2894" t="s">
        <v>3057</v>
      </c>
      <c r="J1" s="2894" t="s">
        <v>3058</v>
      </c>
      <c r="K1" s="2894" t="s">
        <v>3059</v>
      </c>
      <c r="L1" s="2894" t="s">
        <v>2032</v>
      </c>
      <c r="M1" s="2894" t="s">
        <v>3060</v>
      </c>
      <c r="N1" s="2894" t="s">
        <v>3061</v>
      </c>
      <c r="O1" s="2894" t="s">
        <v>3062</v>
      </c>
      <c r="P1" s="2894" t="s">
        <v>3063</v>
      </c>
      <c r="Q1" s="2894" t="s">
        <v>3064</v>
      </c>
      <c r="R1" s="2894" t="s">
        <v>3065</v>
      </c>
      <c r="S1" s="2894" t="s">
        <v>3066</v>
      </c>
      <c r="T1" s="2894" t="s">
        <v>3067</v>
      </c>
      <c r="U1" s="2894" t="s">
        <v>3068</v>
      </c>
      <c r="V1" s="2894" t="s">
        <v>3069</v>
      </c>
      <c r="W1" s="2894" t="s">
        <v>3070</v>
      </c>
      <c r="X1" s="2894" t="s">
        <v>3071</v>
      </c>
      <c r="Y1" s="2894" t="s">
        <v>3072</v>
      </c>
      <c r="Z1" s="2894" t="s">
        <v>3073</v>
      </c>
      <c r="AA1" s="2894" t="s">
        <v>3074</v>
      </c>
      <c r="AB1" s="2894" t="s">
        <v>3075</v>
      </c>
      <c r="AC1" s="2894" t="s">
        <v>3076</v>
      </c>
      <c r="AD1" s="2894" t="s">
        <v>3077</v>
      </c>
      <c r="AE1" s="2894" t="s">
        <v>3078</v>
      </c>
      <c r="AF1" s="2894" t="s">
        <v>3079</v>
      </c>
      <c r="AG1" s="2894" t="s">
        <v>3080</v>
      </c>
      <c r="AH1" s="2894" t="s">
        <v>3081</v>
      </c>
      <c r="AI1" s="2894" t="s">
        <v>3082</v>
      </c>
      <c r="AJ1" s="2894" t="s">
        <v>3083</v>
      </c>
      <c r="AK1" s="2894" t="s">
        <v>3084</v>
      </c>
      <c r="AL1" s="2894" t="s">
        <v>3085</v>
      </c>
      <c r="AM1" s="2894" t="s">
        <v>3086</v>
      </c>
      <c r="AN1" s="2894" t="s">
        <v>3087</v>
      </c>
      <c r="AO1" s="2894" t="s">
        <v>3088</v>
      </c>
      <c r="AP1" s="2894" t="s">
        <v>3089</v>
      </c>
      <c r="AQ1" s="2894" t="s">
        <v>3090</v>
      </c>
      <c r="AR1" s="2894" t="s">
        <v>3091</v>
      </c>
      <c r="AS1" s="2894" t="s">
        <v>3092</v>
      </c>
    </row>
    <row r="2" spans="1:45">
      <c r="A2" s="2894" t="s">
        <v>3093</v>
      </c>
      <c r="B2" s="2894" t="s">
        <v>3094</v>
      </c>
      <c r="C2" s="2894" t="s">
        <v>3095</v>
      </c>
      <c r="D2" s="2894" t="s">
        <v>3096</v>
      </c>
      <c r="E2" s="2894" t="s">
        <v>2818</v>
      </c>
      <c r="F2" s="2894" t="s">
        <v>3097</v>
      </c>
      <c r="G2" s="2894" t="s">
        <v>3098</v>
      </c>
      <c r="H2" s="2894" t="s">
        <v>3099</v>
      </c>
      <c r="I2" s="2894" t="s">
        <v>3100</v>
      </c>
      <c r="J2" s="2894">
        <v>25603</v>
      </c>
      <c r="K2" s="2894">
        <v>61447</v>
      </c>
      <c r="L2" s="2894" t="s">
        <v>3101</v>
      </c>
      <c r="M2" s="2894" t="s">
        <v>2818</v>
      </c>
      <c r="N2" s="2894" t="s">
        <v>3102</v>
      </c>
      <c r="O2" s="2894" t="s">
        <v>3103</v>
      </c>
      <c r="P2" s="2894" t="s">
        <v>3104</v>
      </c>
      <c r="Q2" s="2894">
        <v>3073</v>
      </c>
      <c r="R2" s="2894" t="s">
        <v>2818</v>
      </c>
      <c r="S2" s="2894" t="s">
        <v>2818</v>
      </c>
      <c r="T2" s="2894" t="s">
        <v>3105</v>
      </c>
      <c r="U2" s="2894" t="s">
        <v>3106</v>
      </c>
      <c r="V2" s="2894" t="s">
        <v>2818</v>
      </c>
      <c r="W2" s="2894" t="s">
        <v>3107</v>
      </c>
      <c r="X2" s="2894" t="s">
        <v>3108</v>
      </c>
      <c r="Y2" s="2894" t="s">
        <v>3109</v>
      </c>
      <c r="Z2" s="2894" t="s">
        <v>3110</v>
      </c>
      <c r="AA2" s="2894" t="s">
        <v>3110</v>
      </c>
      <c r="AB2" s="2894" t="s">
        <v>3111</v>
      </c>
      <c r="AC2" s="2894" t="s">
        <v>3112</v>
      </c>
      <c r="AD2" s="2894" t="s">
        <v>3113</v>
      </c>
      <c r="AE2" s="2894">
        <v>24579</v>
      </c>
      <c r="AF2" s="2894">
        <v>122894</v>
      </c>
      <c r="AG2" s="2894">
        <v>157394</v>
      </c>
      <c r="AH2" s="2894">
        <v>3199.99</v>
      </c>
      <c r="AI2" s="2894">
        <v>4098.32</v>
      </c>
      <c r="AJ2" s="2894">
        <v>20000</v>
      </c>
      <c r="AK2" s="2894">
        <v>25614.59</v>
      </c>
      <c r="AL2" s="2894">
        <v>21053</v>
      </c>
      <c r="AM2" s="2894" t="s">
        <v>2818</v>
      </c>
      <c r="AN2" s="2894">
        <v>28.07</v>
      </c>
      <c r="AO2" s="2894" t="s">
        <v>3114</v>
      </c>
      <c r="AP2" s="2894" t="s">
        <v>2818</v>
      </c>
      <c r="AQ2" s="2894" t="s">
        <v>2818</v>
      </c>
      <c r="AR2" s="2894" t="s">
        <v>2818</v>
      </c>
      <c r="AS2" s="2894" t="s">
        <v>3115</v>
      </c>
    </row>
    <row r="3" spans="1:45">
      <c r="A3" s="2894" t="s">
        <v>3116</v>
      </c>
      <c r="B3" s="2894" t="s">
        <v>3094</v>
      </c>
      <c r="C3" s="2894" t="s">
        <v>3117</v>
      </c>
      <c r="D3" s="2894" t="s">
        <v>3096</v>
      </c>
      <c r="E3" s="2894" t="s">
        <v>2818</v>
      </c>
      <c r="F3" s="2894" t="s">
        <v>3118</v>
      </c>
      <c r="G3" s="2894" t="s">
        <v>3098</v>
      </c>
      <c r="H3" s="2894" t="s">
        <v>3119</v>
      </c>
      <c r="I3" s="2894" t="s">
        <v>3120</v>
      </c>
      <c r="J3" s="2894">
        <v>20840</v>
      </c>
      <c r="K3" s="2894">
        <v>54184</v>
      </c>
      <c r="L3" s="2894" t="s">
        <v>3121</v>
      </c>
      <c r="M3" s="2894" t="s">
        <v>2818</v>
      </c>
      <c r="N3" s="2894" t="s">
        <v>3122</v>
      </c>
      <c r="O3" s="2894" t="s">
        <v>3103</v>
      </c>
      <c r="P3" s="2894" t="s">
        <v>3104</v>
      </c>
      <c r="Q3" s="2894">
        <v>1355</v>
      </c>
      <c r="R3" s="2894" t="s">
        <v>2818</v>
      </c>
      <c r="S3" s="2894" t="s">
        <v>2818</v>
      </c>
      <c r="T3" s="2894" t="s">
        <v>3105</v>
      </c>
      <c r="U3" s="2894" t="s">
        <v>3106</v>
      </c>
      <c r="V3" s="2894" t="s">
        <v>2818</v>
      </c>
      <c r="W3" s="2894" t="s">
        <v>3107</v>
      </c>
      <c r="X3" s="2894" t="s">
        <v>3108</v>
      </c>
      <c r="Y3" s="2894" t="s">
        <v>3109</v>
      </c>
      <c r="Z3" s="2894" t="s">
        <v>3110</v>
      </c>
      <c r="AA3" s="2894" t="s">
        <v>3110</v>
      </c>
      <c r="AB3" s="2894" t="s">
        <v>3111</v>
      </c>
      <c r="AC3" s="2894" t="s">
        <v>3112</v>
      </c>
      <c r="AD3" s="2894" t="s">
        <v>3123</v>
      </c>
      <c r="AE3" s="2894">
        <v>10295</v>
      </c>
      <c r="AF3" s="2894">
        <v>51475</v>
      </c>
      <c r="AG3" s="2894">
        <v>56275</v>
      </c>
      <c r="AH3" s="2894">
        <v>1646.67</v>
      </c>
      <c r="AI3" s="2894">
        <v>1800.22</v>
      </c>
      <c r="AJ3" s="2894">
        <v>9500.0300000000007</v>
      </c>
      <c r="AK3" s="2894">
        <v>10385.9</v>
      </c>
      <c r="AL3" s="2894">
        <v>9744</v>
      </c>
      <c r="AM3" s="2894" t="s">
        <v>2818</v>
      </c>
      <c r="AN3" s="2894">
        <v>9.32</v>
      </c>
      <c r="AO3" s="2894" t="s">
        <v>3114</v>
      </c>
      <c r="AP3" s="2894" t="s">
        <v>2818</v>
      </c>
      <c r="AQ3" s="2894" t="s">
        <v>2818</v>
      </c>
      <c r="AR3" s="2894" t="s">
        <v>2818</v>
      </c>
      <c r="AS3" s="2894" t="s">
        <v>3124</v>
      </c>
    </row>
    <row r="4" spans="1:45">
      <c r="A4" s="2894" t="s">
        <v>3125</v>
      </c>
      <c r="B4" s="2894" t="s">
        <v>3094</v>
      </c>
      <c r="C4" s="2894" t="s">
        <v>3117</v>
      </c>
      <c r="D4" s="2894" t="s">
        <v>3096</v>
      </c>
      <c r="E4" s="2894" t="s">
        <v>2818</v>
      </c>
      <c r="F4" s="2894" t="s">
        <v>3126</v>
      </c>
      <c r="G4" s="2894" t="s">
        <v>3098</v>
      </c>
      <c r="H4" s="2894" t="s">
        <v>3127</v>
      </c>
      <c r="I4" s="2894" t="s">
        <v>3128</v>
      </c>
      <c r="J4" s="2894">
        <v>49746</v>
      </c>
      <c r="K4" s="2894">
        <v>138484</v>
      </c>
      <c r="L4" s="2894" t="s">
        <v>3129</v>
      </c>
      <c r="M4" s="2894" t="s">
        <v>2818</v>
      </c>
      <c r="N4" s="2894" t="s">
        <v>3102</v>
      </c>
      <c r="O4" s="2894" t="s">
        <v>3103</v>
      </c>
      <c r="P4" s="2894" t="s">
        <v>2818</v>
      </c>
      <c r="Q4" s="2894" t="s">
        <v>2818</v>
      </c>
      <c r="R4" s="2894" t="s">
        <v>2818</v>
      </c>
      <c r="S4" s="2894" t="s">
        <v>2818</v>
      </c>
      <c r="T4" s="2894" t="s">
        <v>3130</v>
      </c>
      <c r="U4" s="2894" t="s">
        <v>3106</v>
      </c>
      <c r="V4" s="2894" t="s">
        <v>2818</v>
      </c>
      <c r="W4" s="2894" t="s">
        <v>3107</v>
      </c>
      <c r="X4" s="2894" t="s">
        <v>3108</v>
      </c>
      <c r="Y4" s="2894" t="s">
        <v>3109</v>
      </c>
      <c r="Z4" s="2894" t="s">
        <v>3110</v>
      </c>
      <c r="AA4" s="2894" t="s">
        <v>3110</v>
      </c>
      <c r="AB4" s="2894" t="s">
        <v>3111</v>
      </c>
      <c r="AC4" s="2894" t="s">
        <v>3112</v>
      </c>
      <c r="AD4" s="2894" t="s">
        <v>3131</v>
      </c>
      <c r="AE4" s="2894">
        <v>69796</v>
      </c>
      <c r="AF4" s="2894">
        <v>348980</v>
      </c>
      <c r="AG4" s="2894">
        <v>432980</v>
      </c>
      <c r="AH4" s="2894">
        <v>4676.82</v>
      </c>
      <c r="AI4" s="2894">
        <v>5802.54</v>
      </c>
      <c r="AJ4" s="2894">
        <v>25200.02</v>
      </c>
      <c r="AK4" s="2894">
        <v>31265.7</v>
      </c>
      <c r="AL4" s="2894" t="s">
        <v>2818</v>
      </c>
      <c r="AM4" s="2894" t="s">
        <v>2818</v>
      </c>
      <c r="AN4" s="2894">
        <v>24.07</v>
      </c>
      <c r="AO4" s="2894" t="s">
        <v>3132</v>
      </c>
      <c r="AP4" s="2894" t="s">
        <v>2818</v>
      </c>
      <c r="AQ4" s="2894" t="s">
        <v>2818</v>
      </c>
      <c r="AR4" s="2894" t="s">
        <v>2818</v>
      </c>
      <c r="AS4" s="2894" t="s">
        <v>3115</v>
      </c>
    </row>
    <row r="5" spans="1:45">
      <c r="A5" s="2894" t="s">
        <v>3133</v>
      </c>
      <c r="B5" s="2894" t="s">
        <v>3094</v>
      </c>
      <c r="C5" s="2894" t="s">
        <v>3117</v>
      </c>
      <c r="D5" s="2894" t="s">
        <v>3096</v>
      </c>
      <c r="E5" s="2894" t="s">
        <v>2818</v>
      </c>
      <c r="F5" s="2894" t="s">
        <v>3134</v>
      </c>
      <c r="G5" s="2894" t="s">
        <v>3098</v>
      </c>
      <c r="H5" s="2894" t="s">
        <v>3135</v>
      </c>
      <c r="I5" s="2894" t="s">
        <v>3136</v>
      </c>
      <c r="J5" s="2894">
        <v>44603</v>
      </c>
      <c r="K5" s="2894">
        <v>93666</v>
      </c>
      <c r="L5" s="2894" t="s">
        <v>3137</v>
      </c>
      <c r="M5" s="2894" t="s">
        <v>2818</v>
      </c>
      <c r="N5" s="2894" t="s">
        <v>3122</v>
      </c>
      <c r="O5" s="2894" t="s">
        <v>3138</v>
      </c>
      <c r="P5" s="2894" t="s">
        <v>3104</v>
      </c>
      <c r="Q5" s="2894">
        <v>2810</v>
      </c>
      <c r="R5" s="2894" t="s">
        <v>2818</v>
      </c>
      <c r="S5" s="2894" t="s">
        <v>2818</v>
      </c>
      <c r="T5" s="2894" t="s">
        <v>3105</v>
      </c>
      <c r="U5" s="2894" t="s">
        <v>3106</v>
      </c>
      <c r="V5" s="2894" t="s">
        <v>2818</v>
      </c>
      <c r="W5" s="2894" t="s">
        <v>3107</v>
      </c>
      <c r="X5" s="2894" t="s">
        <v>3108</v>
      </c>
      <c r="Y5" s="2894" t="s">
        <v>3109</v>
      </c>
      <c r="Z5" s="2894" t="s">
        <v>3110</v>
      </c>
      <c r="AA5" s="2894" t="s">
        <v>3110</v>
      </c>
      <c r="AB5" s="2894" t="s">
        <v>3111</v>
      </c>
      <c r="AC5" s="2894" t="s">
        <v>3112</v>
      </c>
      <c r="AD5" s="2894" t="s">
        <v>3139</v>
      </c>
      <c r="AE5" s="2894">
        <v>12552</v>
      </c>
      <c r="AF5" s="2894">
        <v>62756</v>
      </c>
      <c r="AG5" s="2894">
        <v>74156</v>
      </c>
      <c r="AH5" s="2894">
        <v>937.99</v>
      </c>
      <c r="AI5" s="2894">
        <v>1108.3900000000001</v>
      </c>
      <c r="AJ5" s="2894">
        <v>6699.97</v>
      </c>
      <c r="AK5" s="2894">
        <v>7917.06</v>
      </c>
      <c r="AL5" s="2894">
        <v>6907</v>
      </c>
      <c r="AM5" s="2894" t="s">
        <v>2818</v>
      </c>
      <c r="AN5" s="2894">
        <v>18.170000000000002</v>
      </c>
      <c r="AO5" s="2894" t="s">
        <v>3114</v>
      </c>
      <c r="AP5" s="2894" t="s">
        <v>2818</v>
      </c>
      <c r="AQ5" s="2894" t="s">
        <v>2818</v>
      </c>
      <c r="AR5" s="2894" t="s">
        <v>2818</v>
      </c>
      <c r="AS5" s="2894" t="s">
        <v>3140</v>
      </c>
    </row>
    <row r="6" spans="1:45">
      <c r="A6" s="2894" t="s">
        <v>3141</v>
      </c>
      <c r="B6" s="2894" t="s">
        <v>3094</v>
      </c>
      <c r="C6" s="2894" t="s">
        <v>3095</v>
      </c>
      <c r="D6" s="2894" t="s">
        <v>3096</v>
      </c>
      <c r="E6" s="2894" t="s">
        <v>2818</v>
      </c>
      <c r="F6" s="2894" t="s">
        <v>3142</v>
      </c>
      <c r="G6" s="2894" t="s">
        <v>3098</v>
      </c>
      <c r="H6" s="2894" t="s">
        <v>3143</v>
      </c>
      <c r="I6" s="2894" t="s">
        <v>3144</v>
      </c>
      <c r="J6" s="2894">
        <v>60149</v>
      </c>
      <c r="K6" s="2894">
        <v>146496.6</v>
      </c>
      <c r="L6" s="2894" t="s">
        <v>3101</v>
      </c>
      <c r="M6" s="2894" t="s">
        <v>2818</v>
      </c>
      <c r="N6" s="2894" t="s">
        <v>3145</v>
      </c>
      <c r="O6" s="2894" t="s">
        <v>3146</v>
      </c>
      <c r="P6" s="2894" t="s">
        <v>2818</v>
      </c>
      <c r="Q6" s="2894" t="s">
        <v>2818</v>
      </c>
      <c r="R6" s="2894" t="s">
        <v>2818</v>
      </c>
      <c r="S6" s="2894" t="s">
        <v>2818</v>
      </c>
      <c r="T6" s="2894" t="s">
        <v>3130</v>
      </c>
      <c r="U6" s="2894" t="s">
        <v>3106</v>
      </c>
      <c r="V6" s="2894" t="s">
        <v>2818</v>
      </c>
      <c r="W6" s="2894" t="s">
        <v>3107</v>
      </c>
      <c r="X6" s="2894" t="s">
        <v>3147</v>
      </c>
      <c r="Y6" s="2894" t="s">
        <v>3109</v>
      </c>
      <c r="Z6" s="2894" t="s">
        <v>3110</v>
      </c>
      <c r="AA6" s="2894" t="s">
        <v>3110</v>
      </c>
      <c r="AB6" s="2894" t="s">
        <v>3148</v>
      </c>
      <c r="AC6" s="2894" t="s">
        <v>3112</v>
      </c>
      <c r="AD6" s="2894" t="s">
        <v>3149</v>
      </c>
      <c r="AE6" s="2894">
        <v>14284</v>
      </c>
      <c r="AF6" s="2894">
        <v>71418</v>
      </c>
      <c r="AG6" s="2894">
        <v>87818</v>
      </c>
      <c r="AH6" s="2894">
        <v>791.57</v>
      </c>
      <c r="AI6" s="2894">
        <v>973.34</v>
      </c>
      <c r="AJ6" s="2894">
        <v>4875.0600000000004</v>
      </c>
      <c r="AK6" s="2894">
        <v>5994.53</v>
      </c>
      <c r="AL6" s="2894" t="s">
        <v>2818</v>
      </c>
      <c r="AM6" s="2894" t="s">
        <v>2818</v>
      </c>
      <c r="AN6" s="2894">
        <v>22.96</v>
      </c>
      <c r="AO6" s="2894" t="s">
        <v>3114</v>
      </c>
      <c r="AP6" s="2894" t="s">
        <v>2818</v>
      </c>
      <c r="AQ6" s="2894" t="s">
        <v>2818</v>
      </c>
      <c r="AR6" s="2894" t="s">
        <v>2818</v>
      </c>
      <c r="AS6" s="2894" t="s">
        <v>3124</v>
      </c>
    </row>
    <row r="7" spans="1:45">
      <c r="A7" s="2894" t="s">
        <v>3150</v>
      </c>
      <c r="B7" s="2894" t="s">
        <v>3094</v>
      </c>
      <c r="C7" s="2894" t="s">
        <v>3117</v>
      </c>
      <c r="D7" s="2894" t="s">
        <v>3096</v>
      </c>
      <c r="E7" s="2894" t="s">
        <v>2818</v>
      </c>
      <c r="F7" s="2894" t="s">
        <v>3151</v>
      </c>
      <c r="G7" s="2894" t="s">
        <v>3098</v>
      </c>
      <c r="H7" s="2894" t="s">
        <v>3152</v>
      </c>
      <c r="I7" s="2894" t="s">
        <v>3153</v>
      </c>
      <c r="J7" s="2894">
        <v>44329</v>
      </c>
      <c r="K7" s="2894">
        <v>119688</v>
      </c>
      <c r="L7" s="2894" t="s">
        <v>3154</v>
      </c>
      <c r="M7" s="2894" t="s">
        <v>2818</v>
      </c>
      <c r="N7" s="2894" t="s">
        <v>3155</v>
      </c>
      <c r="O7" s="2894" t="s">
        <v>3156</v>
      </c>
      <c r="P7" s="2894" t="s">
        <v>3104</v>
      </c>
      <c r="Q7" s="2894">
        <v>5985</v>
      </c>
      <c r="R7" s="2894" t="s">
        <v>2818</v>
      </c>
      <c r="S7" s="2894" t="s">
        <v>2818</v>
      </c>
      <c r="T7" s="2894" t="s">
        <v>3157</v>
      </c>
      <c r="U7" s="2894" t="s">
        <v>3106</v>
      </c>
      <c r="V7" s="2894" t="s">
        <v>2818</v>
      </c>
      <c r="W7" s="2894" t="s">
        <v>3107</v>
      </c>
      <c r="X7" s="2894" t="s">
        <v>3158</v>
      </c>
      <c r="Y7" s="2894" t="s">
        <v>3159</v>
      </c>
      <c r="Z7" s="2894" t="s">
        <v>3160</v>
      </c>
      <c r="AA7" s="2894" t="s">
        <v>3160</v>
      </c>
      <c r="AB7" s="2894" t="s">
        <v>3161</v>
      </c>
      <c r="AC7" s="2894" t="s">
        <v>3112</v>
      </c>
      <c r="AD7" s="2894" t="s">
        <v>3162</v>
      </c>
      <c r="AE7" s="2894">
        <v>32077</v>
      </c>
      <c r="AF7" s="2894">
        <v>160382</v>
      </c>
      <c r="AG7" s="2894">
        <v>183882</v>
      </c>
      <c r="AH7" s="2894">
        <v>2412</v>
      </c>
      <c r="AI7" s="2894">
        <v>2765.41</v>
      </c>
      <c r="AJ7" s="2894">
        <v>13400</v>
      </c>
      <c r="AK7" s="2894">
        <v>15363.44</v>
      </c>
      <c r="AL7" s="2894">
        <v>14105</v>
      </c>
      <c r="AM7" s="2894" t="s">
        <v>2818</v>
      </c>
      <c r="AN7" s="2894">
        <v>14.65</v>
      </c>
      <c r="AO7" s="2894" t="s">
        <v>3163</v>
      </c>
      <c r="AP7" s="2894" t="s">
        <v>2818</v>
      </c>
      <c r="AQ7" s="2894" t="s">
        <v>2818</v>
      </c>
      <c r="AR7" s="2894" t="s">
        <v>2818</v>
      </c>
      <c r="AS7" s="2894" t="s">
        <v>3124</v>
      </c>
    </row>
    <row r="8" spans="1:45">
      <c r="A8" s="2894" t="s">
        <v>3164</v>
      </c>
      <c r="B8" s="2894" t="s">
        <v>3094</v>
      </c>
      <c r="C8" s="2894" t="s">
        <v>3095</v>
      </c>
      <c r="D8" s="2894" t="s">
        <v>3096</v>
      </c>
      <c r="E8" s="2894" t="s">
        <v>2818</v>
      </c>
      <c r="F8" s="2894" t="s">
        <v>3165</v>
      </c>
      <c r="G8" s="2894" t="s">
        <v>3098</v>
      </c>
      <c r="H8" s="2894" t="s">
        <v>3166</v>
      </c>
      <c r="I8" s="2894" t="s">
        <v>3100</v>
      </c>
      <c r="J8" s="2894">
        <v>32802</v>
      </c>
      <c r="K8" s="2894">
        <v>56649</v>
      </c>
      <c r="L8" s="2894" t="s">
        <v>3167</v>
      </c>
      <c r="M8" s="2894" t="s">
        <v>2818</v>
      </c>
      <c r="N8" s="2894" t="s">
        <v>3168</v>
      </c>
      <c r="O8" s="2894" t="s">
        <v>3169</v>
      </c>
      <c r="P8" s="2894" t="s">
        <v>3104</v>
      </c>
      <c r="Q8" s="2894" t="s">
        <v>2818</v>
      </c>
      <c r="R8" s="2894" t="s">
        <v>2818</v>
      </c>
      <c r="S8" s="2894" t="s">
        <v>2818</v>
      </c>
      <c r="T8" s="2894" t="s">
        <v>3170</v>
      </c>
      <c r="U8" s="2894" t="s">
        <v>3106</v>
      </c>
      <c r="V8" s="2894" t="s">
        <v>2818</v>
      </c>
      <c r="W8" s="2894" t="s">
        <v>3107</v>
      </c>
      <c r="X8" s="2894" t="s">
        <v>3158</v>
      </c>
      <c r="Y8" s="2894" t="s">
        <v>3159</v>
      </c>
      <c r="Z8" s="2894" t="s">
        <v>3160</v>
      </c>
      <c r="AA8" s="2894" t="s">
        <v>3160</v>
      </c>
      <c r="AB8" s="2894" t="s">
        <v>3161</v>
      </c>
      <c r="AC8" s="2894" t="s">
        <v>3112</v>
      </c>
      <c r="AD8" s="2894" t="s">
        <v>3171</v>
      </c>
      <c r="AE8" s="2894">
        <v>20394</v>
      </c>
      <c r="AF8" s="2894">
        <v>101968</v>
      </c>
      <c r="AG8" s="2894">
        <v>125468</v>
      </c>
      <c r="AH8" s="2894">
        <v>2072.39</v>
      </c>
      <c r="AI8" s="2894">
        <v>2550.0100000000002</v>
      </c>
      <c r="AJ8" s="2894">
        <v>17999.96</v>
      </c>
      <c r="AK8" s="2894">
        <v>22148.31</v>
      </c>
      <c r="AL8" s="2894" t="s">
        <v>2818</v>
      </c>
      <c r="AM8" s="2894" t="s">
        <v>2818</v>
      </c>
      <c r="AN8" s="2894">
        <v>23.05</v>
      </c>
      <c r="AO8" s="2894" t="s">
        <v>3172</v>
      </c>
      <c r="AP8" s="2894" t="s">
        <v>2818</v>
      </c>
      <c r="AQ8" s="2894" t="s">
        <v>2818</v>
      </c>
      <c r="AR8" s="2894" t="s">
        <v>2818</v>
      </c>
      <c r="AS8" s="2894" t="s">
        <v>3115</v>
      </c>
    </row>
    <row r="9" spans="1:45">
      <c r="A9" s="2894" t="s">
        <v>3173</v>
      </c>
      <c r="B9" s="2894" t="s">
        <v>3094</v>
      </c>
      <c r="C9" s="2894" t="s">
        <v>3095</v>
      </c>
      <c r="D9" s="2894" t="s">
        <v>3096</v>
      </c>
      <c r="E9" s="2894" t="s">
        <v>2818</v>
      </c>
      <c r="F9" s="2894" t="s">
        <v>3174</v>
      </c>
      <c r="G9" s="2894" t="s">
        <v>3098</v>
      </c>
      <c r="H9" s="2894" t="s">
        <v>3175</v>
      </c>
      <c r="I9" s="2894" t="s">
        <v>3100</v>
      </c>
      <c r="J9" s="2894">
        <v>45333</v>
      </c>
      <c r="K9" s="2894">
        <v>99732</v>
      </c>
      <c r="L9" s="2894" t="s">
        <v>3176</v>
      </c>
      <c r="M9" s="2894" t="s">
        <v>2818</v>
      </c>
      <c r="N9" s="2894" t="s">
        <v>3102</v>
      </c>
      <c r="O9" s="2894" t="s">
        <v>3177</v>
      </c>
      <c r="P9" s="2894" t="s">
        <v>3104</v>
      </c>
      <c r="Q9" s="2894">
        <v>4987</v>
      </c>
      <c r="R9" s="2894" t="s">
        <v>2818</v>
      </c>
      <c r="S9" s="2894" t="s">
        <v>2818</v>
      </c>
      <c r="T9" s="2894" t="s">
        <v>3170</v>
      </c>
      <c r="U9" s="2894" t="s">
        <v>3178</v>
      </c>
      <c r="V9" s="2894" t="s">
        <v>2818</v>
      </c>
      <c r="W9" s="2894" t="s">
        <v>3107</v>
      </c>
      <c r="X9" s="2894" t="s">
        <v>3158</v>
      </c>
      <c r="Y9" s="2894" t="s">
        <v>3159</v>
      </c>
      <c r="Z9" s="2894" t="s">
        <v>3160</v>
      </c>
      <c r="AA9" s="2894" t="s">
        <v>3160</v>
      </c>
      <c r="AB9" s="2894" t="s">
        <v>3161</v>
      </c>
      <c r="AC9" s="2894" t="s">
        <v>3112</v>
      </c>
      <c r="AD9" s="2894" t="s">
        <v>3179</v>
      </c>
      <c r="AE9" s="2894">
        <v>25332</v>
      </c>
      <c r="AF9" s="2894">
        <v>126660</v>
      </c>
      <c r="AG9" s="2894">
        <v>164160</v>
      </c>
      <c r="AH9" s="2894">
        <v>1862.66</v>
      </c>
      <c r="AI9" s="2894">
        <v>2414.14</v>
      </c>
      <c r="AJ9" s="2894">
        <v>12700.03</v>
      </c>
      <c r="AK9" s="2894">
        <v>16460.11</v>
      </c>
      <c r="AL9" s="2894">
        <v>13369</v>
      </c>
      <c r="AM9" s="2894" t="s">
        <v>2818</v>
      </c>
      <c r="AN9" s="2894">
        <v>29.61</v>
      </c>
      <c r="AO9" s="2894" t="s">
        <v>3172</v>
      </c>
      <c r="AP9" s="2894">
        <v>16</v>
      </c>
      <c r="AQ9" s="2894" t="s">
        <v>2818</v>
      </c>
      <c r="AR9" s="2894" t="s">
        <v>2818</v>
      </c>
      <c r="AS9" s="2894" t="s">
        <v>3140</v>
      </c>
    </row>
    <row r="10" spans="1:45">
      <c r="A10" s="2894" t="s">
        <v>3180</v>
      </c>
      <c r="B10" s="2894" t="s">
        <v>3094</v>
      </c>
      <c r="C10" s="2894" t="s">
        <v>3117</v>
      </c>
      <c r="D10" s="2894" t="s">
        <v>3096</v>
      </c>
      <c r="E10" s="2894" t="s">
        <v>2818</v>
      </c>
      <c r="F10" s="2894" t="s">
        <v>3181</v>
      </c>
      <c r="G10" s="2894" t="s">
        <v>3098</v>
      </c>
      <c r="H10" s="2894" t="s">
        <v>3182</v>
      </c>
      <c r="I10" s="2894" t="s">
        <v>3100</v>
      </c>
      <c r="J10" s="2894">
        <v>51822</v>
      </c>
      <c r="K10" s="2894">
        <v>129555</v>
      </c>
      <c r="L10" s="2894" t="s">
        <v>3183</v>
      </c>
      <c r="M10" s="2894" t="s">
        <v>2818</v>
      </c>
      <c r="N10" s="2894" t="s">
        <v>3102</v>
      </c>
      <c r="O10" s="2894" t="s">
        <v>3103</v>
      </c>
      <c r="P10" s="2894" t="s">
        <v>3104</v>
      </c>
      <c r="Q10" s="2894">
        <v>6478</v>
      </c>
      <c r="R10" s="2894" t="s">
        <v>2818</v>
      </c>
      <c r="S10" s="2894" t="s">
        <v>2818</v>
      </c>
      <c r="T10" s="2894" t="s">
        <v>3157</v>
      </c>
      <c r="U10" s="2894" t="s">
        <v>3106</v>
      </c>
      <c r="V10" s="2894" t="s">
        <v>2818</v>
      </c>
      <c r="W10" s="2894" t="s">
        <v>3107</v>
      </c>
      <c r="X10" s="2894" t="s">
        <v>3158</v>
      </c>
      <c r="Y10" s="2894" t="s">
        <v>3159</v>
      </c>
      <c r="Z10" s="2894" t="s">
        <v>3160</v>
      </c>
      <c r="AA10" s="2894" t="s">
        <v>3160</v>
      </c>
      <c r="AB10" s="2894" t="s">
        <v>3161</v>
      </c>
      <c r="AC10" s="2894" t="s">
        <v>3112</v>
      </c>
      <c r="AD10" s="2894" t="s">
        <v>3184</v>
      </c>
      <c r="AE10" s="2894">
        <v>44049</v>
      </c>
      <c r="AF10" s="2894">
        <v>220243</v>
      </c>
      <c r="AG10" s="2894">
        <v>269243</v>
      </c>
      <c r="AH10" s="2894">
        <v>2833.33</v>
      </c>
      <c r="AI10" s="2894">
        <v>3463.69</v>
      </c>
      <c r="AJ10" s="2894">
        <v>16999.95</v>
      </c>
      <c r="AK10" s="2894">
        <v>20782.13</v>
      </c>
      <c r="AL10" s="2894">
        <v>17895</v>
      </c>
      <c r="AM10" s="2894" t="s">
        <v>2818</v>
      </c>
      <c r="AN10" s="2894">
        <v>22.25</v>
      </c>
      <c r="AO10" s="2894" t="s">
        <v>3163</v>
      </c>
      <c r="AP10" s="2894" t="s">
        <v>2818</v>
      </c>
      <c r="AQ10" s="2894" t="s">
        <v>2818</v>
      </c>
      <c r="AR10" s="2894" t="s">
        <v>2818</v>
      </c>
      <c r="AS10" s="2894" t="s">
        <v>3115</v>
      </c>
    </row>
    <row r="11" spans="1:45">
      <c r="A11" s="2894" t="s">
        <v>3185</v>
      </c>
      <c r="B11" s="2894" t="s">
        <v>3094</v>
      </c>
      <c r="C11" s="2894" t="s">
        <v>3095</v>
      </c>
      <c r="D11" s="2894" t="s">
        <v>3096</v>
      </c>
      <c r="E11" s="2894" t="s">
        <v>2818</v>
      </c>
      <c r="F11" s="2894" t="s">
        <v>3186</v>
      </c>
      <c r="G11" s="2894" t="s">
        <v>3098</v>
      </c>
      <c r="H11" s="2894" t="s">
        <v>3187</v>
      </c>
      <c r="I11" s="2894" t="s">
        <v>3100</v>
      </c>
      <c r="J11" s="2894">
        <v>27782</v>
      </c>
      <c r="K11" s="2894">
        <v>61120</v>
      </c>
      <c r="L11" s="2894" t="s">
        <v>3176</v>
      </c>
      <c r="M11" s="2894" t="s">
        <v>2818</v>
      </c>
      <c r="N11" s="2894" t="s">
        <v>3188</v>
      </c>
      <c r="O11" s="2894" t="s">
        <v>3189</v>
      </c>
      <c r="P11" s="2894" t="s">
        <v>3104</v>
      </c>
      <c r="Q11" s="2894" t="s">
        <v>2818</v>
      </c>
      <c r="R11" s="2894" t="s">
        <v>2818</v>
      </c>
      <c r="S11" s="2894" t="s">
        <v>2818</v>
      </c>
      <c r="T11" s="2894" t="s">
        <v>3170</v>
      </c>
      <c r="U11" s="2894" t="s">
        <v>3178</v>
      </c>
      <c r="V11" s="2894" t="s">
        <v>2818</v>
      </c>
      <c r="W11" s="2894" t="s">
        <v>3107</v>
      </c>
      <c r="X11" s="2894" t="s">
        <v>3158</v>
      </c>
      <c r="Y11" s="2894" t="s">
        <v>3159</v>
      </c>
      <c r="Z11" s="2894" t="s">
        <v>3160</v>
      </c>
      <c r="AA11" s="2894" t="s">
        <v>3160</v>
      </c>
      <c r="AB11" s="2894" t="s">
        <v>3161</v>
      </c>
      <c r="AC11" s="2894" t="s">
        <v>3112</v>
      </c>
      <c r="AD11" s="2894" t="s">
        <v>3190</v>
      </c>
      <c r="AE11" s="2894">
        <v>15525</v>
      </c>
      <c r="AF11" s="2894">
        <v>77622</v>
      </c>
      <c r="AG11" s="2894">
        <v>100822</v>
      </c>
      <c r="AH11" s="2894">
        <v>1862.64</v>
      </c>
      <c r="AI11" s="2894">
        <v>2419.36</v>
      </c>
      <c r="AJ11" s="2894">
        <v>12699.93</v>
      </c>
      <c r="AK11" s="2894">
        <v>16495.75</v>
      </c>
      <c r="AL11" s="2894" t="s">
        <v>2818</v>
      </c>
      <c r="AM11" s="2894" t="s">
        <v>2818</v>
      </c>
      <c r="AN11" s="2894">
        <v>29.89</v>
      </c>
      <c r="AO11" s="2894" t="s">
        <v>3172</v>
      </c>
      <c r="AP11" s="2894">
        <v>15</v>
      </c>
      <c r="AQ11" s="2894" t="s">
        <v>2818</v>
      </c>
      <c r="AR11" s="2894" t="s">
        <v>2818</v>
      </c>
      <c r="AS11" s="2894" t="s">
        <v>3115</v>
      </c>
    </row>
    <row r="12" spans="1:45">
      <c r="A12" s="2894" t="s">
        <v>3191</v>
      </c>
      <c r="B12" s="2894" t="s">
        <v>3094</v>
      </c>
      <c r="C12" s="2894" t="s">
        <v>3117</v>
      </c>
      <c r="D12" s="2894" t="s">
        <v>3096</v>
      </c>
      <c r="E12" s="2894" t="s">
        <v>2818</v>
      </c>
      <c r="F12" s="2894" t="s">
        <v>3192</v>
      </c>
      <c r="G12" s="2894" t="s">
        <v>3098</v>
      </c>
      <c r="H12" s="2894" t="s">
        <v>3193</v>
      </c>
      <c r="I12" s="2894" t="s">
        <v>3194</v>
      </c>
      <c r="J12" s="2894">
        <v>88422</v>
      </c>
      <c r="K12" s="2894">
        <v>212212</v>
      </c>
      <c r="L12" s="2894" t="s">
        <v>3195</v>
      </c>
      <c r="M12" s="2894" t="s">
        <v>2818</v>
      </c>
      <c r="N12" s="2894" t="s">
        <v>3188</v>
      </c>
      <c r="O12" s="2894" t="s">
        <v>3196</v>
      </c>
      <c r="P12" s="2894" t="s">
        <v>3104</v>
      </c>
      <c r="Q12" s="2894">
        <v>10611</v>
      </c>
      <c r="R12" s="2894" t="s">
        <v>2818</v>
      </c>
      <c r="S12" s="2894" t="s">
        <v>2818</v>
      </c>
      <c r="T12" s="2894" t="s">
        <v>3197</v>
      </c>
      <c r="U12" s="2894" t="s">
        <v>3198</v>
      </c>
      <c r="V12" s="2894" t="s">
        <v>2818</v>
      </c>
      <c r="W12" s="2894" t="s">
        <v>3107</v>
      </c>
      <c r="X12" s="2894" t="s">
        <v>3199</v>
      </c>
      <c r="Y12" s="2894" t="s">
        <v>3200</v>
      </c>
      <c r="Z12" s="2894" t="s">
        <v>3201</v>
      </c>
      <c r="AA12" s="2894" t="s">
        <v>3201</v>
      </c>
      <c r="AB12" s="2894" t="s">
        <v>3202</v>
      </c>
      <c r="AC12" s="2894" t="s">
        <v>3112</v>
      </c>
      <c r="AD12" s="2894" t="s">
        <v>3203</v>
      </c>
      <c r="AE12" s="2894">
        <v>59420</v>
      </c>
      <c r="AF12" s="2894">
        <v>297097</v>
      </c>
      <c r="AG12" s="2894">
        <v>386097</v>
      </c>
      <c r="AH12" s="2894">
        <v>2239.9899999999998</v>
      </c>
      <c r="AI12" s="2894">
        <v>2911.02</v>
      </c>
      <c r="AJ12" s="2894">
        <v>14000.01</v>
      </c>
      <c r="AK12" s="2894">
        <v>18193.93</v>
      </c>
      <c r="AL12" s="2894">
        <v>14737</v>
      </c>
      <c r="AM12" s="2894" t="s">
        <v>2818</v>
      </c>
      <c r="AN12" s="2894">
        <v>29.96</v>
      </c>
      <c r="AO12" s="2894" t="s">
        <v>3163</v>
      </c>
      <c r="AP12" s="2894">
        <v>5</v>
      </c>
      <c r="AQ12" s="2894" t="s">
        <v>2818</v>
      </c>
      <c r="AR12" s="2894" t="s">
        <v>2818</v>
      </c>
      <c r="AS12" s="2894" t="s">
        <v>3140</v>
      </c>
    </row>
    <row r="13" spans="1:45">
      <c r="A13" s="2894" t="s">
        <v>3204</v>
      </c>
      <c r="B13" s="2894" t="s">
        <v>3094</v>
      </c>
      <c r="C13" s="2894" t="s">
        <v>3095</v>
      </c>
      <c r="D13" s="2894" t="s">
        <v>3096</v>
      </c>
      <c r="E13" s="2894" t="s">
        <v>2818</v>
      </c>
      <c r="F13" s="2894" t="s">
        <v>3205</v>
      </c>
      <c r="G13" s="2894" t="s">
        <v>3098</v>
      </c>
      <c r="H13" s="2894" t="s">
        <v>3206</v>
      </c>
      <c r="I13" s="2894" t="s">
        <v>3207</v>
      </c>
      <c r="J13" s="2894">
        <v>112877</v>
      </c>
      <c r="K13" s="2894">
        <v>338631</v>
      </c>
      <c r="L13" s="2894" t="s">
        <v>3129</v>
      </c>
      <c r="M13" s="2894" t="s">
        <v>2818</v>
      </c>
      <c r="N13" s="2894" t="s">
        <v>3208</v>
      </c>
      <c r="O13" s="2894" t="s">
        <v>3209</v>
      </c>
      <c r="P13" s="2894" t="s">
        <v>2818</v>
      </c>
      <c r="Q13" s="2894" t="s">
        <v>2818</v>
      </c>
      <c r="R13" s="2894" t="s">
        <v>2818</v>
      </c>
      <c r="S13" s="2894" t="s">
        <v>2818</v>
      </c>
      <c r="T13" s="2894" t="s">
        <v>2818</v>
      </c>
      <c r="U13" s="2894" t="s">
        <v>2818</v>
      </c>
      <c r="V13" s="2894" t="s">
        <v>2818</v>
      </c>
      <c r="W13" s="2894" t="s">
        <v>3107</v>
      </c>
      <c r="X13" s="2894" t="s">
        <v>3210</v>
      </c>
      <c r="Y13" s="2894" t="s">
        <v>3211</v>
      </c>
      <c r="Z13" s="2894" t="s">
        <v>3200</v>
      </c>
      <c r="AA13" s="2894" t="s">
        <v>3200</v>
      </c>
      <c r="AB13" s="2894" t="s">
        <v>3212</v>
      </c>
      <c r="AC13" s="2894" t="s">
        <v>3112</v>
      </c>
      <c r="AD13" s="2894" t="s">
        <v>3213</v>
      </c>
      <c r="AE13" s="2894">
        <v>20000</v>
      </c>
      <c r="AF13" s="2894">
        <v>308154</v>
      </c>
      <c r="AG13" s="2894">
        <v>357154</v>
      </c>
      <c r="AH13" s="2894">
        <v>1820</v>
      </c>
      <c r="AI13" s="2894">
        <v>2109.4</v>
      </c>
      <c r="AJ13" s="2894">
        <v>9099.99</v>
      </c>
      <c r="AK13" s="2894">
        <v>10547</v>
      </c>
      <c r="AL13" s="2894" t="s">
        <v>2818</v>
      </c>
      <c r="AM13" s="2894" t="s">
        <v>2818</v>
      </c>
      <c r="AN13" s="2894">
        <v>15.9</v>
      </c>
      <c r="AO13" s="2894" t="s">
        <v>3214</v>
      </c>
      <c r="AP13" s="2894" t="s">
        <v>2818</v>
      </c>
      <c r="AQ13" s="2894" t="s">
        <v>2818</v>
      </c>
      <c r="AR13" s="2894" t="s">
        <v>2818</v>
      </c>
      <c r="AS13" s="2894" t="s">
        <v>3140</v>
      </c>
    </row>
    <row r="14" spans="1:45">
      <c r="A14" s="2894" t="s">
        <v>3215</v>
      </c>
      <c r="B14" s="2894" t="s">
        <v>3094</v>
      </c>
      <c r="C14" s="2894" t="s">
        <v>3095</v>
      </c>
      <c r="D14" s="2894" t="s">
        <v>3096</v>
      </c>
      <c r="E14" s="2894" t="s">
        <v>2818</v>
      </c>
      <c r="F14" s="2894" t="s">
        <v>3216</v>
      </c>
      <c r="G14" s="2894" t="s">
        <v>3098</v>
      </c>
      <c r="H14" s="2894" t="s">
        <v>3217</v>
      </c>
      <c r="I14" s="2894" t="s">
        <v>3120</v>
      </c>
      <c r="J14" s="2894">
        <v>25811</v>
      </c>
      <c r="K14" s="2894">
        <v>69689</v>
      </c>
      <c r="L14" s="2894" t="s">
        <v>3218</v>
      </c>
      <c r="M14" s="2894" t="s">
        <v>2818</v>
      </c>
      <c r="N14" s="2894" t="s">
        <v>3122</v>
      </c>
      <c r="O14" s="2894" t="s">
        <v>3209</v>
      </c>
      <c r="P14" s="2894" t="s">
        <v>2818</v>
      </c>
      <c r="Q14" s="2894" t="s">
        <v>2818</v>
      </c>
      <c r="R14" s="2894" t="s">
        <v>2818</v>
      </c>
      <c r="S14" s="2894" t="s">
        <v>2818</v>
      </c>
      <c r="T14" s="2894" t="s">
        <v>3170</v>
      </c>
      <c r="U14" s="2894" t="s">
        <v>2818</v>
      </c>
      <c r="V14" s="2894" t="s">
        <v>2818</v>
      </c>
      <c r="W14" s="2894" t="s">
        <v>3107</v>
      </c>
      <c r="X14" s="2894" t="s">
        <v>3219</v>
      </c>
      <c r="Y14" s="2894" t="s">
        <v>3220</v>
      </c>
      <c r="Z14" s="2894" t="s">
        <v>3221</v>
      </c>
      <c r="AA14" s="2894" t="s">
        <v>3221</v>
      </c>
      <c r="AB14" s="2894" t="s">
        <v>3222</v>
      </c>
      <c r="AC14" s="2894" t="s">
        <v>3112</v>
      </c>
      <c r="AD14" s="2894" t="s">
        <v>3223</v>
      </c>
      <c r="AE14" s="2894">
        <v>20000</v>
      </c>
      <c r="AF14" s="2894">
        <v>105927</v>
      </c>
      <c r="AG14" s="2894">
        <v>135427</v>
      </c>
      <c r="AH14" s="2894">
        <v>2735.97</v>
      </c>
      <c r="AI14" s="2894">
        <v>3497.91</v>
      </c>
      <c r="AJ14" s="2894">
        <v>15199.95</v>
      </c>
      <c r="AK14" s="2894">
        <v>19433.04</v>
      </c>
      <c r="AL14" s="2894" t="s">
        <v>2818</v>
      </c>
      <c r="AM14" s="2894" t="s">
        <v>2818</v>
      </c>
      <c r="AN14" s="2894">
        <v>27.85</v>
      </c>
      <c r="AO14" s="2894" t="s">
        <v>3172</v>
      </c>
      <c r="AP14" s="2894" t="s">
        <v>2818</v>
      </c>
      <c r="AQ14" s="2894" t="s">
        <v>2818</v>
      </c>
      <c r="AR14" s="2894" t="s">
        <v>2818</v>
      </c>
      <c r="AS14" s="2894" t="s">
        <v>3115</v>
      </c>
    </row>
    <row r="15" spans="1:45">
      <c r="A15" s="2894" t="s">
        <v>3224</v>
      </c>
      <c r="B15" s="2894" t="s">
        <v>3094</v>
      </c>
      <c r="C15" s="2894" t="s">
        <v>3095</v>
      </c>
      <c r="D15" s="2894" t="s">
        <v>3096</v>
      </c>
      <c r="E15" s="2894" t="s">
        <v>2818</v>
      </c>
      <c r="F15" s="2894" t="s">
        <v>3225</v>
      </c>
      <c r="G15" s="2894" t="s">
        <v>3098</v>
      </c>
      <c r="H15" s="2894" t="s">
        <v>3226</v>
      </c>
      <c r="I15" s="2894" t="s">
        <v>3227</v>
      </c>
      <c r="J15" s="2894">
        <v>30580</v>
      </c>
      <c r="K15" s="2894">
        <v>76450</v>
      </c>
      <c r="L15" s="2894" t="s">
        <v>3228</v>
      </c>
      <c r="M15" s="2894" t="s">
        <v>2818</v>
      </c>
      <c r="N15" s="2894" t="s">
        <v>3229</v>
      </c>
      <c r="O15" s="2894" t="s">
        <v>3103</v>
      </c>
      <c r="P15" s="2894" t="s">
        <v>2818</v>
      </c>
      <c r="Q15" s="2894" t="s">
        <v>2818</v>
      </c>
      <c r="R15" s="2894" t="s">
        <v>2818</v>
      </c>
      <c r="S15" s="2894" t="s">
        <v>2818</v>
      </c>
      <c r="T15" s="2894" t="s">
        <v>3170</v>
      </c>
      <c r="U15" s="2894" t="s">
        <v>3178</v>
      </c>
      <c r="V15" s="2894" t="s">
        <v>2818</v>
      </c>
      <c r="W15" s="2894" t="s">
        <v>3107</v>
      </c>
      <c r="X15" s="2894" t="s">
        <v>3230</v>
      </c>
      <c r="Y15" s="2894" t="s">
        <v>3231</v>
      </c>
      <c r="Z15" s="2894" t="s">
        <v>3210</v>
      </c>
      <c r="AA15" s="2894" t="s">
        <v>3210</v>
      </c>
      <c r="AB15" s="2894" t="s">
        <v>3232</v>
      </c>
      <c r="AC15" s="2894" t="s">
        <v>3112</v>
      </c>
      <c r="AD15" s="2894" t="s">
        <v>3233</v>
      </c>
      <c r="AE15" s="2894">
        <v>20000</v>
      </c>
      <c r="AF15" s="2894">
        <v>131494</v>
      </c>
      <c r="AG15" s="2894">
        <v>196994</v>
      </c>
      <c r="AH15" s="2894">
        <v>2866.67</v>
      </c>
      <c r="AI15" s="2894">
        <v>4294.62</v>
      </c>
      <c r="AJ15" s="2894">
        <v>17200</v>
      </c>
      <c r="AK15" s="2894">
        <v>25767.68</v>
      </c>
      <c r="AL15" s="2894" t="s">
        <v>2818</v>
      </c>
      <c r="AM15" s="2894" t="s">
        <v>2818</v>
      </c>
      <c r="AN15" s="2894">
        <v>49.81</v>
      </c>
      <c r="AO15" s="2894" t="s">
        <v>3172</v>
      </c>
      <c r="AP15" s="2894">
        <v>22</v>
      </c>
      <c r="AQ15" s="2894" t="s">
        <v>2818</v>
      </c>
      <c r="AR15" s="2894" t="s">
        <v>2818</v>
      </c>
      <c r="AS15" s="2894" t="s">
        <v>3115</v>
      </c>
    </row>
    <row r="16" spans="1:45" s="3188" customFormat="1" ht="13.2">
      <c r="A16" s="3188" t="s">
        <v>3234</v>
      </c>
      <c r="B16" s="3188" t="s">
        <v>3094</v>
      </c>
      <c r="C16" s="3188" t="s">
        <v>3117</v>
      </c>
      <c r="D16" s="3188" t="s">
        <v>3096</v>
      </c>
      <c r="E16" s="3188" t="s">
        <v>2818</v>
      </c>
      <c r="F16" s="3188" t="s">
        <v>3235</v>
      </c>
      <c r="G16" s="3188" t="s">
        <v>3098</v>
      </c>
      <c r="H16" s="3188" t="s">
        <v>3236</v>
      </c>
      <c r="I16" s="3188" t="s">
        <v>3237</v>
      </c>
      <c r="J16" s="3188">
        <v>20242</v>
      </c>
      <c r="K16" s="3188">
        <v>22266</v>
      </c>
      <c r="L16" s="3188" t="s">
        <v>3238</v>
      </c>
      <c r="M16" s="3188" t="s">
        <v>2818</v>
      </c>
      <c r="N16" s="3188" t="s">
        <v>3229</v>
      </c>
      <c r="O16" s="3188" t="s">
        <v>3188</v>
      </c>
      <c r="P16" s="3188" t="s">
        <v>2818</v>
      </c>
      <c r="Q16" s="3188" t="s">
        <v>2818</v>
      </c>
      <c r="R16" s="3188" t="s">
        <v>2818</v>
      </c>
      <c r="S16" s="3188" t="s">
        <v>2818</v>
      </c>
      <c r="T16" s="3188" t="s">
        <v>3170</v>
      </c>
      <c r="U16" s="3188" t="s">
        <v>3106</v>
      </c>
      <c r="V16" s="3188" t="s">
        <v>2818</v>
      </c>
      <c r="W16" s="3188" t="s">
        <v>3107</v>
      </c>
      <c r="X16" s="3188" t="s">
        <v>3230</v>
      </c>
      <c r="Y16" s="3188" t="s">
        <v>3231</v>
      </c>
      <c r="Z16" s="3188" t="s">
        <v>3210</v>
      </c>
      <c r="AA16" s="3188" t="s">
        <v>3210</v>
      </c>
      <c r="AB16" s="3188" t="s">
        <v>3232</v>
      </c>
      <c r="AC16" s="3188" t="s">
        <v>3112</v>
      </c>
      <c r="AD16" s="3188" t="s">
        <v>3239</v>
      </c>
      <c r="AE16" s="3188">
        <v>2671.8</v>
      </c>
      <c r="AF16" s="3188">
        <v>13359</v>
      </c>
      <c r="AG16" s="3188">
        <v>14759</v>
      </c>
      <c r="AH16" s="3188">
        <v>439.98</v>
      </c>
      <c r="AI16" s="3188">
        <v>486.09</v>
      </c>
      <c r="AJ16" s="3188">
        <v>5999.73</v>
      </c>
      <c r="AK16" s="3188">
        <v>6628.48</v>
      </c>
      <c r="AL16" s="3188" t="s">
        <v>2818</v>
      </c>
      <c r="AM16" s="3188" t="s">
        <v>2818</v>
      </c>
      <c r="AN16" s="3188">
        <v>10.48</v>
      </c>
      <c r="AO16" s="3188" t="s">
        <v>3163</v>
      </c>
      <c r="AP16" s="3188" t="s">
        <v>2818</v>
      </c>
      <c r="AQ16" s="3188" t="s">
        <v>2818</v>
      </c>
      <c r="AR16" s="3188" t="s">
        <v>2818</v>
      </c>
      <c r="AS16" s="3188" t="s">
        <v>3240</v>
      </c>
    </row>
    <row r="17" spans="1:45" s="3188" customFormat="1" ht="13.2">
      <c r="A17" s="3188" t="s">
        <v>3241</v>
      </c>
      <c r="B17" s="3188" t="s">
        <v>3094</v>
      </c>
      <c r="C17" s="3188" t="s">
        <v>3095</v>
      </c>
      <c r="D17" s="3188" t="s">
        <v>3096</v>
      </c>
      <c r="E17" s="3188" t="s">
        <v>2818</v>
      </c>
      <c r="F17" s="3188" t="s">
        <v>3242</v>
      </c>
      <c r="G17" s="3188" t="s">
        <v>3098</v>
      </c>
      <c r="H17" s="3188" t="s">
        <v>3243</v>
      </c>
      <c r="I17" s="3188" t="s">
        <v>3244</v>
      </c>
      <c r="J17" s="3188">
        <v>86055</v>
      </c>
      <c r="K17" s="3188">
        <v>154899</v>
      </c>
      <c r="L17" s="3188" t="s">
        <v>3245</v>
      </c>
      <c r="M17" s="3188" t="s">
        <v>2818</v>
      </c>
      <c r="N17" s="3188" t="s">
        <v>3229</v>
      </c>
      <c r="O17" s="3188" t="s">
        <v>3246</v>
      </c>
      <c r="P17" s="3188" t="s">
        <v>2818</v>
      </c>
      <c r="Q17" s="3188" t="s">
        <v>2818</v>
      </c>
      <c r="R17" s="3188" t="s">
        <v>2818</v>
      </c>
      <c r="S17" s="3188" t="s">
        <v>2818</v>
      </c>
      <c r="T17" s="3188" t="s">
        <v>3170</v>
      </c>
      <c r="U17" s="3188" t="s">
        <v>2818</v>
      </c>
      <c r="V17" s="3188" t="s">
        <v>2818</v>
      </c>
      <c r="W17" s="3188" t="s">
        <v>3107</v>
      </c>
      <c r="X17" s="3188" t="s">
        <v>3230</v>
      </c>
      <c r="Y17" s="3188" t="s">
        <v>3231</v>
      </c>
      <c r="Z17" s="3188" t="s">
        <v>3210</v>
      </c>
      <c r="AA17" s="3188" t="s">
        <v>3210</v>
      </c>
      <c r="AB17" s="3188" t="s">
        <v>3232</v>
      </c>
      <c r="AC17" s="3188" t="s">
        <v>3112</v>
      </c>
      <c r="AD17" s="3188" t="s">
        <v>3247</v>
      </c>
      <c r="AE17" s="3188">
        <v>17038.8</v>
      </c>
      <c r="AF17" s="3188">
        <v>85194</v>
      </c>
      <c r="AG17" s="3188">
        <v>124194</v>
      </c>
      <c r="AH17" s="3188">
        <v>660</v>
      </c>
      <c r="AI17" s="3188">
        <v>962.13</v>
      </c>
      <c r="AJ17" s="3188">
        <v>5499.97</v>
      </c>
      <c r="AK17" s="3188">
        <v>8017.73</v>
      </c>
      <c r="AL17" s="3188" t="s">
        <v>2818</v>
      </c>
      <c r="AM17" s="3188" t="s">
        <v>2818</v>
      </c>
      <c r="AN17" s="3188">
        <v>45.78</v>
      </c>
      <c r="AO17" s="3188" t="s">
        <v>3172</v>
      </c>
      <c r="AP17" s="3188" t="s">
        <v>2818</v>
      </c>
      <c r="AQ17" s="3188" t="s">
        <v>2818</v>
      </c>
      <c r="AR17" s="3188" t="s">
        <v>2818</v>
      </c>
      <c r="AS17" s="3188" t="s">
        <v>3240</v>
      </c>
    </row>
    <row r="18" spans="1:45">
      <c r="A18" s="2894" t="s">
        <v>3248</v>
      </c>
      <c r="B18" s="2894" t="s">
        <v>3094</v>
      </c>
      <c r="C18" s="2894" t="s">
        <v>3095</v>
      </c>
      <c r="D18" s="2894" t="s">
        <v>3096</v>
      </c>
      <c r="E18" s="2894" t="s">
        <v>2818</v>
      </c>
      <c r="F18" s="2894" t="s">
        <v>3249</v>
      </c>
      <c r="G18" s="2894" t="s">
        <v>3098</v>
      </c>
      <c r="H18" s="2894" t="s">
        <v>3250</v>
      </c>
      <c r="I18" s="2894" t="s">
        <v>3251</v>
      </c>
      <c r="J18" s="2894">
        <v>166123</v>
      </c>
      <c r="K18" s="2894">
        <v>396753.6</v>
      </c>
      <c r="L18" s="2894" t="s">
        <v>3252</v>
      </c>
      <c r="M18" s="2894" t="s">
        <v>2818</v>
      </c>
      <c r="N18" s="2894" t="s">
        <v>3246</v>
      </c>
      <c r="O18" s="2894" t="s">
        <v>3253</v>
      </c>
      <c r="P18" s="2894" t="s">
        <v>2818</v>
      </c>
      <c r="Q18" s="2894" t="s">
        <v>2818</v>
      </c>
      <c r="R18" s="2894" t="s">
        <v>2818</v>
      </c>
      <c r="S18" s="2894" t="s">
        <v>2818</v>
      </c>
      <c r="T18" s="2894" t="s">
        <v>3170</v>
      </c>
      <c r="U18" s="2894" t="s">
        <v>2818</v>
      </c>
      <c r="V18" s="2894" t="s">
        <v>2818</v>
      </c>
      <c r="W18" s="2894" t="s">
        <v>3107</v>
      </c>
      <c r="X18" s="2894" t="s">
        <v>3254</v>
      </c>
      <c r="Y18" s="2894" t="s">
        <v>3255</v>
      </c>
      <c r="Z18" s="2894" t="s">
        <v>3256</v>
      </c>
      <c r="AA18" s="2894" t="s">
        <v>3256</v>
      </c>
      <c r="AB18" s="2894" t="s">
        <v>3250</v>
      </c>
      <c r="AC18" s="2894" t="s">
        <v>3112</v>
      </c>
      <c r="AD18" s="2894" t="s">
        <v>3257</v>
      </c>
      <c r="AE18" s="2894">
        <v>130929</v>
      </c>
      <c r="AF18" s="2894">
        <v>261858</v>
      </c>
      <c r="AG18" s="2894">
        <v>346458</v>
      </c>
      <c r="AH18" s="2894">
        <v>1050.8599999999999</v>
      </c>
      <c r="AI18" s="2894">
        <v>1390.37</v>
      </c>
      <c r="AJ18" s="2894">
        <v>6600.01</v>
      </c>
      <c r="AK18" s="2894">
        <v>8732.31</v>
      </c>
      <c r="AL18" s="2894" t="s">
        <v>2818</v>
      </c>
      <c r="AM18" s="2894" t="s">
        <v>2818</v>
      </c>
      <c r="AN18" s="2894">
        <v>32.31</v>
      </c>
      <c r="AO18" s="2894" t="s">
        <v>3258</v>
      </c>
      <c r="AP18" s="2894" t="s">
        <v>2818</v>
      </c>
      <c r="AQ18" s="2894" t="s">
        <v>2818</v>
      </c>
      <c r="AR18" s="2894" t="s">
        <v>2818</v>
      </c>
      <c r="AS18" s="2894" t="s">
        <v>3140</v>
      </c>
    </row>
    <row r="19" spans="1:45">
      <c r="A19" s="2894" t="s">
        <v>3259</v>
      </c>
      <c r="B19" s="2894" t="s">
        <v>3094</v>
      </c>
      <c r="C19" s="2894" t="s">
        <v>3117</v>
      </c>
      <c r="D19" s="2894" t="s">
        <v>3096</v>
      </c>
      <c r="E19" s="2894" t="s">
        <v>2818</v>
      </c>
      <c r="F19" s="2894" t="s">
        <v>3260</v>
      </c>
      <c r="G19" s="2894" t="s">
        <v>3098</v>
      </c>
      <c r="H19" s="2894" t="s">
        <v>3261</v>
      </c>
      <c r="I19" s="2894" t="s">
        <v>3262</v>
      </c>
      <c r="J19" s="2894">
        <v>97494</v>
      </c>
      <c r="K19" s="2894">
        <v>253484.4</v>
      </c>
      <c r="L19" s="2894" t="s">
        <v>3263</v>
      </c>
      <c r="M19" s="2894" t="s">
        <v>2818</v>
      </c>
      <c r="N19" s="2894" t="s">
        <v>3229</v>
      </c>
      <c r="O19" s="2894" t="s">
        <v>3209</v>
      </c>
      <c r="P19" s="2894" t="s">
        <v>2818</v>
      </c>
      <c r="Q19" s="2894" t="s">
        <v>2818</v>
      </c>
      <c r="R19" s="2894" t="s">
        <v>2818</v>
      </c>
      <c r="S19" s="2894" t="s">
        <v>2818</v>
      </c>
      <c r="T19" s="2894" t="s">
        <v>3170</v>
      </c>
      <c r="U19" s="2894" t="s">
        <v>2818</v>
      </c>
      <c r="V19" s="2894" t="s">
        <v>2818</v>
      </c>
      <c r="W19" s="2894" t="s">
        <v>3264</v>
      </c>
      <c r="X19" s="2894" t="s">
        <v>3265</v>
      </c>
      <c r="Y19" s="2894" t="s">
        <v>3266</v>
      </c>
      <c r="Z19" s="2894" t="s">
        <v>3267</v>
      </c>
      <c r="AA19" s="2894" t="s">
        <v>3267</v>
      </c>
      <c r="AB19" s="2894" t="s">
        <v>3268</v>
      </c>
      <c r="AC19" s="2894" t="s">
        <v>3112</v>
      </c>
      <c r="AD19" s="2894" t="s">
        <v>3269</v>
      </c>
      <c r="AE19" s="2894">
        <v>20000</v>
      </c>
      <c r="AF19" s="2894">
        <v>339669</v>
      </c>
      <c r="AG19" s="2894">
        <v>359669</v>
      </c>
      <c r="AH19" s="2894">
        <v>2322.67</v>
      </c>
      <c r="AI19" s="2894">
        <v>2459.4299999999998</v>
      </c>
      <c r="AJ19" s="2894">
        <v>13399.99</v>
      </c>
      <c r="AK19" s="2894">
        <v>14189</v>
      </c>
      <c r="AL19" s="2894" t="s">
        <v>2818</v>
      </c>
      <c r="AM19" s="2894" t="s">
        <v>2818</v>
      </c>
      <c r="AN19" s="2894">
        <v>5.89</v>
      </c>
      <c r="AO19" s="2894" t="s">
        <v>3270</v>
      </c>
      <c r="AP19" s="2894" t="s">
        <v>2818</v>
      </c>
      <c r="AQ19" s="2894" t="s">
        <v>2818</v>
      </c>
      <c r="AR19" s="2894" t="s">
        <v>2818</v>
      </c>
      <c r="AS19" s="2894" t="s">
        <v>3124</v>
      </c>
    </row>
    <row r="20" spans="1:45">
      <c r="A20" s="2894" t="s">
        <v>3271</v>
      </c>
      <c r="B20" s="2894" t="s">
        <v>3094</v>
      </c>
      <c r="C20" s="2894" t="s">
        <v>3117</v>
      </c>
      <c r="D20" s="2894" t="s">
        <v>3096</v>
      </c>
      <c r="E20" s="2894" t="s">
        <v>2818</v>
      </c>
      <c r="F20" s="2894" t="s">
        <v>3272</v>
      </c>
      <c r="G20" s="2894" t="s">
        <v>3098</v>
      </c>
      <c r="H20" s="2894" t="s">
        <v>3273</v>
      </c>
      <c r="I20" s="2894" t="s">
        <v>3100</v>
      </c>
      <c r="J20" s="2894">
        <v>98261</v>
      </c>
      <c r="K20" s="2894">
        <v>275130.8</v>
      </c>
      <c r="L20" s="2894" t="s">
        <v>3274</v>
      </c>
      <c r="M20" s="2894" t="s">
        <v>2818</v>
      </c>
      <c r="N20" s="2894" t="s">
        <v>2818</v>
      </c>
      <c r="O20" s="2894" t="s">
        <v>2818</v>
      </c>
      <c r="P20" s="2894" t="s">
        <v>2818</v>
      </c>
      <c r="Q20" s="2894" t="s">
        <v>2818</v>
      </c>
      <c r="R20" s="2894" t="s">
        <v>2818</v>
      </c>
      <c r="S20" s="2894" t="s">
        <v>2818</v>
      </c>
      <c r="T20" s="2894" t="s">
        <v>3170</v>
      </c>
      <c r="U20" s="2894" t="s">
        <v>2818</v>
      </c>
      <c r="V20" s="2894" t="s">
        <v>2818</v>
      </c>
      <c r="W20" s="2894" t="s">
        <v>3264</v>
      </c>
      <c r="X20" s="2894" t="s">
        <v>3275</v>
      </c>
      <c r="Y20" s="2894" t="s">
        <v>3276</v>
      </c>
      <c r="Z20" s="2894" t="s">
        <v>3277</v>
      </c>
      <c r="AA20" s="2894" t="s">
        <v>3277</v>
      </c>
      <c r="AB20" s="2894" t="s">
        <v>3278</v>
      </c>
      <c r="AC20" s="2894" t="s">
        <v>3112</v>
      </c>
      <c r="AD20" s="2894" t="s">
        <v>3279</v>
      </c>
      <c r="AE20" s="2894">
        <v>20000</v>
      </c>
      <c r="AF20" s="2894">
        <v>368675</v>
      </c>
      <c r="AG20" s="2894">
        <v>370675</v>
      </c>
      <c r="AH20" s="2894">
        <v>2501.33</v>
      </c>
      <c r="AI20" s="2894">
        <v>2514.9</v>
      </c>
      <c r="AJ20" s="2894">
        <v>13399.98</v>
      </c>
      <c r="AK20" s="2894">
        <v>13472.68</v>
      </c>
      <c r="AL20" s="2894" t="s">
        <v>2818</v>
      </c>
      <c r="AM20" s="2894" t="s">
        <v>2818</v>
      </c>
      <c r="AN20" s="2894">
        <v>0.54</v>
      </c>
      <c r="AO20" s="2894" t="s">
        <v>3163</v>
      </c>
      <c r="AP20" s="2894" t="s">
        <v>2818</v>
      </c>
      <c r="AQ20" s="2894" t="s">
        <v>2818</v>
      </c>
      <c r="AR20" s="2894" t="s">
        <v>2818</v>
      </c>
      <c r="AS20" s="2894" t="s">
        <v>3124</v>
      </c>
    </row>
    <row r="21" spans="1:45">
      <c r="A21" s="2894" t="s">
        <v>3280</v>
      </c>
      <c r="B21" s="2894" t="s">
        <v>3094</v>
      </c>
      <c r="C21" s="2894" t="s">
        <v>3095</v>
      </c>
      <c r="D21" s="2894" t="s">
        <v>3096</v>
      </c>
      <c r="E21" s="2894" t="s">
        <v>2818</v>
      </c>
      <c r="F21" s="2894" t="s">
        <v>3281</v>
      </c>
      <c r="G21" s="2894" t="s">
        <v>3098</v>
      </c>
      <c r="H21" s="2894" t="s">
        <v>3282</v>
      </c>
      <c r="I21" s="2894" t="s">
        <v>3227</v>
      </c>
      <c r="J21" s="2894">
        <v>25121</v>
      </c>
      <c r="K21" s="2894">
        <v>62803</v>
      </c>
      <c r="L21" s="2894" t="s">
        <v>3283</v>
      </c>
      <c r="M21" s="2894" t="s">
        <v>2818</v>
      </c>
      <c r="N21" s="2894" t="s">
        <v>2818</v>
      </c>
      <c r="O21" s="2894" t="s">
        <v>2818</v>
      </c>
      <c r="P21" s="2894" t="s">
        <v>2818</v>
      </c>
      <c r="Q21" s="2894" t="s">
        <v>2818</v>
      </c>
      <c r="R21" s="2894" t="s">
        <v>2818</v>
      </c>
      <c r="S21" s="2894" t="s">
        <v>2818</v>
      </c>
      <c r="T21" s="2894" t="s">
        <v>3170</v>
      </c>
      <c r="U21" s="2894" t="s">
        <v>2818</v>
      </c>
      <c r="V21" s="2894" t="s">
        <v>2818</v>
      </c>
      <c r="W21" s="2894" t="s">
        <v>3264</v>
      </c>
      <c r="X21" s="2894" t="s">
        <v>3284</v>
      </c>
      <c r="Y21" s="2894" t="s">
        <v>3285</v>
      </c>
      <c r="Z21" s="2894" t="s">
        <v>3286</v>
      </c>
      <c r="AA21" s="2894" t="s">
        <v>3286</v>
      </c>
      <c r="AB21" s="2894" t="s">
        <v>3287</v>
      </c>
      <c r="AC21" s="2894" t="s">
        <v>3112</v>
      </c>
      <c r="AD21" s="2894" t="s">
        <v>3288</v>
      </c>
      <c r="AE21" s="2894">
        <v>16831</v>
      </c>
      <c r="AF21" s="2894">
        <v>84155</v>
      </c>
      <c r="AG21" s="2894">
        <v>115555</v>
      </c>
      <c r="AH21" s="2894">
        <v>2233.3200000000002</v>
      </c>
      <c r="AI21" s="2894">
        <v>3066.62</v>
      </c>
      <c r="AJ21" s="2894">
        <v>13399.83</v>
      </c>
      <c r="AK21" s="2894">
        <v>18399.59</v>
      </c>
      <c r="AL21" s="2894" t="s">
        <v>2818</v>
      </c>
      <c r="AM21" s="2894" t="s">
        <v>2818</v>
      </c>
      <c r="AN21" s="2894">
        <v>37.31</v>
      </c>
      <c r="AO21" s="2894" t="s">
        <v>3289</v>
      </c>
      <c r="AP21" s="2894" t="s">
        <v>2818</v>
      </c>
      <c r="AQ21" s="2894" t="s">
        <v>2818</v>
      </c>
      <c r="AR21" s="2894" t="s">
        <v>2818</v>
      </c>
      <c r="AS21" s="2894" t="s">
        <v>3140</v>
      </c>
    </row>
    <row r="22" spans="1:45">
      <c r="A22" s="2894" t="s">
        <v>3290</v>
      </c>
      <c r="B22" s="2894" t="s">
        <v>3094</v>
      </c>
      <c r="C22" s="2894" t="s">
        <v>3095</v>
      </c>
      <c r="D22" s="2894" t="s">
        <v>3096</v>
      </c>
      <c r="E22" s="2894" t="s">
        <v>2818</v>
      </c>
      <c r="F22" s="2894" t="s">
        <v>3291</v>
      </c>
      <c r="G22" s="2894" t="s">
        <v>3098</v>
      </c>
      <c r="H22" s="2894" t="s">
        <v>3292</v>
      </c>
      <c r="I22" s="2894" t="s">
        <v>3293</v>
      </c>
      <c r="J22" s="2894">
        <v>55422</v>
      </c>
      <c r="K22" s="2894">
        <v>144097</v>
      </c>
      <c r="L22" s="2894" t="s">
        <v>3294</v>
      </c>
      <c r="M22" s="2894" t="s">
        <v>2818</v>
      </c>
      <c r="N22" s="2894" t="s">
        <v>2818</v>
      </c>
      <c r="O22" s="2894" t="s">
        <v>2818</v>
      </c>
      <c r="P22" s="2894" t="s">
        <v>2818</v>
      </c>
      <c r="Q22" s="2894" t="s">
        <v>2818</v>
      </c>
      <c r="R22" s="2894" t="s">
        <v>2818</v>
      </c>
      <c r="S22" s="2894" t="s">
        <v>2818</v>
      </c>
      <c r="T22" s="2894" t="s">
        <v>3170</v>
      </c>
      <c r="U22" s="2894" t="s">
        <v>2818</v>
      </c>
      <c r="V22" s="2894" t="s">
        <v>2818</v>
      </c>
      <c r="W22" s="2894" t="s">
        <v>3264</v>
      </c>
      <c r="X22" s="2894" t="s">
        <v>3284</v>
      </c>
      <c r="Y22" s="2894" t="s">
        <v>3285</v>
      </c>
      <c r="Z22" s="2894" t="s">
        <v>3286</v>
      </c>
      <c r="AA22" s="2894" t="s">
        <v>3286</v>
      </c>
      <c r="AB22" s="2894" t="s">
        <v>3287</v>
      </c>
      <c r="AC22" s="2894" t="s">
        <v>3112</v>
      </c>
      <c r="AD22" s="2894" t="s">
        <v>3295</v>
      </c>
      <c r="AE22" s="2894">
        <v>12968.8</v>
      </c>
      <c r="AF22" s="2894">
        <v>64844</v>
      </c>
      <c r="AG22" s="2894">
        <v>64844</v>
      </c>
      <c r="AH22" s="2894">
        <v>780</v>
      </c>
      <c r="AI22" s="2894">
        <v>780</v>
      </c>
      <c r="AJ22" s="2894">
        <v>4500.0200000000004</v>
      </c>
      <c r="AK22" s="2894">
        <v>4500.0200000000004</v>
      </c>
      <c r="AL22" s="2894" t="s">
        <v>2818</v>
      </c>
      <c r="AM22" s="2894" t="s">
        <v>2818</v>
      </c>
      <c r="AN22" s="2894">
        <v>0</v>
      </c>
      <c r="AO22" s="2894" t="s">
        <v>3289</v>
      </c>
      <c r="AP22" s="2894" t="s">
        <v>2818</v>
      </c>
      <c r="AQ22" s="2894" t="s">
        <v>2818</v>
      </c>
      <c r="AR22" s="2894" t="s">
        <v>2818</v>
      </c>
      <c r="AS22" s="2894" t="s">
        <v>3240</v>
      </c>
    </row>
    <row r="23" spans="1:45">
      <c r="A23" s="2894" t="s">
        <v>3296</v>
      </c>
      <c r="B23" s="2894" t="s">
        <v>3094</v>
      </c>
      <c r="C23" s="2894" t="s">
        <v>3117</v>
      </c>
      <c r="D23" s="2894" t="s">
        <v>3096</v>
      </c>
      <c r="E23" s="2894" t="s">
        <v>2818</v>
      </c>
      <c r="F23" s="2894" t="s">
        <v>3297</v>
      </c>
      <c r="G23" s="2894" t="s">
        <v>3098</v>
      </c>
      <c r="H23" s="2894" t="s">
        <v>3298</v>
      </c>
      <c r="I23" s="2894" t="s">
        <v>3299</v>
      </c>
      <c r="J23" s="2894">
        <v>24153</v>
      </c>
      <c r="K23" s="2894">
        <v>60382.5</v>
      </c>
      <c r="L23" s="2894" t="s">
        <v>3283</v>
      </c>
      <c r="M23" s="2894" t="s">
        <v>2818</v>
      </c>
      <c r="N23" s="2894" t="s">
        <v>2818</v>
      </c>
      <c r="O23" s="2894" t="s">
        <v>2818</v>
      </c>
      <c r="P23" s="2894" t="s">
        <v>2818</v>
      </c>
      <c r="Q23" s="2894" t="s">
        <v>2818</v>
      </c>
      <c r="R23" s="2894" t="s">
        <v>2818</v>
      </c>
      <c r="S23" s="2894" t="s">
        <v>2818</v>
      </c>
      <c r="T23" s="2894" t="s">
        <v>3170</v>
      </c>
      <c r="U23" s="2894" t="s">
        <v>2818</v>
      </c>
      <c r="V23" s="2894" t="s">
        <v>2818</v>
      </c>
      <c r="W23" s="2894" t="s">
        <v>3264</v>
      </c>
      <c r="X23" s="2894" t="s">
        <v>3284</v>
      </c>
      <c r="Y23" s="2894" t="s">
        <v>3285</v>
      </c>
      <c r="Z23" s="2894" t="s">
        <v>3286</v>
      </c>
      <c r="AA23" s="2894" t="s">
        <v>3286</v>
      </c>
      <c r="AB23" s="2894" t="s">
        <v>3287</v>
      </c>
      <c r="AC23" s="2894" t="s">
        <v>3112</v>
      </c>
      <c r="AD23" s="2894" t="s">
        <v>3300</v>
      </c>
      <c r="AE23" s="2894">
        <v>20000</v>
      </c>
      <c r="AF23" s="2894">
        <v>103858</v>
      </c>
      <c r="AG23" s="2894">
        <v>139358</v>
      </c>
      <c r="AH23" s="2894">
        <v>2866.67</v>
      </c>
      <c r="AI23" s="2894">
        <v>3846.53</v>
      </c>
      <c r="AJ23" s="2894">
        <v>17200.009999999998</v>
      </c>
      <c r="AK23" s="2894">
        <v>23079.200000000001</v>
      </c>
      <c r="AL23" s="2894" t="s">
        <v>2818</v>
      </c>
      <c r="AM23" s="2894" t="s">
        <v>2818</v>
      </c>
      <c r="AN23" s="2894">
        <v>34.18</v>
      </c>
      <c r="AO23" s="2894" t="s">
        <v>3270</v>
      </c>
      <c r="AP23" s="2894" t="s">
        <v>2818</v>
      </c>
      <c r="AQ23" s="2894" t="s">
        <v>2818</v>
      </c>
      <c r="AR23" s="2894" t="s">
        <v>2818</v>
      </c>
      <c r="AS23" s="2894" t="s">
        <v>3115</v>
      </c>
    </row>
    <row r="24" spans="1:45" s="3188" customFormat="1" ht="13.2">
      <c r="A24" s="3188" t="s">
        <v>3301</v>
      </c>
      <c r="B24" s="3188" t="s">
        <v>3094</v>
      </c>
      <c r="C24" s="3188" t="s">
        <v>3095</v>
      </c>
      <c r="D24" s="3188" t="s">
        <v>3096</v>
      </c>
      <c r="E24" s="3188" t="s">
        <v>2818</v>
      </c>
      <c r="F24" s="3188" t="s">
        <v>3302</v>
      </c>
      <c r="G24" s="3188" t="s">
        <v>3098</v>
      </c>
      <c r="H24" s="3188" t="s">
        <v>3303</v>
      </c>
      <c r="I24" s="3188" t="s">
        <v>3136</v>
      </c>
      <c r="J24" s="3188">
        <v>73434</v>
      </c>
      <c r="K24" s="3188">
        <v>154211</v>
      </c>
      <c r="L24" s="3188" t="s">
        <v>3304</v>
      </c>
      <c r="M24" s="3188" t="s">
        <v>2818</v>
      </c>
      <c r="N24" s="3188" t="s">
        <v>2818</v>
      </c>
      <c r="O24" s="3188" t="s">
        <v>2818</v>
      </c>
      <c r="P24" s="3188" t="s">
        <v>2818</v>
      </c>
      <c r="Q24" s="3188" t="s">
        <v>2818</v>
      </c>
      <c r="R24" s="3188" t="s">
        <v>2818</v>
      </c>
      <c r="S24" s="3188" t="s">
        <v>2818</v>
      </c>
      <c r="T24" s="3188" t="s">
        <v>3170</v>
      </c>
      <c r="U24" s="3188" t="s">
        <v>2818</v>
      </c>
      <c r="V24" s="3188" t="s">
        <v>2818</v>
      </c>
      <c r="W24" s="3188" t="s">
        <v>3264</v>
      </c>
      <c r="X24" s="3188" t="s">
        <v>3305</v>
      </c>
      <c r="Y24" s="3188" t="s">
        <v>3306</v>
      </c>
      <c r="Z24" s="3188" t="s">
        <v>3307</v>
      </c>
      <c r="AA24" s="3188" t="s">
        <v>3307</v>
      </c>
      <c r="AB24" s="3188" t="s">
        <v>3308</v>
      </c>
      <c r="AC24" s="3188" t="s">
        <v>3112</v>
      </c>
      <c r="AD24" s="3188" t="s">
        <v>3309</v>
      </c>
      <c r="AE24" s="3188">
        <v>20000</v>
      </c>
      <c r="AF24" s="3188">
        <v>123369</v>
      </c>
      <c r="AG24" s="3188">
        <v>131369</v>
      </c>
      <c r="AH24" s="3188">
        <v>1120</v>
      </c>
      <c r="AI24" s="3188">
        <v>1192.6300000000001</v>
      </c>
      <c r="AJ24" s="3188">
        <v>8000.01</v>
      </c>
      <c r="AK24" s="3188">
        <v>8518.7800000000007</v>
      </c>
      <c r="AL24" s="3188" t="s">
        <v>2818</v>
      </c>
      <c r="AM24" s="3188" t="s">
        <v>2818</v>
      </c>
      <c r="AN24" s="3188">
        <v>6.48</v>
      </c>
      <c r="AO24" s="3188" t="s">
        <v>3289</v>
      </c>
      <c r="AP24" s="3188" t="s">
        <v>2818</v>
      </c>
      <c r="AQ24" s="3188" t="s">
        <v>2818</v>
      </c>
      <c r="AR24" s="3188" t="s">
        <v>2818</v>
      </c>
      <c r="AS24" s="3188" t="s">
        <v>3124</v>
      </c>
    </row>
    <row r="25" spans="1:45">
      <c r="A25" s="2894" t="s">
        <v>3310</v>
      </c>
      <c r="B25" s="2894" t="s">
        <v>3094</v>
      </c>
      <c r="C25" s="2894" t="s">
        <v>3117</v>
      </c>
      <c r="D25" s="2894" t="s">
        <v>3096</v>
      </c>
      <c r="E25" s="2894" t="s">
        <v>2818</v>
      </c>
      <c r="F25" s="2894" t="s">
        <v>3311</v>
      </c>
      <c r="G25" s="2894" t="s">
        <v>3098</v>
      </c>
      <c r="H25" s="2894" t="s">
        <v>3312</v>
      </c>
      <c r="I25" s="2894" t="s">
        <v>3299</v>
      </c>
      <c r="J25" s="2894">
        <v>45064</v>
      </c>
      <c r="K25" s="2894">
        <v>112662.5</v>
      </c>
      <c r="L25" s="2894" t="s">
        <v>3313</v>
      </c>
      <c r="M25" s="2894" t="s">
        <v>2818</v>
      </c>
      <c r="N25" s="2894" t="s">
        <v>3314</v>
      </c>
      <c r="O25" s="2894" t="s">
        <v>3103</v>
      </c>
      <c r="P25" s="2894" t="s">
        <v>2818</v>
      </c>
      <c r="Q25" s="2894" t="s">
        <v>2818</v>
      </c>
      <c r="R25" s="2894" t="s">
        <v>2818</v>
      </c>
      <c r="S25" s="2894" t="s">
        <v>2818</v>
      </c>
      <c r="T25" s="2894" t="s">
        <v>3170</v>
      </c>
      <c r="U25" s="2894" t="s">
        <v>2818</v>
      </c>
      <c r="V25" s="2894" t="s">
        <v>2818</v>
      </c>
      <c r="W25" s="2894" t="s">
        <v>3264</v>
      </c>
      <c r="X25" s="2894" t="s">
        <v>3315</v>
      </c>
      <c r="Y25" s="2894" t="s">
        <v>3316</v>
      </c>
      <c r="Z25" s="2894" t="s">
        <v>3317</v>
      </c>
      <c r="AA25" s="2894" t="s">
        <v>3317</v>
      </c>
      <c r="AB25" s="2894" t="s">
        <v>3318</v>
      </c>
      <c r="AC25" s="2894" t="s">
        <v>3112</v>
      </c>
      <c r="AD25" s="2894" t="s">
        <v>3319</v>
      </c>
      <c r="AE25" s="2894">
        <v>20000</v>
      </c>
      <c r="AF25" s="2894">
        <v>193780</v>
      </c>
      <c r="AG25" s="2894">
        <v>274780</v>
      </c>
      <c r="AH25" s="2894">
        <v>2866.74</v>
      </c>
      <c r="AI25" s="2894">
        <v>4065.03</v>
      </c>
      <c r="AJ25" s="2894">
        <v>17200.04</v>
      </c>
      <c r="AK25" s="2894">
        <v>24389.65</v>
      </c>
      <c r="AL25" s="2894" t="s">
        <v>2818</v>
      </c>
      <c r="AM25" s="2894" t="s">
        <v>2818</v>
      </c>
      <c r="AN25" s="2894">
        <v>41.8</v>
      </c>
      <c r="AO25" s="2894" t="s">
        <v>3163</v>
      </c>
      <c r="AP25" s="2894" t="s">
        <v>2818</v>
      </c>
      <c r="AQ25" s="2894" t="s">
        <v>2818</v>
      </c>
      <c r="AR25" s="2894" t="s">
        <v>2818</v>
      </c>
      <c r="AS25" s="2894" t="s">
        <v>3115</v>
      </c>
    </row>
    <row r="26" spans="1:45">
      <c r="A26" s="2894" t="s">
        <v>3320</v>
      </c>
      <c r="B26" s="2894" t="s">
        <v>3094</v>
      </c>
      <c r="C26" s="2894" t="s">
        <v>3095</v>
      </c>
      <c r="D26" s="2894" t="s">
        <v>3096</v>
      </c>
      <c r="E26" s="2894" t="s">
        <v>2818</v>
      </c>
      <c r="F26" s="2894" t="s">
        <v>3321</v>
      </c>
      <c r="G26" s="2894" t="s">
        <v>3098</v>
      </c>
      <c r="H26" s="2894" t="s">
        <v>3322</v>
      </c>
      <c r="I26" s="2894" t="s">
        <v>3323</v>
      </c>
      <c r="J26" s="2894">
        <v>30217</v>
      </c>
      <c r="K26" s="2894">
        <v>75542.5</v>
      </c>
      <c r="L26" s="2894" t="s">
        <v>3324</v>
      </c>
      <c r="M26" s="2894" t="s">
        <v>2818</v>
      </c>
      <c r="N26" s="2894" t="s">
        <v>2818</v>
      </c>
      <c r="O26" s="2894" t="s">
        <v>2818</v>
      </c>
      <c r="P26" s="2894" t="s">
        <v>2818</v>
      </c>
      <c r="Q26" s="2894" t="s">
        <v>2818</v>
      </c>
      <c r="R26" s="2894" t="s">
        <v>2818</v>
      </c>
      <c r="S26" s="2894" t="s">
        <v>2818</v>
      </c>
      <c r="T26" s="2894" t="s">
        <v>3170</v>
      </c>
      <c r="U26" s="2894" t="s">
        <v>2818</v>
      </c>
      <c r="V26" s="2894" t="s">
        <v>2818</v>
      </c>
      <c r="W26" s="2894" t="s">
        <v>3264</v>
      </c>
      <c r="X26" s="2894" t="s">
        <v>3325</v>
      </c>
      <c r="Y26" s="2894" t="s">
        <v>3326</v>
      </c>
      <c r="Z26" s="2894" t="s">
        <v>3284</v>
      </c>
      <c r="AA26" s="2894" t="s">
        <v>3284</v>
      </c>
      <c r="AB26" s="2894" t="s">
        <v>3327</v>
      </c>
      <c r="AC26" s="2894" t="s">
        <v>3112</v>
      </c>
      <c r="AD26" s="2894" t="s">
        <v>3328</v>
      </c>
      <c r="AE26" s="2894">
        <v>6799</v>
      </c>
      <c r="AF26" s="2894">
        <v>67989</v>
      </c>
      <c r="AG26" s="2894">
        <v>98589</v>
      </c>
      <c r="AH26" s="2894">
        <v>1500.02</v>
      </c>
      <c r="AI26" s="2894">
        <v>2175.13</v>
      </c>
      <c r="AJ26" s="2894">
        <v>9000.1</v>
      </c>
      <c r="AK26" s="2894">
        <v>13050.79</v>
      </c>
      <c r="AL26" s="2894" t="s">
        <v>2818</v>
      </c>
      <c r="AM26" s="2894" t="s">
        <v>2818</v>
      </c>
      <c r="AN26" s="2894">
        <v>45.01</v>
      </c>
      <c r="AO26" s="2894" t="s">
        <v>3172</v>
      </c>
      <c r="AP26" s="2894" t="s">
        <v>2818</v>
      </c>
      <c r="AQ26" s="2894" t="s">
        <v>2818</v>
      </c>
      <c r="AR26" s="2894" t="s">
        <v>2818</v>
      </c>
      <c r="AS26" s="2894" t="s">
        <v>3124</v>
      </c>
    </row>
    <row r="27" spans="1:45">
      <c r="A27" s="2894" t="s">
        <v>3329</v>
      </c>
      <c r="B27" s="2894" t="s">
        <v>3094</v>
      </c>
      <c r="C27" s="2894" t="s">
        <v>3095</v>
      </c>
      <c r="D27" s="2894" t="s">
        <v>3096</v>
      </c>
      <c r="E27" s="2894" t="s">
        <v>2818</v>
      </c>
      <c r="F27" s="2894" t="s">
        <v>3330</v>
      </c>
      <c r="G27" s="2894" t="s">
        <v>3098</v>
      </c>
      <c r="H27" s="2894" t="s">
        <v>3331</v>
      </c>
      <c r="I27" s="2894" t="s">
        <v>3332</v>
      </c>
      <c r="J27" s="2894">
        <v>34304</v>
      </c>
      <c r="K27" s="2894">
        <v>85760</v>
      </c>
      <c r="L27" s="2894" t="s">
        <v>3313</v>
      </c>
      <c r="M27" s="2894" t="s">
        <v>2818</v>
      </c>
      <c r="N27" s="2894" t="s">
        <v>2818</v>
      </c>
      <c r="O27" s="2894" t="s">
        <v>2818</v>
      </c>
      <c r="P27" s="2894" t="s">
        <v>2818</v>
      </c>
      <c r="Q27" s="2894" t="s">
        <v>2818</v>
      </c>
      <c r="R27" s="2894" t="s">
        <v>2818</v>
      </c>
      <c r="S27" s="2894" t="s">
        <v>2818</v>
      </c>
      <c r="T27" s="2894" t="s">
        <v>3333</v>
      </c>
      <c r="U27" s="2894" t="s">
        <v>3333</v>
      </c>
      <c r="V27" s="2894" t="s">
        <v>2818</v>
      </c>
      <c r="W27" s="2894" t="s">
        <v>3264</v>
      </c>
      <c r="X27" s="2894" t="s">
        <v>3334</v>
      </c>
      <c r="Y27" s="2894" t="s">
        <v>3335</v>
      </c>
      <c r="Z27" s="2894" t="s">
        <v>3305</v>
      </c>
      <c r="AA27" s="2894" t="s">
        <v>3305</v>
      </c>
      <c r="AB27" s="2894" t="s">
        <v>3336</v>
      </c>
      <c r="AC27" s="2894" t="s">
        <v>3112</v>
      </c>
      <c r="AD27" s="2894" t="s">
        <v>3337</v>
      </c>
      <c r="AE27" s="2894">
        <v>1115</v>
      </c>
      <c r="AF27" s="2894">
        <v>11149</v>
      </c>
      <c r="AG27" s="2894">
        <v>11149</v>
      </c>
      <c r="AH27" s="2894">
        <v>216.67</v>
      </c>
      <c r="AI27" s="2894">
        <v>216.67</v>
      </c>
      <c r="AJ27" s="2894">
        <v>1300.02</v>
      </c>
      <c r="AK27" s="2894">
        <v>1300.01</v>
      </c>
      <c r="AL27" s="2894" t="s">
        <v>2818</v>
      </c>
      <c r="AM27" s="2894" t="s">
        <v>2818</v>
      </c>
      <c r="AN27" s="2894">
        <v>0</v>
      </c>
      <c r="AO27" s="2894" t="s">
        <v>3258</v>
      </c>
      <c r="AP27" s="2894" t="s">
        <v>2818</v>
      </c>
      <c r="AQ27" s="2894" t="s">
        <v>2818</v>
      </c>
      <c r="AR27" s="2894" t="s">
        <v>2818</v>
      </c>
      <c r="AS27" s="2894" t="s">
        <v>3240</v>
      </c>
    </row>
    <row r="28" spans="1:45">
      <c r="A28" s="2894" t="s">
        <v>3338</v>
      </c>
      <c r="B28" s="2894" t="s">
        <v>3094</v>
      </c>
      <c r="C28" s="2894" t="s">
        <v>3117</v>
      </c>
      <c r="D28" s="2894" t="s">
        <v>3096</v>
      </c>
      <c r="E28" s="2894" t="s">
        <v>2818</v>
      </c>
      <c r="F28" s="2894" t="s">
        <v>3339</v>
      </c>
      <c r="G28" s="2894" t="s">
        <v>3098</v>
      </c>
      <c r="H28" s="2894" t="s">
        <v>3340</v>
      </c>
      <c r="I28" s="2894" t="s">
        <v>3341</v>
      </c>
      <c r="J28" s="2894">
        <v>78107</v>
      </c>
      <c r="K28" s="2894">
        <v>218699.6</v>
      </c>
      <c r="L28" s="2894" t="s">
        <v>3274</v>
      </c>
      <c r="M28" s="2894" t="s">
        <v>2818</v>
      </c>
      <c r="N28" s="2894" t="s">
        <v>3229</v>
      </c>
      <c r="O28" s="2894" t="s">
        <v>3103</v>
      </c>
      <c r="P28" s="2894" t="s">
        <v>2818</v>
      </c>
      <c r="Q28" s="2894" t="s">
        <v>2818</v>
      </c>
      <c r="R28" s="2894" t="s">
        <v>2818</v>
      </c>
      <c r="S28" s="2894" t="s">
        <v>2818</v>
      </c>
      <c r="T28" s="2894" t="s">
        <v>3170</v>
      </c>
      <c r="U28" s="2894" t="s">
        <v>3178</v>
      </c>
      <c r="V28" s="2894" t="s">
        <v>2818</v>
      </c>
      <c r="W28" s="2894" t="s">
        <v>3264</v>
      </c>
      <c r="X28" s="2894" t="s">
        <v>3342</v>
      </c>
      <c r="Y28" s="2894" t="s">
        <v>3343</v>
      </c>
      <c r="Z28" s="2894" t="s">
        <v>3344</v>
      </c>
      <c r="AA28" s="2894" t="s">
        <v>3344</v>
      </c>
      <c r="AB28" s="2894" t="s">
        <v>3345</v>
      </c>
      <c r="AC28" s="2894" t="s">
        <v>3112</v>
      </c>
      <c r="AD28" s="2894" t="s">
        <v>3346</v>
      </c>
      <c r="AE28" s="2894">
        <v>20000</v>
      </c>
      <c r="AF28" s="2894">
        <v>376163</v>
      </c>
      <c r="AG28" s="2894">
        <v>564163</v>
      </c>
      <c r="AH28" s="2894">
        <v>3210.66</v>
      </c>
      <c r="AI28" s="2894">
        <v>4815.3</v>
      </c>
      <c r="AJ28" s="2894">
        <v>17199.98</v>
      </c>
      <c r="AK28" s="2894">
        <v>25796.25</v>
      </c>
      <c r="AL28" s="2894" t="s">
        <v>2818</v>
      </c>
      <c r="AM28" s="2894" t="s">
        <v>2818</v>
      </c>
      <c r="AN28" s="2894">
        <v>49.98</v>
      </c>
      <c r="AO28" s="2894" t="s">
        <v>3163</v>
      </c>
      <c r="AP28" s="2894">
        <v>4</v>
      </c>
      <c r="AQ28" s="2894" t="s">
        <v>2818</v>
      </c>
      <c r="AR28" s="2894" t="s">
        <v>2818</v>
      </c>
      <c r="AS28" s="2894" t="s">
        <v>3115</v>
      </c>
    </row>
    <row r="29" spans="1:45">
      <c r="A29" s="2894" t="s">
        <v>3347</v>
      </c>
      <c r="B29" s="2894" t="s">
        <v>3094</v>
      </c>
      <c r="C29" s="2894" t="s">
        <v>3095</v>
      </c>
      <c r="D29" s="2894" t="s">
        <v>3096</v>
      </c>
      <c r="E29" s="2894" t="s">
        <v>2818</v>
      </c>
      <c r="F29" s="2894" t="s">
        <v>3348</v>
      </c>
      <c r="G29" s="2894" t="s">
        <v>3098</v>
      </c>
      <c r="H29" s="2894" t="s">
        <v>3349</v>
      </c>
      <c r="I29" s="2894" t="s">
        <v>3117</v>
      </c>
      <c r="J29" s="2894">
        <v>37774</v>
      </c>
      <c r="K29" s="2894">
        <v>101990</v>
      </c>
      <c r="L29" s="2894" t="s">
        <v>3350</v>
      </c>
      <c r="M29" s="2894" t="s">
        <v>2818</v>
      </c>
      <c r="N29" s="2894" t="s">
        <v>3229</v>
      </c>
      <c r="O29" s="2894" t="s">
        <v>3103</v>
      </c>
      <c r="P29" s="2894" t="s">
        <v>2818</v>
      </c>
      <c r="Q29" s="2894" t="s">
        <v>2818</v>
      </c>
      <c r="R29" s="2894" t="s">
        <v>2818</v>
      </c>
      <c r="S29" s="2894" t="s">
        <v>2818</v>
      </c>
      <c r="T29" s="2894" t="s">
        <v>3170</v>
      </c>
      <c r="U29" s="2894" t="s">
        <v>3178</v>
      </c>
      <c r="V29" s="2894" t="s">
        <v>2818</v>
      </c>
      <c r="W29" s="2894" t="s">
        <v>3264</v>
      </c>
      <c r="X29" s="2894" t="s">
        <v>3351</v>
      </c>
      <c r="Y29" s="2894" t="s">
        <v>3352</v>
      </c>
      <c r="Z29" s="2894" t="s">
        <v>3353</v>
      </c>
      <c r="AA29" s="2894" t="s">
        <v>3353</v>
      </c>
      <c r="AB29" s="2894" t="s">
        <v>3354</v>
      </c>
      <c r="AC29" s="2894" t="s">
        <v>3112</v>
      </c>
      <c r="AD29" s="2894" t="s">
        <v>3355</v>
      </c>
      <c r="AE29" s="2894">
        <v>20000</v>
      </c>
      <c r="AF29" s="2894">
        <v>129528</v>
      </c>
      <c r="AG29" s="2894">
        <v>194228</v>
      </c>
      <c r="AH29" s="2894">
        <v>2286.02</v>
      </c>
      <c r="AI29" s="2894">
        <v>3427.9</v>
      </c>
      <c r="AJ29" s="2894">
        <v>12700.06</v>
      </c>
      <c r="AK29" s="2894">
        <v>19043.830000000002</v>
      </c>
      <c r="AL29" s="2894" t="s">
        <v>2818</v>
      </c>
      <c r="AM29" s="2894" t="s">
        <v>2818</v>
      </c>
      <c r="AN29" s="2894">
        <v>49.95</v>
      </c>
      <c r="AO29" s="2894" t="s">
        <v>3289</v>
      </c>
      <c r="AP29" s="2894">
        <v>3</v>
      </c>
      <c r="AQ29" s="2894" t="s">
        <v>2818</v>
      </c>
      <c r="AR29" s="2894" t="s">
        <v>2818</v>
      </c>
      <c r="AS29" s="2894" t="s">
        <v>3140</v>
      </c>
    </row>
    <row r="30" spans="1:45">
      <c r="A30" s="2894" t="s">
        <v>3356</v>
      </c>
      <c r="B30" s="2894" t="s">
        <v>3094</v>
      </c>
      <c r="C30" s="2894" t="s">
        <v>3095</v>
      </c>
      <c r="D30" s="2894" t="s">
        <v>3096</v>
      </c>
      <c r="E30" s="2894" t="s">
        <v>2818</v>
      </c>
      <c r="F30" s="2894" t="s">
        <v>3357</v>
      </c>
      <c r="G30" s="2894" t="s">
        <v>3098</v>
      </c>
      <c r="H30" s="2894" t="s">
        <v>3358</v>
      </c>
      <c r="I30" s="2894" t="s">
        <v>3227</v>
      </c>
      <c r="J30" s="2894">
        <v>107887</v>
      </c>
      <c r="K30" s="2894">
        <v>312872</v>
      </c>
      <c r="L30" s="2894" t="s">
        <v>3359</v>
      </c>
      <c r="M30" s="2894" t="s">
        <v>2818</v>
      </c>
      <c r="N30" s="2894" t="s">
        <v>3229</v>
      </c>
      <c r="O30" s="2894" t="s">
        <v>3103</v>
      </c>
      <c r="P30" s="2894" t="s">
        <v>2818</v>
      </c>
      <c r="Q30" s="2894" t="s">
        <v>2818</v>
      </c>
      <c r="R30" s="2894" t="s">
        <v>2818</v>
      </c>
      <c r="S30" s="2894" t="s">
        <v>2818</v>
      </c>
      <c r="T30" s="2894" t="s">
        <v>3170</v>
      </c>
      <c r="U30" s="2894" t="s">
        <v>2818</v>
      </c>
      <c r="V30" s="2894" t="s">
        <v>2818</v>
      </c>
      <c r="W30" s="2894" t="s">
        <v>3264</v>
      </c>
      <c r="X30" s="2894" t="s">
        <v>3351</v>
      </c>
      <c r="Y30" s="2894" t="s">
        <v>3352</v>
      </c>
      <c r="Z30" s="2894" t="s">
        <v>3353</v>
      </c>
      <c r="AA30" s="2894" t="s">
        <v>3353</v>
      </c>
      <c r="AB30" s="2894" t="s">
        <v>3354</v>
      </c>
      <c r="AC30" s="2894" t="s">
        <v>3112</v>
      </c>
      <c r="AD30" s="2894" t="s">
        <v>3203</v>
      </c>
      <c r="AE30" s="2894">
        <v>20000</v>
      </c>
      <c r="AF30" s="2894">
        <v>684161</v>
      </c>
      <c r="AG30" s="2894">
        <v>1009861</v>
      </c>
      <c r="AH30" s="2894">
        <v>4227.6400000000003</v>
      </c>
      <c r="AI30" s="2894">
        <v>6240.24</v>
      </c>
      <c r="AJ30" s="2894">
        <v>21867.119999999999</v>
      </c>
      <c r="AK30" s="2894">
        <v>32277.13</v>
      </c>
      <c r="AL30" s="2894" t="s">
        <v>2818</v>
      </c>
      <c r="AM30" s="2894" t="s">
        <v>2818</v>
      </c>
      <c r="AN30" s="2894">
        <v>47.61</v>
      </c>
      <c r="AO30" s="2894" t="s">
        <v>3289</v>
      </c>
      <c r="AP30" s="2894" t="s">
        <v>2818</v>
      </c>
      <c r="AQ30" s="2894" t="s">
        <v>2818</v>
      </c>
      <c r="AR30" s="2894" t="s">
        <v>2818</v>
      </c>
      <c r="AS30" s="2894" t="s">
        <v>3115</v>
      </c>
    </row>
    <row r="31" spans="1:45">
      <c r="A31" s="2894" t="s">
        <v>3360</v>
      </c>
      <c r="B31" s="2894" t="s">
        <v>3094</v>
      </c>
      <c r="C31" s="2894" t="s">
        <v>3117</v>
      </c>
      <c r="D31" s="2894" t="s">
        <v>3096</v>
      </c>
      <c r="E31" s="2894" t="s">
        <v>2818</v>
      </c>
      <c r="F31" s="2894" t="s">
        <v>3361</v>
      </c>
      <c r="G31" s="2894" t="s">
        <v>3098</v>
      </c>
      <c r="H31" s="2894" t="s">
        <v>3362</v>
      </c>
      <c r="I31" s="2894" t="s">
        <v>3363</v>
      </c>
      <c r="J31" s="2894">
        <v>93039</v>
      </c>
      <c r="K31" s="2894">
        <v>251205</v>
      </c>
      <c r="L31" s="2894" t="s">
        <v>3350</v>
      </c>
      <c r="M31" s="2894" t="s">
        <v>2818</v>
      </c>
      <c r="N31" s="2894" t="s">
        <v>3314</v>
      </c>
      <c r="O31" s="2894" t="s">
        <v>3103</v>
      </c>
      <c r="P31" s="2894" t="s">
        <v>2818</v>
      </c>
      <c r="Q31" s="2894" t="s">
        <v>2818</v>
      </c>
      <c r="R31" s="2894" t="s">
        <v>2818</v>
      </c>
      <c r="S31" s="2894" t="s">
        <v>2818</v>
      </c>
      <c r="T31" s="2894" t="s">
        <v>3170</v>
      </c>
      <c r="U31" s="2894" t="s">
        <v>2818</v>
      </c>
      <c r="V31" s="2894" t="s">
        <v>2818</v>
      </c>
      <c r="W31" s="2894" t="s">
        <v>3264</v>
      </c>
      <c r="X31" s="2894" t="s">
        <v>3351</v>
      </c>
      <c r="Y31" s="2894" t="s">
        <v>3352</v>
      </c>
      <c r="Z31" s="2894" t="s">
        <v>3353</v>
      </c>
      <c r="AA31" s="2894" t="s">
        <v>3353</v>
      </c>
      <c r="AB31" s="2894" t="s">
        <v>3354</v>
      </c>
      <c r="AC31" s="2894" t="s">
        <v>3112</v>
      </c>
      <c r="AD31" s="2894" t="s">
        <v>3364</v>
      </c>
      <c r="AE31" s="2894">
        <v>20000</v>
      </c>
      <c r="AF31" s="2894">
        <v>336615</v>
      </c>
      <c r="AG31" s="2894">
        <v>430415</v>
      </c>
      <c r="AH31" s="2894">
        <v>2412</v>
      </c>
      <c r="AI31" s="2894">
        <v>3084.12</v>
      </c>
      <c r="AJ31" s="2894">
        <v>13400.01</v>
      </c>
      <c r="AK31" s="2894">
        <v>17134</v>
      </c>
      <c r="AL31" s="2894" t="s">
        <v>2818</v>
      </c>
      <c r="AM31" s="2894" t="s">
        <v>2818</v>
      </c>
      <c r="AN31" s="2894">
        <v>27.87</v>
      </c>
      <c r="AO31" s="2894" t="s">
        <v>3270</v>
      </c>
      <c r="AP31" s="2894" t="s">
        <v>2818</v>
      </c>
      <c r="AQ31" s="2894" t="s">
        <v>2818</v>
      </c>
      <c r="AR31" s="2894" t="s">
        <v>2818</v>
      </c>
      <c r="AS31" s="2894" t="s">
        <v>3365</v>
      </c>
    </row>
    <row r="32" spans="1:45">
      <c r="A32" s="2894" t="s">
        <v>3366</v>
      </c>
      <c r="B32" s="2894" t="s">
        <v>3094</v>
      </c>
      <c r="C32" s="2894" t="s">
        <v>3095</v>
      </c>
      <c r="D32" s="2894" t="s">
        <v>3096</v>
      </c>
      <c r="E32" s="2894" t="s">
        <v>2818</v>
      </c>
      <c r="F32" s="2894" t="s">
        <v>3367</v>
      </c>
      <c r="G32" s="2894" t="s">
        <v>3098</v>
      </c>
      <c r="H32" s="2894" t="s">
        <v>3368</v>
      </c>
      <c r="I32" s="2894" t="s">
        <v>3100</v>
      </c>
      <c r="J32" s="2894">
        <v>46839</v>
      </c>
      <c r="K32" s="2894">
        <v>117097.5</v>
      </c>
      <c r="L32" s="2894">
        <v>2.5</v>
      </c>
      <c r="M32" s="2894" t="s">
        <v>2818</v>
      </c>
      <c r="N32" s="2894" t="s">
        <v>2818</v>
      </c>
      <c r="O32" s="2894" t="s">
        <v>2818</v>
      </c>
      <c r="P32" s="2894" t="s">
        <v>2818</v>
      </c>
      <c r="Q32" s="2894" t="s">
        <v>2818</v>
      </c>
      <c r="R32" s="2894" t="s">
        <v>2818</v>
      </c>
      <c r="S32" s="2894" t="s">
        <v>2818</v>
      </c>
      <c r="T32" s="2894" t="s">
        <v>3170</v>
      </c>
      <c r="U32" s="2894" t="s">
        <v>2818</v>
      </c>
      <c r="V32" s="2894" t="s">
        <v>2818</v>
      </c>
      <c r="W32" s="2894" t="s">
        <v>3264</v>
      </c>
      <c r="X32" s="2894" t="s">
        <v>3369</v>
      </c>
      <c r="Y32" s="2894" t="s">
        <v>3370</v>
      </c>
      <c r="Z32" s="2894" t="s">
        <v>3371</v>
      </c>
      <c r="AA32" s="2894" t="s">
        <v>3371</v>
      </c>
      <c r="AB32" s="2894" t="s">
        <v>3372</v>
      </c>
      <c r="AC32" s="2894" t="s">
        <v>3112</v>
      </c>
      <c r="AD32" s="2894" t="s">
        <v>3373</v>
      </c>
      <c r="AE32" s="2894" t="s">
        <v>2818</v>
      </c>
      <c r="AF32" s="2894">
        <v>179200</v>
      </c>
      <c r="AG32" s="2894">
        <v>251100</v>
      </c>
      <c r="AH32" s="2894">
        <v>2550.58</v>
      </c>
      <c r="AI32" s="2894">
        <v>3573.94</v>
      </c>
      <c r="AJ32" s="2894">
        <v>15303.48</v>
      </c>
      <c r="AK32" s="2894">
        <v>21443.66</v>
      </c>
      <c r="AL32" s="2894" t="s">
        <v>2818</v>
      </c>
      <c r="AM32" s="2894" t="s">
        <v>2818</v>
      </c>
      <c r="AN32" s="2894">
        <v>40.119999999999997</v>
      </c>
      <c r="AO32" s="2894" t="s">
        <v>3289</v>
      </c>
      <c r="AP32" s="2894" t="s">
        <v>2818</v>
      </c>
      <c r="AQ32" s="2894" t="s">
        <v>2818</v>
      </c>
      <c r="AR32" s="2894" t="s">
        <v>2818</v>
      </c>
      <c r="AS32" s="2894" t="s">
        <v>3140</v>
      </c>
    </row>
    <row r="33" spans="1:45">
      <c r="A33" s="2894" t="s">
        <v>3374</v>
      </c>
      <c r="B33" s="2894" t="s">
        <v>3094</v>
      </c>
      <c r="C33" s="2894" t="s">
        <v>3117</v>
      </c>
      <c r="D33" s="2894" t="s">
        <v>3096</v>
      </c>
      <c r="E33" s="2894" t="s">
        <v>2818</v>
      </c>
      <c r="F33" s="2894" t="s">
        <v>3375</v>
      </c>
      <c r="G33" s="2894" t="s">
        <v>3098</v>
      </c>
      <c r="H33" s="2894" t="s">
        <v>3376</v>
      </c>
      <c r="I33" s="2894" t="s">
        <v>3100</v>
      </c>
      <c r="J33" s="2894">
        <v>57802</v>
      </c>
      <c r="K33" s="2894">
        <v>161845.6</v>
      </c>
      <c r="L33" s="2894">
        <v>2.8</v>
      </c>
      <c r="M33" s="2894" t="s">
        <v>2818</v>
      </c>
      <c r="N33" s="2894" t="s">
        <v>2818</v>
      </c>
      <c r="O33" s="2894" t="s">
        <v>2818</v>
      </c>
      <c r="P33" s="2894" t="s">
        <v>2818</v>
      </c>
      <c r="Q33" s="2894" t="s">
        <v>2818</v>
      </c>
      <c r="R33" s="2894" t="s">
        <v>2818</v>
      </c>
      <c r="S33" s="2894" t="s">
        <v>2818</v>
      </c>
      <c r="T33" s="2894" t="s">
        <v>3170</v>
      </c>
      <c r="U33" s="2894" t="s">
        <v>2818</v>
      </c>
      <c r="V33" s="2894" t="s">
        <v>2818</v>
      </c>
      <c r="W33" s="2894" t="s">
        <v>3264</v>
      </c>
      <c r="X33" s="2894" t="s">
        <v>3369</v>
      </c>
      <c r="Y33" s="2894" t="s">
        <v>3370</v>
      </c>
      <c r="Z33" s="2894" t="s">
        <v>3371</v>
      </c>
      <c r="AA33" s="2894" t="s">
        <v>3371</v>
      </c>
      <c r="AB33" s="2894" t="s">
        <v>3372</v>
      </c>
      <c r="AC33" s="2894" t="s">
        <v>3112</v>
      </c>
      <c r="AD33" s="2894" t="s">
        <v>3377</v>
      </c>
      <c r="AE33" s="2894" t="s">
        <v>2818</v>
      </c>
      <c r="AF33" s="2894">
        <v>216900</v>
      </c>
      <c r="AG33" s="2894">
        <v>272900</v>
      </c>
      <c r="AH33" s="2894">
        <v>2501.64</v>
      </c>
      <c r="AI33" s="2894">
        <v>3147.53</v>
      </c>
      <c r="AJ33" s="2894">
        <v>13401.66</v>
      </c>
      <c r="AK33" s="2894">
        <v>16861.75</v>
      </c>
      <c r="AL33" s="2894" t="s">
        <v>2818</v>
      </c>
      <c r="AM33" s="2894" t="s">
        <v>2818</v>
      </c>
      <c r="AN33" s="2894">
        <v>25.82</v>
      </c>
      <c r="AO33" s="2894" t="s">
        <v>3270</v>
      </c>
      <c r="AP33" s="2894" t="s">
        <v>2818</v>
      </c>
      <c r="AQ33" s="2894" t="s">
        <v>2818</v>
      </c>
      <c r="AR33" s="2894" t="s">
        <v>2818</v>
      </c>
      <c r="AS33" s="2894" t="s">
        <v>3365</v>
      </c>
    </row>
    <row r="34" spans="1:45">
      <c r="A34" s="2894" t="s">
        <v>3378</v>
      </c>
      <c r="B34" s="2894" t="s">
        <v>3094</v>
      </c>
      <c r="C34" s="2894" t="s">
        <v>3095</v>
      </c>
      <c r="D34" s="2894" t="s">
        <v>3096</v>
      </c>
      <c r="E34" s="2894" t="s">
        <v>2818</v>
      </c>
      <c r="F34" s="2894" t="s">
        <v>3379</v>
      </c>
      <c r="G34" s="2894" t="s">
        <v>3098</v>
      </c>
      <c r="H34" s="2894" t="s">
        <v>3380</v>
      </c>
      <c r="I34" s="2894" t="s">
        <v>3100</v>
      </c>
      <c r="J34" s="2894">
        <v>28060</v>
      </c>
      <c r="K34" s="2894">
        <v>61732</v>
      </c>
      <c r="L34" s="2894">
        <v>2.2000000000000002</v>
      </c>
      <c r="M34" s="2894" t="s">
        <v>2818</v>
      </c>
      <c r="N34" s="2894" t="s">
        <v>2818</v>
      </c>
      <c r="O34" s="2894" t="s">
        <v>2818</v>
      </c>
      <c r="P34" s="2894" t="s">
        <v>2818</v>
      </c>
      <c r="Q34" s="2894" t="s">
        <v>2818</v>
      </c>
      <c r="R34" s="2894" t="s">
        <v>2818</v>
      </c>
      <c r="S34" s="2894" t="s">
        <v>2818</v>
      </c>
      <c r="T34" s="2894" t="s">
        <v>3170</v>
      </c>
      <c r="U34" s="2894" t="s">
        <v>3178</v>
      </c>
      <c r="V34" s="2894" t="s">
        <v>2818</v>
      </c>
      <c r="W34" s="2894" t="s">
        <v>3264</v>
      </c>
      <c r="X34" s="2894" t="s">
        <v>3369</v>
      </c>
      <c r="Y34" s="2894" t="s">
        <v>3370</v>
      </c>
      <c r="Z34" s="2894" t="s">
        <v>3371</v>
      </c>
      <c r="AA34" s="2894" t="s">
        <v>3371</v>
      </c>
      <c r="AB34" s="2894" t="s">
        <v>3372</v>
      </c>
      <c r="AC34" s="2894" t="s">
        <v>3112</v>
      </c>
      <c r="AD34" s="2894" t="s">
        <v>3381</v>
      </c>
      <c r="AE34" s="2894" t="s">
        <v>2818</v>
      </c>
      <c r="AF34" s="2894">
        <v>94450</v>
      </c>
      <c r="AG34" s="2894">
        <v>141650</v>
      </c>
      <c r="AH34" s="2894">
        <v>2244</v>
      </c>
      <c r="AI34" s="2894">
        <v>3365.41</v>
      </c>
      <c r="AJ34" s="2894">
        <v>15300</v>
      </c>
      <c r="AK34" s="2894">
        <v>22945.95</v>
      </c>
      <c r="AL34" s="2894" t="s">
        <v>2818</v>
      </c>
      <c r="AM34" s="2894" t="s">
        <v>2818</v>
      </c>
      <c r="AN34" s="2894">
        <v>49.97</v>
      </c>
      <c r="AO34" s="2894" t="s">
        <v>3289</v>
      </c>
      <c r="AP34" s="2894">
        <v>23</v>
      </c>
      <c r="AQ34" s="2894" t="s">
        <v>2818</v>
      </c>
      <c r="AR34" s="2894" t="s">
        <v>2818</v>
      </c>
      <c r="AS34" s="2894" t="s">
        <v>3115</v>
      </c>
    </row>
    <row r="35" spans="1:45">
      <c r="A35" s="2894" t="s">
        <v>3382</v>
      </c>
      <c r="B35" s="2894" t="s">
        <v>3094</v>
      </c>
      <c r="C35" s="2894" t="s">
        <v>3095</v>
      </c>
      <c r="D35" s="2894" t="s">
        <v>3096</v>
      </c>
      <c r="E35" s="2894" t="s">
        <v>2818</v>
      </c>
      <c r="F35" s="2894" t="s">
        <v>3383</v>
      </c>
      <c r="G35" s="2894" t="s">
        <v>3098</v>
      </c>
      <c r="H35" s="2894" t="s">
        <v>3384</v>
      </c>
      <c r="I35" s="2894" t="s">
        <v>3385</v>
      </c>
      <c r="J35" s="2894">
        <v>19940</v>
      </c>
      <c r="K35" s="2894">
        <v>55832</v>
      </c>
      <c r="L35" s="2894">
        <v>2.8</v>
      </c>
      <c r="M35" s="2894" t="s">
        <v>2818</v>
      </c>
      <c r="N35" s="2894" t="s">
        <v>2818</v>
      </c>
      <c r="O35" s="2894" t="s">
        <v>2818</v>
      </c>
      <c r="P35" s="2894" t="s">
        <v>2818</v>
      </c>
      <c r="Q35" s="2894" t="s">
        <v>2818</v>
      </c>
      <c r="R35" s="2894" t="s">
        <v>2818</v>
      </c>
      <c r="S35" s="2894" t="s">
        <v>2818</v>
      </c>
      <c r="T35" s="2894" t="s">
        <v>3170</v>
      </c>
      <c r="U35" s="2894" t="s">
        <v>2818</v>
      </c>
      <c r="V35" s="2894" t="s">
        <v>2818</v>
      </c>
      <c r="W35" s="2894" t="s">
        <v>3264</v>
      </c>
      <c r="X35" s="2894" t="s">
        <v>3386</v>
      </c>
      <c r="Y35" s="2894" t="s">
        <v>3387</v>
      </c>
      <c r="Z35" s="2894" t="s">
        <v>3388</v>
      </c>
      <c r="AA35" s="2894" t="s">
        <v>3388</v>
      </c>
      <c r="AB35" s="2894" t="s">
        <v>3389</v>
      </c>
      <c r="AC35" s="2894" t="s">
        <v>3112</v>
      </c>
      <c r="AD35" s="2894" t="s">
        <v>3390</v>
      </c>
      <c r="AE35" s="2894" t="s">
        <v>2818</v>
      </c>
      <c r="AF35" s="2894">
        <v>11250</v>
      </c>
      <c r="AG35" s="2894">
        <v>11950</v>
      </c>
      <c r="AH35" s="2894">
        <v>376.13</v>
      </c>
      <c r="AI35" s="2894">
        <v>399.53</v>
      </c>
      <c r="AJ35" s="2894">
        <v>2014.97</v>
      </c>
      <c r="AK35" s="2894">
        <v>2140.34</v>
      </c>
      <c r="AL35" s="2894" t="s">
        <v>2818</v>
      </c>
      <c r="AM35" s="2894" t="s">
        <v>2818</v>
      </c>
      <c r="AN35" s="2894">
        <v>6.22</v>
      </c>
      <c r="AO35" s="2894" t="s">
        <v>3289</v>
      </c>
      <c r="AP35" s="2894" t="s">
        <v>2818</v>
      </c>
      <c r="AQ35" s="2894" t="s">
        <v>2818</v>
      </c>
      <c r="AR35" s="2894" t="s">
        <v>2818</v>
      </c>
      <c r="AS35" s="2894" t="s">
        <v>3240</v>
      </c>
    </row>
    <row r="36" spans="1:45">
      <c r="A36" s="2894" t="s">
        <v>3391</v>
      </c>
      <c r="B36" s="2894" t="s">
        <v>3094</v>
      </c>
      <c r="C36" s="2894" t="s">
        <v>3095</v>
      </c>
      <c r="D36" s="2894" t="s">
        <v>3096</v>
      </c>
      <c r="E36" s="2894" t="s">
        <v>2818</v>
      </c>
      <c r="F36" s="2894" t="s">
        <v>3392</v>
      </c>
      <c r="G36" s="2894" t="s">
        <v>3098</v>
      </c>
      <c r="H36" s="2894" t="s">
        <v>3393</v>
      </c>
      <c r="I36" s="2894" t="s">
        <v>3394</v>
      </c>
      <c r="J36" s="2894">
        <v>20253</v>
      </c>
      <c r="K36" s="2894">
        <v>56708.4</v>
      </c>
      <c r="L36" s="2894">
        <v>2.8</v>
      </c>
      <c r="M36" s="2894" t="s">
        <v>2818</v>
      </c>
      <c r="N36" s="2894" t="s">
        <v>2818</v>
      </c>
      <c r="O36" s="2894" t="s">
        <v>2818</v>
      </c>
      <c r="P36" s="2894" t="s">
        <v>2818</v>
      </c>
      <c r="Q36" s="2894" t="s">
        <v>2818</v>
      </c>
      <c r="R36" s="2894" t="s">
        <v>2818</v>
      </c>
      <c r="S36" s="2894" t="s">
        <v>2818</v>
      </c>
      <c r="T36" s="2894" t="s">
        <v>3170</v>
      </c>
      <c r="U36" s="2894" t="s">
        <v>3178</v>
      </c>
      <c r="V36" s="2894" t="s">
        <v>2818</v>
      </c>
      <c r="W36" s="2894" t="s">
        <v>3264</v>
      </c>
      <c r="X36" s="2894" t="s">
        <v>3386</v>
      </c>
      <c r="Y36" s="2894" t="s">
        <v>3387</v>
      </c>
      <c r="Z36" s="2894" t="s">
        <v>3388</v>
      </c>
      <c r="AA36" s="2894" t="s">
        <v>3388</v>
      </c>
      <c r="AB36" s="2894" t="s">
        <v>3389</v>
      </c>
      <c r="AC36" s="2894" t="s">
        <v>3112</v>
      </c>
      <c r="AD36" s="2894" t="s">
        <v>3395</v>
      </c>
      <c r="AE36" s="2894" t="s">
        <v>2818</v>
      </c>
      <c r="AF36" s="2894">
        <v>18000</v>
      </c>
      <c r="AG36" s="2894">
        <v>27000</v>
      </c>
      <c r="AH36" s="2894">
        <v>592.5</v>
      </c>
      <c r="AI36" s="2894">
        <v>888.76</v>
      </c>
      <c r="AJ36" s="2894">
        <v>3174.13</v>
      </c>
      <c r="AK36" s="2894">
        <v>4761.1899999999996</v>
      </c>
      <c r="AL36" s="2894" t="s">
        <v>2818</v>
      </c>
      <c r="AM36" s="2894" t="s">
        <v>2818</v>
      </c>
      <c r="AN36" s="2894">
        <v>50</v>
      </c>
      <c r="AO36" s="2894" t="s">
        <v>3289</v>
      </c>
      <c r="AP36" s="2894">
        <v>32</v>
      </c>
      <c r="AQ36" s="2894" t="s">
        <v>2818</v>
      </c>
      <c r="AR36" s="2894" t="s">
        <v>2818</v>
      </c>
      <c r="AS36" s="2894" t="s">
        <v>3240</v>
      </c>
    </row>
    <row r="37" spans="1:45">
      <c r="A37" s="2894" t="s">
        <v>3396</v>
      </c>
      <c r="B37" s="2894" t="s">
        <v>3094</v>
      </c>
      <c r="C37" s="2894" t="s">
        <v>3095</v>
      </c>
      <c r="D37" s="2894" t="s">
        <v>3096</v>
      </c>
      <c r="E37" s="2894" t="s">
        <v>2818</v>
      </c>
      <c r="F37" s="2894" t="s">
        <v>3397</v>
      </c>
      <c r="G37" s="2894" t="s">
        <v>3098</v>
      </c>
      <c r="H37" s="2894" t="s">
        <v>3398</v>
      </c>
      <c r="I37" s="2894" t="s">
        <v>3399</v>
      </c>
      <c r="J37" s="2894">
        <v>133203</v>
      </c>
      <c r="K37" s="2894">
        <v>134535</v>
      </c>
      <c r="L37" s="2894" t="s">
        <v>3400</v>
      </c>
      <c r="M37" s="2894" t="s">
        <v>2818</v>
      </c>
      <c r="N37" s="2894" t="s">
        <v>3122</v>
      </c>
      <c r="O37" s="2894" t="s">
        <v>3401</v>
      </c>
      <c r="P37" s="2894" t="s">
        <v>2818</v>
      </c>
      <c r="Q37" s="2894" t="s">
        <v>2818</v>
      </c>
      <c r="R37" s="2894" t="s">
        <v>2818</v>
      </c>
      <c r="S37" s="2894" t="s">
        <v>2818</v>
      </c>
      <c r="T37" s="2894" t="s">
        <v>3170</v>
      </c>
      <c r="U37" s="2894" t="s">
        <v>3178</v>
      </c>
      <c r="V37" s="2894" t="s">
        <v>2818</v>
      </c>
      <c r="W37" s="2894" t="s">
        <v>3264</v>
      </c>
      <c r="X37" s="2894" t="s">
        <v>3402</v>
      </c>
      <c r="Y37" s="2894" t="s">
        <v>3403</v>
      </c>
      <c r="Z37" s="2894" t="s">
        <v>3404</v>
      </c>
      <c r="AA37" s="2894" t="s">
        <v>3404</v>
      </c>
      <c r="AB37" s="2894" t="s">
        <v>3405</v>
      </c>
      <c r="AC37" s="2894" t="s">
        <v>3112</v>
      </c>
      <c r="AD37" s="2894" t="s">
        <v>3406</v>
      </c>
      <c r="AE37" s="2894">
        <v>20000</v>
      </c>
      <c r="AF37" s="2894">
        <v>236000</v>
      </c>
      <c r="AG37" s="2894">
        <v>401200</v>
      </c>
      <c r="AH37" s="2894">
        <v>1181.1500000000001</v>
      </c>
      <c r="AI37" s="2894">
        <v>2007.96</v>
      </c>
      <c r="AJ37" s="2894">
        <v>17541.900000000001</v>
      </c>
      <c r="AK37" s="2894">
        <v>29821.24</v>
      </c>
      <c r="AL37" s="2894" t="s">
        <v>2818</v>
      </c>
      <c r="AM37" s="2894" t="s">
        <v>2818</v>
      </c>
      <c r="AN37" s="2894">
        <v>70</v>
      </c>
      <c r="AO37" s="2894" t="s">
        <v>3289</v>
      </c>
      <c r="AP37" s="2894">
        <v>41</v>
      </c>
      <c r="AQ37" s="2894" t="s">
        <v>2818</v>
      </c>
      <c r="AR37" s="2894" t="s">
        <v>2818</v>
      </c>
      <c r="AS37" s="2894" t="s">
        <v>3124</v>
      </c>
    </row>
    <row r="38" spans="1:45">
      <c r="A38" s="2894" t="s">
        <v>3407</v>
      </c>
      <c r="B38" s="2894" t="s">
        <v>3094</v>
      </c>
      <c r="C38" s="2894" t="s">
        <v>3095</v>
      </c>
      <c r="D38" s="2894" t="s">
        <v>3096</v>
      </c>
      <c r="E38" s="2894" t="s">
        <v>2818</v>
      </c>
      <c r="F38" s="2894" t="s">
        <v>3408</v>
      </c>
      <c r="G38" s="2894" t="s">
        <v>3098</v>
      </c>
      <c r="H38" s="2894" t="s">
        <v>3409</v>
      </c>
      <c r="I38" s="2894" t="s">
        <v>3323</v>
      </c>
      <c r="J38" s="2894">
        <v>88404</v>
      </c>
      <c r="K38" s="2894">
        <v>194488.8</v>
      </c>
      <c r="L38" s="2894" t="s">
        <v>3410</v>
      </c>
      <c r="M38" s="2894" t="s">
        <v>2818</v>
      </c>
      <c r="N38" s="2894" t="s">
        <v>3229</v>
      </c>
      <c r="O38" s="2894" t="s">
        <v>3411</v>
      </c>
      <c r="P38" s="2894" t="s">
        <v>2818</v>
      </c>
      <c r="Q38" s="2894" t="s">
        <v>2818</v>
      </c>
      <c r="R38" s="2894" t="s">
        <v>2818</v>
      </c>
      <c r="S38" s="2894" t="s">
        <v>2818</v>
      </c>
      <c r="T38" s="2894" t="s">
        <v>3170</v>
      </c>
      <c r="U38" s="2894" t="s">
        <v>2818</v>
      </c>
      <c r="V38" s="2894" t="s">
        <v>2818</v>
      </c>
      <c r="W38" s="2894" t="s">
        <v>3264</v>
      </c>
      <c r="X38" s="2894" t="s">
        <v>3412</v>
      </c>
      <c r="Y38" s="2894" t="s">
        <v>3413</v>
      </c>
      <c r="Z38" s="2894" t="s">
        <v>3414</v>
      </c>
      <c r="AA38" s="2894" t="s">
        <v>3414</v>
      </c>
      <c r="AB38" s="2894" t="s">
        <v>3415</v>
      </c>
      <c r="AC38" s="2894" t="s">
        <v>3112</v>
      </c>
      <c r="AD38" s="2894" t="s">
        <v>3416</v>
      </c>
      <c r="AE38" s="2894">
        <v>11769</v>
      </c>
      <c r="AF38" s="2894">
        <v>117686</v>
      </c>
      <c r="AG38" s="2894">
        <v>198186</v>
      </c>
      <c r="AH38" s="2894">
        <v>887.49</v>
      </c>
      <c r="AI38" s="2894">
        <v>1494.55</v>
      </c>
      <c r="AJ38" s="2894">
        <v>6051.04</v>
      </c>
      <c r="AK38" s="2894">
        <v>10190.1</v>
      </c>
      <c r="AL38" s="2894" t="s">
        <v>2818</v>
      </c>
      <c r="AM38" s="2894" t="s">
        <v>2818</v>
      </c>
      <c r="AN38" s="2894">
        <v>68.400000000000006</v>
      </c>
      <c r="AO38" s="2894" t="s">
        <v>3417</v>
      </c>
      <c r="AP38" s="2894" t="s">
        <v>2818</v>
      </c>
      <c r="AQ38" s="2894" t="s">
        <v>2818</v>
      </c>
      <c r="AR38" s="2894" t="s">
        <v>2818</v>
      </c>
      <c r="AS38" s="2894" t="s">
        <v>3140</v>
      </c>
    </row>
    <row r="39" spans="1:45">
      <c r="A39" s="2894" t="s">
        <v>3418</v>
      </c>
      <c r="B39" s="2894" t="s">
        <v>3094</v>
      </c>
      <c r="C39" s="2894" t="s">
        <v>3095</v>
      </c>
      <c r="D39" s="2894" t="s">
        <v>3096</v>
      </c>
      <c r="E39" s="2894" t="s">
        <v>2818</v>
      </c>
      <c r="F39" s="2894" t="s">
        <v>3419</v>
      </c>
      <c r="G39" s="2894" t="s">
        <v>3098</v>
      </c>
      <c r="H39" s="2894" t="s">
        <v>3420</v>
      </c>
      <c r="I39" s="2894" t="s">
        <v>3136</v>
      </c>
      <c r="J39" s="2894">
        <v>25318</v>
      </c>
      <c r="K39" s="2894">
        <v>63295</v>
      </c>
      <c r="L39" s="2894">
        <v>2.5</v>
      </c>
      <c r="M39" s="2894" t="s">
        <v>2818</v>
      </c>
      <c r="N39" s="2894" t="s">
        <v>2818</v>
      </c>
      <c r="O39" s="2894" t="s">
        <v>2818</v>
      </c>
      <c r="P39" s="2894" t="s">
        <v>2818</v>
      </c>
      <c r="Q39" s="2894" t="s">
        <v>2818</v>
      </c>
      <c r="R39" s="2894" t="s">
        <v>2818</v>
      </c>
      <c r="S39" s="2894" t="s">
        <v>2818</v>
      </c>
      <c r="T39" s="2894" t="s">
        <v>3170</v>
      </c>
      <c r="U39" s="2894" t="s">
        <v>2818</v>
      </c>
      <c r="V39" s="2894" t="s">
        <v>2818</v>
      </c>
      <c r="W39" s="2894" t="s">
        <v>3264</v>
      </c>
      <c r="X39" s="2894" t="s">
        <v>3421</v>
      </c>
      <c r="Y39" s="2894" t="s">
        <v>3422</v>
      </c>
      <c r="Z39" s="2894" t="s">
        <v>3414</v>
      </c>
      <c r="AA39" s="2894" t="s">
        <v>3414</v>
      </c>
      <c r="AB39" s="2894" t="s">
        <v>3423</v>
      </c>
      <c r="AC39" s="2894" t="s">
        <v>3112</v>
      </c>
      <c r="AD39" s="2894" t="s">
        <v>3424</v>
      </c>
      <c r="AE39" s="2894" t="s">
        <v>2818</v>
      </c>
      <c r="AF39" s="2894">
        <v>74690</v>
      </c>
      <c r="AG39" s="2894">
        <v>111390</v>
      </c>
      <c r="AH39" s="2894">
        <v>1966.72</v>
      </c>
      <c r="AI39" s="2894">
        <v>2933.09</v>
      </c>
      <c r="AJ39" s="2894">
        <v>11800.29</v>
      </c>
      <c r="AK39" s="2894">
        <v>17598.54</v>
      </c>
      <c r="AL39" s="2894" t="s">
        <v>2818</v>
      </c>
      <c r="AM39" s="2894" t="s">
        <v>2818</v>
      </c>
      <c r="AN39" s="2894">
        <v>49.14</v>
      </c>
      <c r="AO39" s="2894" t="s">
        <v>3289</v>
      </c>
      <c r="AP39" s="2894" t="s">
        <v>2818</v>
      </c>
      <c r="AQ39" s="2894" t="s">
        <v>2818</v>
      </c>
      <c r="AR39" s="2894" t="s">
        <v>2818</v>
      </c>
      <c r="AS39" s="2894" t="s">
        <v>3124</v>
      </c>
    </row>
    <row r="40" spans="1:45">
      <c r="A40" s="2894" t="s">
        <v>3407</v>
      </c>
      <c r="B40" s="2894" t="s">
        <v>3094</v>
      </c>
      <c r="C40" s="2894" t="s">
        <v>3095</v>
      </c>
      <c r="D40" s="2894" t="s">
        <v>3096</v>
      </c>
      <c r="E40" s="2894" t="s">
        <v>2818</v>
      </c>
      <c r="F40" s="2894" t="s">
        <v>3425</v>
      </c>
      <c r="G40" s="2894" t="s">
        <v>3098</v>
      </c>
      <c r="H40" s="2894" t="s">
        <v>3426</v>
      </c>
      <c r="I40" s="2894" t="s">
        <v>3427</v>
      </c>
      <c r="J40" s="2894">
        <v>4349</v>
      </c>
      <c r="K40" s="2894">
        <v>12177.2</v>
      </c>
      <c r="L40" s="2894" t="s">
        <v>3428</v>
      </c>
      <c r="M40" s="2894" t="s">
        <v>2818</v>
      </c>
      <c r="N40" s="2894" t="s">
        <v>3188</v>
      </c>
      <c r="O40" s="2894" t="s">
        <v>3103</v>
      </c>
      <c r="P40" s="2894" t="s">
        <v>2818</v>
      </c>
      <c r="Q40" s="2894" t="s">
        <v>2818</v>
      </c>
      <c r="R40" s="2894" t="s">
        <v>2818</v>
      </c>
      <c r="S40" s="2894" t="s">
        <v>2818</v>
      </c>
      <c r="T40" s="2894" t="s">
        <v>3170</v>
      </c>
      <c r="U40" s="2894" t="s">
        <v>2818</v>
      </c>
      <c r="V40" s="2894" t="s">
        <v>2818</v>
      </c>
      <c r="W40" s="2894" t="s">
        <v>3264</v>
      </c>
      <c r="X40" s="2894" t="s">
        <v>3412</v>
      </c>
      <c r="Y40" s="2894" t="s">
        <v>3413</v>
      </c>
      <c r="Z40" s="2894" t="s">
        <v>3414</v>
      </c>
      <c r="AA40" s="2894" t="s">
        <v>3414</v>
      </c>
      <c r="AB40" s="2894" t="s">
        <v>3415</v>
      </c>
      <c r="AC40" s="2894" t="s">
        <v>3112</v>
      </c>
      <c r="AD40" s="2894" t="s">
        <v>3424</v>
      </c>
      <c r="AE40" s="2894">
        <v>2136</v>
      </c>
      <c r="AF40" s="2894">
        <v>7393</v>
      </c>
      <c r="AG40" s="2894">
        <v>10693</v>
      </c>
      <c r="AH40" s="2894">
        <v>1133.29</v>
      </c>
      <c r="AI40" s="2894">
        <v>1639.15</v>
      </c>
      <c r="AJ40" s="2894">
        <v>6071.18</v>
      </c>
      <c r="AK40" s="2894">
        <v>8781.15</v>
      </c>
      <c r="AL40" s="2894" t="s">
        <v>2818</v>
      </c>
      <c r="AM40" s="2894" t="s">
        <v>2818</v>
      </c>
      <c r="AN40" s="2894">
        <v>44.64</v>
      </c>
      <c r="AO40" s="2894" t="s">
        <v>3417</v>
      </c>
      <c r="AP40" s="2894" t="s">
        <v>2818</v>
      </c>
      <c r="AQ40" s="2894" t="s">
        <v>2818</v>
      </c>
      <c r="AR40" s="2894" t="s">
        <v>2818</v>
      </c>
      <c r="AS40" s="2894" t="s">
        <v>3140</v>
      </c>
    </row>
    <row r="41" spans="1:45">
      <c r="A41" s="2894" t="s">
        <v>3429</v>
      </c>
      <c r="B41" s="2894" t="s">
        <v>3094</v>
      </c>
      <c r="C41" s="2894" t="s">
        <v>3095</v>
      </c>
      <c r="D41" s="2894" t="s">
        <v>3096</v>
      </c>
      <c r="E41" s="2894" t="s">
        <v>2818</v>
      </c>
      <c r="F41" s="2894" t="s">
        <v>3430</v>
      </c>
      <c r="G41" s="2894" t="s">
        <v>3098</v>
      </c>
      <c r="H41" s="2894" t="s">
        <v>3431</v>
      </c>
      <c r="I41" s="2894" t="s">
        <v>3299</v>
      </c>
      <c r="J41" s="2894">
        <v>57353</v>
      </c>
      <c r="K41" s="2894">
        <v>143382.5</v>
      </c>
      <c r="L41" s="2894">
        <v>2.5</v>
      </c>
      <c r="M41" s="2894" t="s">
        <v>2818</v>
      </c>
      <c r="N41" s="2894" t="s">
        <v>2818</v>
      </c>
      <c r="O41" s="2894" t="s">
        <v>2818</v>
      </c>
      <c r="P41" s="2894" t="s">
        <v>2818</v>
      </c>
      <c r="Q41" s="2894" t="s">
        <v>2818</v>
      </c>
      <c r="R41" s="2894" t="s">
        <v>2818</v>
      </c>
      <c r="S41" s="2894" t="s">
        <v>2818</v>
      </c>
      <c r="T41" s="2894" t="s">
        <v>3170</v>
      </c>
      <c r="U41" s="2894" t="s">
        <v>2818</v>
      </c>
      <c r="V41" s="2894" t="s">
        <v>2818</v>
      </c>
      <c r="W41" s="2894" t="s">
        <v>3264</v>
      </c>
      <c r="X41" s="2894" t="s">
        <v>3421</v>
      </c>
      <c r="Y41" s="2894" t="s">
        <v>3422</v>
      </c>
      <c r="Z41" s="2894" t="s">
        <v>3414</v>
      </c>
      <c r="AA41" s="2894" t="s">
        <v>3414</v>
      </c>
      <c r="AB41" s="2894" t="s">
        <v>3423</v>
      </c>
      <c r="AC41" s="2894" t="s">
        <v>3112</v>
      </c>
      <c r="AD41" s="2894" t="s">
        <v>3432</v>
      </c>
      <c r="AE41" s="2894" t="s">
        <v>2818</v>
      </c>
      <c r="AF41" s="2894">
        <v>100370</v>
      </c>
      <c r="AG41" s="2894">
        <v>153870</v>
      </c>
      <c r="AH41" s="2894">
        <v>1166.69</v>
      </c>
      <c r="AI41" s="2894">
        <v>1788.57</v>
      </c>
      <c r="AJ41" s="2894">
        <v>7000.15</v>
      </c>
      <c r="AK41" s="2894">
        <v>10731.44</v>
      </c>
      <c r="AL41" s="2894" t="s">
        <v>2818</v>
      </c>
      <c r="AM41" s="2894" t="s">
        <v>2818</v>
      </c>
      <c r="AN41" s="2894">
        <v>53.3</v>
      </c>
      <c r="AO41" s="2894" t="s">
        <v>3289</v>
      </c>
      <c r="AP41" s="2894" t="s">
        <v>2818</v>
      </c>
      <c r="AQ41" s="2894" t="s">
        <v>2818</v>
      </c>
      <c r="AR41" s="2894" t="s">
        <v>2818</v>
      </c>
      <c r="AS41" s="2894" t="s">
        <v>3240</v>
      </c>
    </row>
    <row r="42" spans="1:45">
      <c r="A42" s="2894" t="s">
        <v>3433</v>
      </c>
      <c r="B42" s="2894" t="s">
        <v>3094</v>
      </c>
      <c r="C42" s="2894" t="s">
        <v>3095</v>
      </c>
      <c r="D42" s="2894" t="s">
        <v>3096</v>
      </c>
      <c r="E42" s="2894" t="s">
        <v>2818</v>
      </c>
      <c r="F42" s="2894" t="s">
        <v>3434</v>
      </c>
      <c r="G42" s="2894" t="s">
        <v>3098</v>
      </c>
      <c r="H42" s="2894" t="s">
        <v>3435</v>
      </c>
      <c r="I42" s="2894" t="s">
        <v>3120</v>
      </c>
      <c r="J42" s="2894">
        <v>30739</v>
      </c>
      <c r="K42" s="2894">
        <v>92217</v>
      </c>
      <c r="L42" s="2894">
        <v>3</v>
      </c>
      <c r="M42" s="2894" t="s">
        <v>2818</v>
      </c>
      <c r="N42" s="2894" t="s">
        <v>2818</v>
      </c>
      <c r="O42" s="2894" t="s">
        <v>2818</v>
      </c>
      <c r="P42" s="2894" t="s">
        <v>2818</v>
      </c>
      <c r="Q42" s="2894" t="s">
        <v>2818</v>
      </c>
      <c r="R42" s="2894" t="s">
        <v>2818</v>
      </c>
      <c r="S42" s="2894" t="s">
        <v>2818</v>
      </c>
      <c r="T42" s="2894" t="s">
        <v>3170</v>
      </c>
      <c r="U42" s="2894" t="s">
        <v>2818</v>
      </c>
      <c r="V42" s="2894" t="s">
        <v>2818</v>
      </c>
      <c r="W42" s="2894" t="s">
        <v>3264</v>
      </c>
      <c r="X42" s="2894" t="s">
        <v>3421</v>
      </c>
      <c r="Y42" s="2894" t="s">
        <v>3422</v>
      </c>
      <c r="Z42" s="2894" t="s">
        <v>3414</v>
      </c>
      <c r="AA42" s="2894" t="s">
        <v>3414</v>
      </c>
      <c r="AB42" s="2894" t="s">
        <v>3423</v>
      </c>
      <c r="AC42" s="2894" t="s">
        <v>3112</v>
      </c>
      <c r="AD42" s="2894" t="s">
        <v>3436</v>
      </c>
      <c r="AE42" s="2894" t="s">
        <v>2818</v>
      </c>
      <c r="AF42" s="2894">
        <v>108820</v>
      </c>
      <c r="AG42" s="2894">
        <v>164420</v>
      </c>
      <c r="AH42" s="2894">
        <v>2360.09</v>
      </c>
      <c r="AI42" s="2894">
        <v>3565.94</v>
      </c>
      <c r="AJ42" s="2894">
        <v>11800.42</v>
      </c>
      <c r="AK42" s="2894">
        <v>17829.68</v>
      </c>
      <c r="AL42" s="2894" t="s">
        <v>2818</v>
      </c>
      <c r="AM42" s="2894" t="s">
        <v>2818</v>
      </c>
      <c r="AN42" s="2894">
        <v>51.09</v>
      </c>
      <c r="AO42" s="2894" t="s">
        <v>3289</v>
      </c>
      <c r="AP42" s="2894" t="s">
        <v>2818</v>
      </c>
      <c r="AQ42" s="2894" t="s">
        <v>2818</v>
      </c>
      <c r="AR42" s="2894" t="s">
        <v>2818</v>
      </c>
      <c r="AS42" s="2894" t="s">
        <v>3115</v>
      </c>
    </row>
    <row r="43" spans="1:45">
      <c r="A43" s="2894" t="s">
        <v>3407</v>
      </c>
      <c r="B43" s="2894" t="s">
        <v>3094</v>
      </c>
      <c r="C43" s="2894" t="s">
        <v>3095</v>
      </c>
      <c r="D43" s="2894" t="s">
        <v>3096</v>
      </c>
      <c r="E43" s="2894" t="s">
        <v>2818</v>
      </c>
      <c r="F43" s="2894" t="s">
        <v>3437</v>
      </c>
      <c r="G43" s="2894" t="s">
        <v>3098</v>
      </c>
      <c r="H43" s="2894" t="s">
        <v>3438</v>
      </c>
      <c r="I43" s="2894" t="s">
        <v>3323</v>
      </c>
      <c r="J43" s="2894">
        <v>29341</v>
      </c>
      <c r="K43" s="2894">
        <v>35209.199999999997</v>
      </c>
      <c r="L43" s="2894" t="s">
        <v>3439</v>
      </c>
      <c r="M43" s="2894" t="s">
        <v>2818</v>
      </c>
      <c r="N43" s="2894" t="s">
        <v>3122</v>
      </c>
      <c r="O43" s="2894" t="s">
        <v>3440</v>
      </c>
      <c r="P43" s="2894" t="s">
        <v>2818</v>
      </c>
      <c r="Q43" s="2894" t="s">
        <v>2818</v>
      </c>
      <c r="R43" s="2894" t="s">
        <v>2818</v>
      </c>
      <c r="S43" s="2894" t="s">
        <v>2818</v>
      </c>
      <c r="T43" s="2894" t="s">
        <v>3170</v>
      </c>
      <c r="U43" s="2894" t="s">
        <v>3178</v>
      </c>
      <c r="V43" s="2894" t="s">
        <v>2818</v>
      </c>
      <c r="W43" s="2894" t="s">
        <v>3264</v>
      </c>
      <c r="X43" s="2894" t="s">
        <v>3412</v>
      </c>
      <c r="Y43" s="2894" t="s">
        <v>3413</v>
      </c>
      <c r="Z43" s="2894" t="s">
        <v>3414</v>
      </c>
      <c r="AA43" s="2894" t="s">
        <v>3414</v>
      </c>
      <c r="AB43" s="2894" t="s">
        <v>3415</v>
      </c>
      <c r="AC43" s="2894" t="s">
        <v>3112</v>
      </c>
      <c r="AD43" s="2894" t="s">
        <v>3441</v>
      </c>
      <c r="AE43" s="2894">
        <v>2136</v>
      </c>
      <c r="AF43" s="2894">
        <v>21355</v>
      </c>
      <c r="AG43" s="2894">
        <v>36255</v>
      </c>
      <c r="AH43" s="2894">
        <v>485.21</v>
      </c>
      <c r="AI43" s="2894">
        <v>823.76</v>
      </c>
      <c r="AJ43" s="2894">
        <v>6065.17</v>
      </c>
      <c r="AK43" s="2894">
        <v>10297.02</v>
      </c>
      <c r="AL43" s="2894" t="s">
        <v>2818</v>
      </c>
      <c r="AM43" s="2894" t="s">
        <v>2818</v>
      </c>
      <c r="AN43" s="2894">
        <v>69.77</v>
      </c>
      <c r="AO43" s="2894" t="s">
        <v>3417</v>
      </c>
      <c r="AP43" s="2894">
        <v>6</v>
      </c>
      <c r="AQ43" s="2894" t="s">
        <v>2818</v>
      </c>
      <c r="AR43" s="2894" t="s">
        <v>2818</v>
      </c>
      <c r="AS43" s="2894" t="s">
        <v>3124</v>
      </c>
    </row>
    <row r="44" spans="1:45">
      <c r="A44" s="2894" t="s">
        <v>3442</v>
      </c>
      <c r="B44" s="2894" t="s">
        <v>3094</v>
      </c>
      <c r="C44" s="2894" t="s">
        <v>3095</v>
      </c>
      <c r="D44" s="2894" t="s">
        <v>3096</v>
      </c>
      <c r="E44" s="2894" t="s">
        <v>2818</v>
      </c>
      <c r="F44" s="2894" t="s">
        <v>3443</v>
      </c>
      <c r="G44" s="2894" t="s">
        <v>3098</v>
      </c>
      <c r="H44" s="2894" t="s">
        <v>3444</v>
      </c>
      <c r="I44" s="2894" t="s">
        <v>3445</v>
      </c>
      <c r="J44" s="2894">
        <v>88503</v>
      </c>
      <c r="K44" s="2894">
        <v>141605</v>
      </c>
      <c r="L44" s="2894" t="s">
        <v>3446</v>
      </c>
      <c r="M44" s="2894" t="s">
        <v>2818</v>
      </c>
      <c r="N44" s="2894" t="s">
        <v>3122</v>
      </c>
      <c r="O44" s="2894" t="s">
        <v>3246</v>
      </c>
      <c r="P44" s="2894" t="s">
        <v>2818</v>
      </c>
      <c r="Q44" s="2894" t="s">
        <v>2818</v>
      </c>
      <c r="R44" s="2894" t="s">
        <v>2818</v>
      </c>
      <c r="S44" s="2894" t="s">
        <v>2818</v>
      </c>
      <c r="T44" s="2894" t="s">
        <v>3170</v>
      </c>
      <c r="U44" s="2894" t="s">
        <v>2818</v>
      </c>
      <c r="V44" s="2894" t="s">
        <v>2818</v>
      </c>
      <c r="W44" s="2894" t="s">
        <v>3264</v>
      </c>
      <c r="X44" s="2894" t="s">
        <v>3447</v>
      </c>
      <c r="Y44" s="2894" t="s">
        <v>3448</v>
      </c>
      <c r="Z44" s="2894" t="s">
        <v>3449</v>
      </c>
      <c r="AA44" s="2894" t="s">
        <v>3449</v>
      </c>
      <c r="AB44" s="2894" t="s">
        <v>3450</v>
      </c>
      <c r="AC44" s="2894" t="s">
        <v>3112</v>
      </c>
      <c r="AD44" s="2894" t="s">
        <v>3451</v>
      </c>
      <c r="AE44" s="2894">
        <v>20000</v>
      </c>
      <c r="AF44" s="2894">
        <v>191200</v>
      </c>
      <c r="AG44" s="2894">
        <v>197300</v>
      </c>
      <c r="AH44" s="2894">
        <v>1440.25</v>
      </c>
      <c r="AI44" s="2894">
        <v>1486.2</v>
      </c>
      <c r="AJ44" s="2894">
        <v>13502.34</v>
      </c>
      <c r="AK44" s="2894">
        <v>13933.12</v>
      </c>
      <c r="AL44" s="2894" t="s">
        <v>2818</v>
      </c>
      <c r="AM44" s="2894" t="s">
        <v>2818</v>
      </c>
      <c r="AN44" s="2894">
        <v>3.19</v>
      </c>
      <c r="AO44" s="2894" t="s">
        <v>3452</v>
      </c>
      <c r="AP44" s="2894" t="s">
        <v>2818</v>
      </c>
      <c r="AQ44" s="2894" t="s">
        <v>2818</v>
      </c>
      <c r="AR44" s="2894" t="s">
        <v>2818</v>
      </c>
      <c r="AS44" s="2894" t="s">
        <v>3365</v>
      </c>
    </row>
    <row r="45" spans="1:45">
      <c r="A45" s="2894" t="s">
        <v>3453</v>
      </c>
      <c r="B45" s="2894" t="s">
        <v>3094</v>
      </c>
      <c r="C45" s="2894" t="s">
        <v>3117</v>
      </c>
      <c r="D45" s="2894" t="s">
        <v>3096</v>
      </c>
      <c r="E45" s="2894" t="s">
        <v>2818</v>
      </c>
      <c r="F45" s="2894" t="s">
        <v>3454</v>
      </c>
      <c r="G45" s="2894" t="s">
        <v>3098</v>
      </c>
      <c r="H45" s="2894" t="s">
        <v>3455</v>
      </c>
      <c r="I45" s="2894" t="s">
        <v>3100</v>
      </c>
      <c r="J45" s="2894">
        <v>70129</v>
      </c>
      <c r="K45" s="2894">
        <v>196361.2</v>
      </c>
      <c r="L45" s="2894" t="s">
        <v>3456</v>
      </c>
      <c r="M45" s="2894" t="s">
        <v>2818</v>
      </c>
      <c r="N45" s="2894" t="s">
        <v>3229</v>
      </c>
      <c r="O45" s="2894" t="s">
        <v>3457</v>
      </c>
      <c r="P45" s="2894" t="s">
        <v>2818</v>
      </c>
      <c r="Q45" s="2894" t="s">
        <v>2818</v>
      </c>
      <c r="R45" s="2894" t="s">
        <v>2818</v>
      </c>
      <c r="S45" s="2894" t="s">
        <v>2818</v>
      </c>
      <c r="T45" s="2894" t="s">
        <v>3170</v>
      </c>
      <c r="U45" s="2894" t="s">
        <v>3178</v>
      </c>
      <c r="V45" s="2894" t="s">
        <v>2818</v>
      </c>
      <c r="W45" s="2894" t="s">
        <v>3264</v>
      </c>
      <c r="X45" s="2894" t="s">
        <v>3458</v>
      </c>
      <c r="Y45" s="2894" t="s">
        <v>3459</v>
      </c>
      <c r="Z45" s="2894" t="s">
        <v>3460</v>
      </c>
      <c r="AA45" s="2894" t="s">
        <v>3460</v>
      </c>
      <c r="AB45" s="2894" t="s">
        <v>3461</v>
      </c>
      <c r="AC45" s="2894" t="s">
        <v>3112</v>
      </c>
      <c r="AD45" s="2894" t="s">
        <v>3462</v>
      </c>
      <c r="AE45" s="2894">
        <v>20000</v>
      </c>
      <c r="AF45" s="2894">
        <v>231700</v>
      </c>
      <c r="AG45" s="2894">
        <v>393890</v>
      </c>
      <c r="AH45" s="2894">
        <v>2202.61</v>
      </c>
      <c r="AI45" s="2894">
        <v>3744.43</v>
      </c>
      <c r="AJ45" s="2894">
        <v>11799.68</v>
      </c>
      <c r="AK45" s="2894">
        <v>20059.45</v>
      </c>
      <c r="AL45" s="2894" t="s">
        <v>2818</v>
      </c>
      <c r="AM45" s="2894" t="s">
        <v>2818</v>
      </c>
      <c r="AN45" s="2894">
        <v>70</v>
      </c>
      <c r="AO45" s="2894" t="s">
        <v>3163</v>
      </c>
      <c r="AP45" s="2894">
        <v>8</v>
      </c>
      <c r="AQ45" s="2894" t="s">
        <v>2818</v>
      </c>
      <c r="AR45" s="2894" t="s">
        <v>2818</v>
      </c>
      <c r="AS45" s="2894" t="s">
        <v>3124</v>
      </c>
    </row>
    <row r="46" spans="1:45">
      <c r="A46" s="2894" t="s">
        <v>3463</v>
      </c>
      <c r="B46" s="2894" t="s">
        <v>3094</v>
      </c>
      <c r="C46" s="2894" t="s">
        <v>3095</v>
      </c>
      <c r="D46" s="2894" t="s">
        <v>3096</v>
      </c>
      <c r="E46" s="2894" t="s">
        <v>2818</v>
      </c>
      <c r="F46" s="2894" t="s">
        <v>3464</v>
      </c>
      <c r="G46" s="2894" t="s">
        <v>3098</v>
      </c>
      <c r="H46" s="2894" t="s">
        <v>3465</v>
      </c>
      <c r="I46" s="2894" t="s">
        <v>3466</v>
      </c>
      <c r="J46" s="2894">
        <v>143152</v>
      </c>
      <c r="K46" s="2894">
        <v>348216.2</v>
      </c>
      <c r="L46" s="2894" t="s">
        <v>3467</v>
      </c>
      <c r="M46" s="2894" t="s">
        <v>2818</v>
      </c>
      <c r="N46" s="2894" t="s">
        <v>3468</v>
      </c>
      <c r="O46" s="2894" t="s">
        <v>3469</v>
      </c>
      <c r="P46" s="2894" t="s">
        <v>2818</v>
      </c>
      <c r="Q46" s="2894" t="s">
        <v>2818</v>
      </c>
      <c r="R46" s="2894" t="s">
        <v>2818</v>
      </c>
      <c r="S46" s="2894" t="s">
        <v>2818</v>
      </c>
      <c r="T46" s="2894" t="s">
        <v>3170</v>
      </c>
      <c r="U46" s="2894" t="s">
        <v>2818</v>
      </c>
      <c r="V46" s="2894" t="s">
        <v>2818</v>
      </c>
      <c r="W46" s="2894" t="s">
        <v>3264</v>
      </c>
      <c r="X46" s="2894" t="s">
        <v>3470</v>
      </c>
      <c r="Y46" s="2894" t="s">
        <v>3471</v>
      </c>
      <c r="Z46" s="2894" t="s">
        <v>3472</v>
      </c>
      <c r="AA46" s="2894" t="s">
        <v>3472</v>
      </c>
      <c r="AB46" s="2894" t="s">
        <v>3473</v>
      </c>
      <c r="AC46" s="2894" t="s">
        <v>3112</v>
      </c>
      <c r="AD46" s="2894" t="s">
        <v>3474</v>
      </c>
      <c r="AE46" s="2894">
        <v>17394</v>
      </c>
      <c r="AF46" s="2894">
        <v>173934</v>
      </c>
      <c r="AG46" s="2894">
        <v>282300</v>
      </c>
      <c r="AH46" s="2894">
        <v>810.02</v>
      </c>
      <c r="AI46" s="2894">
        <v>1314.69</v>
      </c>
      <c r="AJ46" s="2894">
        <v>4995</v>
      </c>
      <c r="AK46" s="2894">
        <v>8107.02</v>
      </c>
      <c r="AL46" s="2894" t="s">
        <v>2818</v>
      </c>
      <c r="AM46" s="2894" t="s">
        <v>2818</v>
      </c>
      <c r="AN46" s="2894">
        <v>62.3</v>
      </c>
      <c r="AO46" s="2894" t="s">
        <v>3172</v>
      </c>
      <c r="AP46" s="2894" t="s">
        <v>2818</v>
      </c>
      <c r="AQ46" s="2894" t="s">
        <v>2818</v>
      </c>
      <c r="AR46" s="2894" t="s">
        <v>2818</v>
      </c>
      <c r="AS46" s="2894" t="s">
        <v>3140</v>
      </c>
    </row>
    <row r="47" spans="1:45">
      <c r="A47" s="2894" t="s">
        <v>3475</v>
      </c>
      <c r="B47" s="2894" t="s">
        <v>3094</v>
      </c>
      <c r="C47" s="2894" t="s">
        <v>3117</v>
      </c>
      <c r="D47" s="2894" t="s">
        <v>3096</v>
      </c>
      <c r="E47" s="2894" t="s">
        <v>2818</v>
      </c>
      <c r="F47" s="2894" t="s">
        <v>3476</v>
      </c>
      <c r="G47" s="2894" t="s">
        <v>3098</v>
      </c>
      <c r="H47" s="2894" t="s">
        <v>3477</v>
      </c>
      <c r="I47" s="2894" t="s">
        <v>3117</v>
      </c>
      <c r="J47" s="2894">
        <v>38232</v>
      </c>
      <c r="K47" s="2894">
        <v>61171.199999999997</v>
      </c>
      <c r="L47" s="2894" t="s">
        <v>3446</v>
      </c>
      <c r="M47" s="2894" t="s">
        <v>2818</v>
      </c>
      <c r="N47" s="2894" t="s">
        <v>3229</v>
      </c>
      <c r="O47" s="2894" t="s">
        <v>3246</v>
      </c>
      <c r="P47" s="2894" t="s">
        <v>2818</v>
      </c>
      <c r="Q47" s="2894" t="s">
        <v>2818</v>
      </c>
      <c r="R47" s="2894" t="s">
        <v>2818</v>
      </c>
      <c r="S47" s="2894" t="s">
        <v>2818</v>
      </c>
      <c r="T47" s="2894" t="s">
        <v>3170</v>
      </c>
      <c r="U47" s="2894" t="s">
        <v>3178</v>
      </c>
      <c r="V47" s="2894" t="s">
        <v>2818</v>
      </c>
      <c r="W47" s="2894" t="s">
        <v>3264</v>
      </c>
      <c r="X47" s="2894" t="s">
        <v>3470</v>
      </c>
      <c r="Y47" s="2894" t="s">
        <v>3471</v>
      </c>
      <c r="Z47" s="2894" t="s">
        <v>3472</v>
      </c>
      <c r="AA47" s="2894" t="s">
        <v>3472</v>
      </c>
      <c r="AB47" s="2894" t="s">
        <v>3473</v>
      </c>
      <c r="AC47" s="2894" t="s">
        <v>3112</v>
      </c>
      <c r="AD47" s="2894" t="s">
        <v>3478</v>
      </c>
      <c r="AE47" s="2894">
        <v>3057</v>
      </c>
      <c r="AF47" s="2894">
        <v>30568</v>
      </c>
      <c r="AG47" s="2894">
        <v>51965</v>
      </c>
      <c r="AH47" s="2894">
        <v>533.03</v>
      </c>
      <c r="AI47" s="2894">
        <v>906.13</v>
      </c>
      <c r="AJ47" s="2894">
        <v>4997.12</v>
      </c>
      <c r="AK47" s="2894">
        <v>8495.01</v>
      </c>
      <c r="AL47" s="2894" t="s">
        <v>2818</v>
      </c>
      <c r="AM47" s="2894" t="s">
        <v>2818</v>
      </c>
      <c r="AN47" s="2894">
        <v>70</v>
      </c>
      <c r="AO47" s="2894" t="s">
        <v>3163</v>
      </c>
      <c r="AP47" s="2894">
        <v>41</v>
      </c>
      <c r="AQ47" s="2894" t="s">
        <v>2818</v>
      </c>
      <c r="AR47" s="2894" t="s">
        <v>2818</v>
      </c>
      <c r="AS47" s="2894" t="s">
        <v>3140</v>
      </c>
    </row>
    <row r="48" spans="1:45">
      <c r="A48" s="2894" t="s">
        <v>3479</v>
      </c>
      <c r="B48" s="2894" t="s">
        <v>3094</v>
      </c>
      <c r="C48" s="2894" t="s">
        <v>3095</v>
      </c>
      <c r="D48" s="2894" t="s">
        <v>3096</v>
      </c>
      <c r="E48" s="2894" t="s">
        <v>2818</v>
      </c>
      <c r="F48" s="2894" t="s">
        <v>3480</v>
      </c>
      <c r="G48" s="2894" t="s">
        <v>3098</v>
      </c>
      <c r="H48" s="2894" t="s">
        <v>3481</v>
      </c>
      <c r="I48" s="2894" t="s">
        <v>3482</v>
      </c>
      <c r="J48" s="2894">
        <v>106872</v>
      </c>
      <c r="K48" s="2894">
        <v>277867.2</v>
      </c>
      <c r="L48" s="2894" t="s">
        <v>3483</v>
      </c>
      <c r="M48" s="2894" t="s">
        <v>2818</v>
      </c>
      <c r="N48" s="2894" t="s">
        <v>3229</v>
      </c>
      <c r="O48" s="2894" t="s">
        <v>3209</v>
      </c>
      <c r="P48" s="2894" t="s">
        <v>2818</v>
      </c>
      <c r="Q48" s="2894" t="s">
        <v>2818</v>
      </c>
      <c r="R48" s="2894" t="s">
        <v>2818</v>
      </c>
      <c r="S48" s="2894" t="s">
        <v>2818</v>
      </c>
      <c r="T48" s="2894" t="s">
        <v>3170</v>
      </c>
      <c r="U48" s="2894" t="s">
        <v>3178</v>
      </c>
      <c r="V48" s="2894" t="s">
        <v>2818</v>
      </c>
      <c r="W48" s="2894" t="s">
        <v>3264</v>
      </c>
      <c r="X48" s="2894" t="s">
        <v>3484</v>
      </c>
      <c r="Y48" s="2894" t="s">
        <v>3485</v>
      </c>
      <c r="Z48" s="2894" t="s">
        <v>3486</v>
      </c>
      <c r="AA48" s="2894" t="s">
        <v>3486</v>
      </c>
      <c r="AB48" s="2894" t="s">
        <v>3487</v>
      </c>
      <c r="AC48" s="2894" t="s">
        <v>3112</v>
      </c>
      <c r="AD48" s="2894" t="s">
        <v>3488</v>
      </c>
      <c r="AE48" s="2894">
        <v>20000</v>
      </c>
      <c r="AF48" s="2894">
        <v>375120</v>
      </c>
      <c r="AG48" s="2894">
        <v>637704</v>
      </c>
      <c r="AH48" s="2894">
        <v>2340</v>
      </c>
      <c r="AI48" s="2894">
        <v>3977.99</v>
      </c>
      <c r="AJ48" s="2894">
        <v>13499.97</v>
      </c>
      <c r="AK48" s="2894">
        <v>22949.95</v>
      </c>
      <c r="AL48" s="2894" t="s">
        <v>2818</v>
      </c>
      <c r="AM48" s="2894" t="s">
        <v>2818</v>
      </c>
      <c r="AN48" s="2894">
        <v>70</v>
      </c>
      <c r="AO48" s="2894" t="s">
        <v>3452</v>
      </c>
      <c r="AP48" s="2894">
        <v>7</v>
      </c>
      <c r="AQ48" s="2894" t="s">
        <v>2818</v>
      </c>
      <c r="AR48" s="2894" t="s">
        <v>2818</v>
      </c>
      <c r="AS48" s="2894" t="s">
        <v>3124</v>
      </c>
    </row>
    <row r="49" spans="1:45">
      <c r="A49" s="2894" t="s">
        <v>3489</v>
      </c>
      <c r="B49" s="2894" t="s">
        <v>3094</v>
      </c>
      <c r="C49" s="2894" t="s">
        <v>3095</v>
      </c>
      <c r="D49" s="2894" t="s">
        <v>3096</v>
      </c>
      <c r="E49" s="2894" t="s">
        <v>2818</v>
      </c>
      <c r="F49" s="2894" t="s">
        <v>3490</v>
      </c>
      <c r="G49" s="2894" t="s">
        <v>3098</v>
      </c>
      <c r="H49" s="2894" t="s">
        <v>3491</v>
      </c>
      <c r="I49" s="2894" t="s">
        <v>3227</v>
      </c>
      <c r="J49" s="2894">
        <v>46353</v>
      </c>
      <c r="K49" s="2894">
        <v>115882.5</v>
      </c>
      <c r="L49" s="2894" t="s">
        <v>3324</v>
      </c>
      <c r="M49" s="2894" t="s">
        <v>2818</v>
      </c>
      <c r="N49" s="2894" t="s">
        <v>3314</v>
      </c>
      <c r="O49" s="2894" t="s">
        <v>3492</v>
      </c>
      <c r="P49" s="2894" t="s">
        <v>2818</v>
      </c>
      <c r="Q49" s="2894" t="s">
        <v>2818</v>
      </c>
      <c r="R49" s="2894" t="s">
        <v>2818</v>
      </c>
      <c r="S49" s="2894" t="s">
        <v>2818</v>
      </c>
      <c r="T49" s="2894" t="s">
        <v>3170</v>
      </c>
      <c r="U49" s="2894" t="s">
        <v>3178</v>
      </c>
      <c r="V49" s="2894" t="s">
        <v>2818</v>
      </c>
      <c r="W49" s="2894" t="s">
        <v>3264</v>
      </c>
      <c r="X49" s="2894" t="s">
        <v>3484</v>
      </c>
      <c r="Y49" s="2894" t="s">
        <v>3485</v>
      </c>
      <c r="Z49" s="2894" t="s">
        <v>3486</v>
      </c>
      <c r="AA49" s="2894" t="s">
        <v>3486</v>
      </c>
      <c r="AB49" s="2894" t="s">
        <v>3493</v>
      </c>
      <c r="AC49" s="2894" t="s">
        <v>3112</v>
      </c>
      <c r="AD49" s="2894" t="s">
        <v>3416</v>
      </c>
      <c r="AE49" s="2894">
        <v>20000</v>
      </c>
      <c r="AF49" s="2894">
        <v>135000</v>
      </c>
      <c r="AG49" s="2894">
        <v>229500</v>
      </c>
      <c r="AH49" s="2894">
        <v>1941.62</v>
      </c>
      <c r="AI49" s="2894">
        <v>3300.76</v>
      </c>
      <c r="AJ49" s="2894">
        <v>11649.73</v>
      </c>
      <c r="AK49" s="2894">
        <v>19804.54</v>
      </c>
      <c r="AL49" s="2894" t="s">
        <v>2818</v>
      </c>
      <c r="AM49" s="2894" t="s">
        <v>2818</v>
      </c>
      <c r="AN49" s="2894">
        <v>70</v>
      </c>
      <c r="AO49" s="2894" t="s">
        <v>3452</v>
      </c>
      <c r="AP49" s="2894">
        <v>31</v>
      </c>
      <c r="AQ49" s="2894" t="s">
        <v>2818</v>
      </c>
      <c r="AR49" s="2894" t="s">
        <v>2818</v>
      </c>
      <c r="AS49" s="2894" t="s">
        <v>3115</v>
      </c>
    </row>
    <row r="50" spans="1:45">
      <c r="A50" s="2894" t="s">
        <v>3301</v>
      </c>
      <c r="B50" s="2894" t="s">
        <v>3094</v>
      </c>
      <c r="C50" s="2894" t="s">
        <v>3095</v>
      </c>
      <c r="D50" s="2894" t="s">
        <v>3096</v>
      </c>
      <c r="E50" s="2894" t="s">
        <v>2818</v>
      </c>
      <c r="F50" s="2894" t="s">
        <v>3494</v>
      </c>
      <c r="G50" s="2894" t="s">
        <v>3098</v>
      </c>
      <c r="H50" s="2894" t="s">
        <v>3495</v>
      </c>
      <c r="I50" s="2894" t="s">
        <v>3136</v>
      </c>
      <c r="J50" s="2894">
        <v>74357</v>
      </c>
      <c r="K50" s="2894">
        <v>163585.4</v>
      </c>
      <c r="L50" s="2894" t="s">
        <v>3496</v>
      </c>
      <c r="M50" s="2894" t="s">
        <v>2818</v>
      </c>
      <c r="N50" s="2894" t="s">
        <v>3122</v>
      </c>
      <c r="O50" s="2894" t="s">
        <v>3497</v>
      </c>
      <c r="P50" s="2894" t="s">
        <v>2818</v>
      </c>
      <c r="Q50" s="2894" t="s">
        <v>2818</v>
      </c>
      <c r="R50" s="2894" t="s">
        <v>2818</v>
      </c>
      <c r="S50" s="2894" t="s">
        <v>2818</v>
      </c>
      <c r="T50" s="2894" t="s">
        <v>3170</v>
      </c>
      <c r="U50" s="2894" t="s">
        <v>3178</v>
      </c>
      <c r="V50" s="2894" t="s">
        <v>2818</v>
      </c>
      <c r="W50" s="2894" t="s">
        <v>3264</v>
      </c>
      <c r="X50" s="2894" t="s">
        <v>3484</v>
      </c>
      <c r="Y50" s="2894" t="s">
        <v>3485</v>
      </c>
      <c r="Z50" s="2894" t="s">
        <v>3486</v>
      </c>
      <c r="AA50" s="2894" t="s">
        <v>3486</v>
      </c>
      <c r="AB50" s="2894" t="s">
        <v>3498</v>
      </c>
      <c r="AC50" s="2894" t="s">
        <v>3112</v>
      </c>
      <c r="AD50" s="2894" t="s">
        <v>3499</v>
      </c>
      <c r="AE50" s="2894">
        <v>16686</v>
      </c>
      <c r="AF50" s="2894">
        <v>83430</v>
      </c>
      <c r="AG50" s="2894">
        <v>141831</v>
      </c>
      <c r="AH50" s="2894">
        <v>748.01</v>
      </c>
      <c r="AI50" s="2894">
        <v>1271.6199999999999</v>
      </c>
      <c r="AJ50" s="2894">
        <v>5100.08</v>
      </c>
      <c r="AK50" s="2894">
        <v>8670.14</v>
      </c>
      <c r="AL50" s="2894" t="s">
        <v>2818</v>
      </c>
      <c r="AM50" s="2894" t="s">
        <v>2818</v>
      </c>
      <c r="AN50" s="2894">
        <v>70</v>
      </c>
      <c r="AO50" s="2894" t="s">
        <v>3452</v>
      </c>
      <c r="AP50" s="2894">
        <v>10</v>
      </c>
      <c r="AQ50" s="2894" t="s">
        <v>2818</v>
      </c>
      <c r="AR50" s="2894" t="s">
        <v>2818</v>
      </c>
      <c r="AS50" s="2894" t="s">
        <v>3124</v>
      </c>
    </row>
    <row r="51" spans="1:45">
      <c r="A51" s="2894" t="s">
        <v>3500</v>
      </c>
      <c r="B51" s="2894" t="s">
        <v>3094</v>
      </c>
      <c r="C51" s="2894" t="s">
        <v>3095</v>
      </c>
      <c r="D51" s="2894" t="s">
        <v>3096</v>
      </c>
      <c r="E51" s="2894" t="s">
        <v>2818</v>
      </c>
      <c r="F51" s="2894" t="s">
        <v>3501</v>
      </c>
      <c r="G51" s="2894" t="s">
        <v>3098</v>
      </c>
      <c r="H51" s="2894" t="s">
        <v>3502</v>
      </c>
      <c r="I51" s="2894" t="s">
        <v>3100</v>
      </c>
      <c r="J51" s="2894">
        <v>45394</v>
      </c>
      <c r="K51" s="2894">
        <v>113485</v>
      </c>
      <c r="L51" s="2894" t="s">
        <v>3503</v>
      </c>
      <c r="M51" s="2894" t="s">
        <v>2818</v>
      </c>
      <c r="N51" s="2894" t="s">
        <v>3122</v>
      </c>
      <c r="O51" s="2894" t="s">
        <v>3504</v>
      </c>
      <c r="P51" s="2894" t="s">
        <v>2818</v>
      </c>
      <c r="Q51" s="2894" t="s">
        <v>2818</v>
      </c>
      <c r="R51" s="2894" t="s">
        <v>2818</v>
      </c>
      <c r="S51" s="2894" t="s">
        <v>2818</v>
      </c>
      <c r="T51" s="2894" t="s">
        <v>3170</v>
      </c>
      <c r="U51" s="2894" t="s">
        <v>2818</v>
      </c>
      <c r="V51" s="2894" t="s">
        <v>2818</v>
      </c>
      <c r="W51" s="2894" t="s">
        <v>3264</v>
      </c>
      <c r="X51" s="2894" t="s">
        <v>3505</v>
      </c>
      <c r="Y51" s="2894" t="s">
        <v>3506</v>
      </c>
      <c r="Z51" s="2894" t="s">
        <v>3507</v>
      </c>
      <c r="AA51" s="2894" t="s">
        <v>3507</v>
      </c>
      <c r="AB51" s="2894" t="s">
        <v>3508</v>
      </c>
      <c r="AC51" s="2894" t="s">
        <v>3112</v>
      </c>
      <c r="AD51" s="2894" t="s">
        <v>3509</v>
      </c>
      <c r="AE51" s="2894">
        <v>20000</v>
      </c>
      <c r="AF51" s="2894">
        <v>145530</v>
      </c>
      <c r="AG51" s="2894">
        <v>178200</v>
      </c>
      <c r="AH51" s="2894">
        <v>2137.29</v>
      </c>
      <c r="AI51" s="2894">
        <v>2617.09</v>
      </c>
      <c r="AJ51" s="2894">
        <v>12823.72</v>
      </c>
      <c r="AK51" s="2894">
        <v>15702.52</v>
      </c>
      <c r="AL51" s="2894" t="s">
        <v>2818</v>
      </c>
      <c r="AM51" s="2894" t="s">
        <v>2818</v>
      </c>
      <c r="AN51" s="2894">
        <v>22.45</v>
      </c>
      <c r="AO51" s="2894" t="s">
        <v>3452</v>
      </c>
      <c r="AP51" s="2894" t="s">
        <v>2818</v>
      </c>
      <c r="AQ51" s="2894" t="s">
        <v>2818</v>
      </c>
      <c r="AR51" s="2894" t="s">
        <v>2818</v>
      </c>
      <c r="AS51" s="2894" t="s">
        <v>3115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70" zoomScaleNormal="95" zoomScaleSheetLayoutView="70" workbookViewId="0">
      <selection activeCell="D79" sqref="D79"/>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123731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6471</v>
      </c>
      <c r="C3" s="2047"/>
      <c r="D3" s="2534"/>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8080</v>
      </c>
      <c r="C4" s="2047"/>
      <c r="D4" s="2534"/>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539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79" t="s">
        <v>522</v>
      </c>
      <c r="D6" s="3380"/>
      <c r="E6" s="3379" t="s">
        <v>523</v>
      </c>
      <c r="F6" s="3380"/>
      <c r="G6" s="3379" t="s">
        <v>524</v>
      </c>
      <c r="H6" s="3380"/>
      <c r="I6" s="3379" t="s">
        <v>525</v>
      </c>
      <c r="J6" s="3380"/>
      <c r="K6" s="514" t="s">
        <v>526</v>
      </c>
      <c r="L6" s="2119"/>
      <c r="M6" s="2118"/>
      <c r="N6" s="2118"/>
      <c r="O6" s="2120"/>
      <c r="P6" s="3381" t="s">
        <v>527</v>
      </c>
      <c r="Q6" s="3382"/>
      <c r="R6" s="3367" t="s">
        <v>523</v>
      </c>
      <c r="S6" s="3368"/>
      <c r="T6" s="3367" t="s">
        <v>524</v>
      </c>
      <c r="U6" s="3368"/>
      <c r="V6" s="3387" t="s">
        <v>525</v>
      </c>
      <c r="W6" s="3387"/>
      <c r="X6" s="1554"/>
      <c r="Y6" s="3367" t="s">
        <v>527</v>
      </c>
      <c r="Z6" s="3368"/>
      <c r="AA6" s="3362" t="s">
        <v>523</v>
      </c>
      <c r="AB6" s="3363" t="s">
        <v>524</v>
      </c>
      <c r="AC6" s="3362" t="s">
        <v>525</v>
      </c>
    </row>
    <row r="7" spans="1:30" ht="21">
      <c r="A7" s="515"/>
      <c r="B7" s="516"/>
      <c r="C7" s="3390" t="s">
        <v>2931</v>
      </c>
      <c r="D7" s="3391"/>
      <c r="E7" s="3390" t="str">
        <f>土地案例!A16</f>
        <v>戴村镇仙女湖(七都溪西侧)住宅用地</v>
      </c>
      <c r="F7" s="3391"/>
      <c r="G7" s="3390" t="str">
        <f>土地案例!A17</f>
        <v>戴村镇市政路恒达路交叉口东侧住宅A区块</v>
      </c>
      <c r="H7" s="3391"/>
      <c r="I7" s="3390" t="str">
        <f>土地案例!A24</f>
        <v>空港新城</v>
      </c>
      <c r="J7" s="3391"/>
      <c r="K7" s="514"/>
      <c r="L7" s="2119"/>
      <c r="M7" s="2118"/>
      <c r="N7" s="2118"/>
      <c r="O7" s="2120"/>
      <c r="P7" s="3383"/>
      <c r="Q7" s="3384"/>
      <c r="R7" s="3369"/>
      <c r="S7" s="3370"/>
      <c r="T7" s="3369"/>
      <c r="U7" s="3370"/>
      <c r="V7" s="3387"/>
      <c r="W7" s="3387"/>
      <c r="X7" s="1554"/>
      <c r="Y7" s="3369"/>
      <c r="Z7" s="3370"/>
      <c r="AA7" s="3363"/>
      <c r="AB7" s="3363"/>
      <c r="AC7" s="3363"/>
    </row>
    <row r="8" spans="1:30" ht="21.6" thickBot="1">
      <c r="A8" s="515"/>
      <c r="B8" s="516"/>
      <c r="C8" s="3392" t="s">
        <v>2935</v>
      </c>
      <c r="D8" s="3393"/>
      <c r="E8" s="3392" t="s">
        <v>2935</v>
      </c>
      <c r="F8" s="3393"/>
      <c r="G8" s="3388" t="s">
        <v>2935</v>
      </c>
      <c r="H8" s="3389"/>
      <c r="I8" s="3388" t="s">
        <v>2935</v>
      </c>
      <c r="J8" s="3389"/>
      <c r="K8" s="514" t="s">
        <v>528</v>
      </c>
      <c r="L8" s="2119"/>
      <c r="M8" s="2118"/>
      <c r="N8" s="2118"/>
      <c r="O8" s="2120"/>
      <c r="P8" s="3385"/>
      <c r="Q8" s="3386"/>
      <c r="R8" s="3369"/>
      <c r="S8" s="3370"/>
      <c r="T8" s="3371"/>
      <c r="U8" s="3372"/>
      <c r="V8" s="3387"/>
      <c r="W8" s="3387"/>
      <c r="X8" s="1554"/>
      <c r="Y8" s="3371"/>
      <c r="Z8" s="3372"/>
      <c r="AA8" s="3364"/>
      <c r="AB8" s="3364"/>
      <c r="AC8" s="3364"/>
    </row>
    <row r="9" spans="1:30" s="1216" customFormat="1" ht="21.6" thickBot="1">
      <c r="A9" s="2867"/>
      <c r="B9" s="2874" t="s">
        <v>529</v>
      </c>
      <c r="C9" s="2866">
        <f>'数据-取费表'!B2</f>
        <v>43676</v>
      </c>
      <c r="D9" s="520">
        <v>100</v>
      </c>
      <c r="E9" s="521" t="str">
        <f>土地案例!AA16</f>
        <v>2019-03-29</v>
      </c>
      <c r="F9" s="522">
        <f>SUMIF(72:72,YEAR(E9)&amp;"-"&amp;INT((MONTH(E9)+2)/3),73:73)</f>
        <v>98</v>
      </c>
      <c r="G9" s="523" t="str">
        <f>土地案例!AA17</f>
        <v>2019-03-29</v>
      </c>
      <c r="H9" s="520">
        <f>SUMIF(72:72,YEAR(G9)&amp;"-"&amp;INT((MONTH(G9)+2)/3),73:73)</f>
        <v>98</v>
      </c>
      <c r="I9" s="523" t="str">
        <f>土地案例!AA24</f>
        <v>2018-07-04</v>
      </c>
      <c r="J9" s="520">
        <f>SUMIF(72:72,YEAR(I9)&amp;"-"&amp;INT((MONTH(I9)+2)/3),73:73)</f>
        <v>96</v>
      </c>
      <c r="K9" s="524"/>
      <c r="L9" s="2121"/>
      <c r="M9" s="2118"/>
      <c r="N9" s="2118"/>
      <c r="O9" s="2122"/>
      <c r="P9" s="3365" t="s">
        <v>530</v>
      </c>
      <c r="Q9" s="3374"/>
      <c r="R9" s="1555" t="s">
        <v>8</v>
      </c>
      <c r="S9" s="1556">
        <f t="shared" ref="S9:S17" si="0">F9</f>
        <v>98</v>
      </c>
      <c r="T9" s="1555" t="s">
        <v>8</v>
      </c>
      <c r="U9" s="1556">
        <f t="shared" ref="U9:U17" si="1">H9</f>
        <v>98</v>
      </c>
      <c r="V9" s="1555" t="s">
        <v>8</v>
      </c>
      <c r="W9" s="1556">
        <f t="shared" ref="W9:W17" si="2">J9</f>
        <v>96</v>
      </c>
      <c r="X9" s="1557"/>
      <c r="Y9" s="3365" t="s">
        <v>530</v>
      </c>
      <c r="Z9" s="3366"/>
      <c r="AA9" s="1558">
        <f>D9/F9</f>
        <v>1.0204081632653061</v>
      </c>
      <c r="AB9" s="1558">
        <f>D9/H9</f>
        <v>1.0204081632653061</v>
      </c>
      <c r="AC9" s="1558">
        <f>D9/J9</f>
        <v>1.0416666666666667</v>
      </c>
    </row>
    <row r="10" spans="1:30" s="1216"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65" t="s">
        <v>533</v>
      </c>
      <c r="Q10" s="3366"/>
      <c r="R10" s="1555" t="s">
        <v>8</v>
      </c>
      <c r="S10" s="1556">
        <f t="shared" si="0"/>
        <v>100</v>
      </c>
      <c r="T10" s="1555" t="s">
        <v>8</v>
      </c>
      <c r="U10" s="1556">
        <f t="shared" si="1"/>
        <v>100</v>
      </c>
      <c r="V10" s="1555" t="s">
        <v>8</v>
      </c>
      <c r="W10" s="1556">
        <f t="shared" si="2"/>
        <v>100</v>
      </c>
      <c r="X10" s="1557"/>
      <c r="Y10" s="3365" t="s">
        <v>533</v>
      </c>
      <c r="Z10" s="3366"/>
      <c r="AA10" s="1558">
        <f t="shared" ref="AA10:AA47" si="3">D10/F10</f>
        <v>1</v>
      </c>
      <c r="AB10" s="1558">
        <f t="shared" ref="AB10:AB47" si="4">D10/H10</f>
        <v>1</v>
      </c>
      <c r="AC10" s="1558">
        <f t="shared" ref="AC10:AC47" si="5">D10/J10</f>
        <v>1</v>
      </c>
    </row>
    <row r="11" spans="1:30" s="1216" customFormat="1" ht="21">
      <c r="A11" s="2869"/>
      <c r="B11" s="2876" t="s">
        <v>2756</v>
      </c>
      <c r="C11" s="2863" t="s">
        <v>3523</v>
      </c>
      <c r="D11" s="254">
        <v>100</v>
      </c>
      <c r="E11" s="526" t="s">
        <v>923</v>
      </c>
      <c r="F11" s="254">
        <f>SUMIF(77:77,E11,78:78)-SUMIF(77:77,C11,78:78)+100</f>
        <v>105</v>
      </c>
      <c r="G11" s="2863" t="s">
        <v>3523</v>
      </c>
      <c r="H11" s="254">
        <f>SUMIF(77:77,G11,78:78)-SUMIF(77:77,C11,78:78)+100</f>
        <v>100</v>
      </c>
      <c r="I11" s="2863" t="s">
        <v>3523</v>
      </c>
      <c r="J11" s="254">
        <f>SUMIF(77:77,I11,78:78)-SUMIF(77:77,C11,78:78)+100</f>
        <v>100</v>
      </c>
      <c r="K11" s="524"/>
      <c r="L11" s="2121"/>
      <c r="M11" s="2118"/>
      <c r="N11" s="2118"/>
      <c r="O11" s="2123"/>
      <c r="P11" s="3373" t="s">
        <v>535</v>
      </c>
      <c r="Q11" s="1147" t="str">
        <f t="shared" ref="Q11:Q17" si="6">B11</f>
        <v>用途</v>
      </c>
      <c r="R11" s="1555" t="s">
        <v>8</v>
      </c>
      <c r="S11" s="1556">
        <f t="shared" si="0"/>
        <v>105</v>
      </c>
      <c r="T11" s="1555" t="s">
        <v>8</v>
      </c>
      <c r="U11" s="1556">
        <f t="shared" si="1"/>
        <v>100</v>
      </c>
      <c r="V11" s="1555" t="s">
        <v>8</v>
      </c>
      <c r="W11" s="1556">
        <f t="shared" si="2"/>
        <v>100</v>
      </c>
      <c r="X11" s="1557"/>
      <c r="Y11" s="3330" t="s">
        <v>536</v>
      </c>
      <c r="Z11" s="1146" t="str">
        <f t="shared" ref="Z11:Z17" si="7">Q11</f>
        <v>用途</v>
      </c>
      <c r="AA11" s="1558">
        <f t="shared" si="3"/>
        <v>0.95238095238095233</v>
      </c>
      <c r="AB11" s="1558">
        <f t="shared" si="4"/>
        <v>1</v>
      </c>
      <c r="AC11" s="1558">
        <f t="shared" si="5"/>
        <v>1</v>
      </c>
    </row>
    <row r="12" spans="1:30" s="1334" customFormat="1" ht="28.8">
      <c r="A12" s="2870"/>
      <c r="B12" s="2875" t="s">
        <v>2757</v>
      </c>
      <c r="C12" s="910"/>
      <c r="D12" s="255">
        <v>100</v>
      </c>
      <c r="E12" s="529"/>
      <c r="F12" s="255">
        <f>ROUND(100/'数据-取费表'!G16,0)</f>
        <v>104</v>
      </c>
      <c r="G12" s="530"/>
      <c r="H12" s="255">
        <f>ROUND(100/'数据-取费表'!G16,0)</f>
        <v>104</v>
      </c>
      <c r="I12" s="530"/>
      <c r="J12" s="255">
        <f>ROUND(100/'数据-取费表'!G16,0)</f>
        <v>104</v>
      </c>
      <c r="K12" s="531"/>
      <c r="L12" s="2124"/>
      <c r="M12" s="2118"/>
      <c r="N12" s="2118"/>
      <c r="O12" s="2125"/>
      <c r="P12" s="3373"/>
      <c r="Q12" s="1147" t="str">
        <f t="shared" si="6"/>
        <v>土地使用年限（年）</v>
      </c>
      <c r="R12" s="1555" t="s">
        <v>8</v>
      </c>
      <c r="S12" s="1556">
        <f t="shared" si="0"/>
        <v>104</v>
      </c>
      <c r="T12" s="1555" t="s">
        <v>8</v>
      </c>
      <c r="U12" s="1556">
        <f t="shared" si="1"/>
        <v>104</v>
      </c>
      <c r="V12" s="1555" t="s">
        <v>8</v>
      </c>
      <c r="W12" s="1556">
        <f t="shared" si="2"/>
        <v>104</v>
      </c>
      <c r="X12" s="1557"/>
      <c r="Y12" s="3330"/>
      <c r="Z12" s="1146" t="str">
        <f t="shared" si="7"/>
        <v>土地使用年限（年）</v>
      </c>
      <c r="AA12" s="1558">
        <f t="shared" si="3"/>
        <v>0.96153846153846156</v>
      </c>
      <c r="AB12" s="1558">
        <f t="shared" si="4"/>
        <v>0.96153846153846156</v>
      </c>
      <c r="AC12" s="1558">
        <f t="shared" si="5"/>
        <v>0.96153846153846156</v>
      </c>
    </row>
    <row r="13" spans="1:30" ht="21">
      <c r="A13" s="2871"/>
      <c r="B13" s="2875" t="s">
        <v>2758</v>
      </c>
      <c r="C13" s="534">
        <f>'数据-汇总表'!I6</f>
        <v>1.25</v>
      </c>
      <c r="D13" s="255">
        <v>100</v>
      </c>
      <c r="E13" s="533">
        <v>1.1000000000000001</v>
      </c>
      <c r="F13" s="255">
        <f>LOOKUP(E13,82:82,83:83)-LOOKUP(C13,82:82,83:83)+100</f>
        <v>100</v>
      </c>
      <c r="G13" s="534">
        <v>1.8</v>
      </c>
      <c r="H13" s="255">
        <f>LOOKUP(G13,82:82,83:83)-LOOKUP(C13,82:82,83:83)+100</f>
        <v>100</v>
      </c>
      <c r="I13" s="533">
        <v>2.1</v>
      </c>
      <c r="J13" s="255">
        <f>LOOKUP(I13,82:82,83:83)-LOOKUP(C13,82:82,83:83)+100</f>
        <v>99</v>
      </c>
      <c r="K13" s="535">
        <v>1</v>
      </c>
      <c r="L13" s="2126"/>
      <c r="M13" s="2118"/>
      <c r="N13" s="2118"/>
      <c r="O13" s="2127"/>
      <c r="P13" s="3373"/>
      <c r="Q13" s="1147" t="str">
        <f t="shared" si="6"/>
        <v>容积率</v>
      </c>
      <c r="R13" s="1555" t="s">
        <v>8</v>
      </c>
      <c r="S13" s="1556">
        <f t="shared" si="0"/>
        <v>100</v>
      </c>
      <c r="T13" s="1555" t="s">
        <v>8</v>
      </c>
      <c r="U13" s="1556">
        <f t="shared" si="1"/>
        <v>100</v>
      </c>
      <c r="V13" s="1555" t="s">
        <v>8</v>
      </c>
      <c r="W13" s="1556">
        <f t="shared" si="2"/>
        <v>99</v>
      </c>
      <c r="X13" s="1557"/>
      <c r="Y13" s="3330"/>
      <c r="Z13" s="1146" t="str">
        <f t="shared" si="7"/>
        <v>容积率</v>
      </c>
      <c r="AA13" s="1558">
        <f t="shared" si="3"/>
        <v>1</v>
      </c>
      <c r="AB13" s="1558">
        <f t="shared" si="4"/>
        <v>1</v>
      </c>
      <c r="AC13" s="1558">
        <f t="shared" si="5"/>
        <v>1.0101010101010102</v>
      </c>
    </row>
    <row r="14" spans="1:30" s="1216" customFormat="1" ht="21">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3"/>
      <c r="Q14" s="1147" t="str">
        <f t="shared" si="6"/>
        <v>配建</v>
      </c>
      <c r="R14" s="1555" t="s">
        <v>8</v>
      </c>
      <c r="S14" s="1556">
        <f t="shared" si="0"/>
        <v>100</v>
      </c>
      <c r="T14" s="1555" t="s">
        <v>8</v>
      </c>
      <c r="U14" s="1556">
        <f t="shared" si="1"/>
        <v>100</v>
      </c>
      <c r="V14" s="1555" t="s">
        <v>8</v>
      </c>
      <c r="W14" s="1556">
        <f t="shared" si="2"/>
        <v>100</v>
      </c>
      <c r="X14" s="1557"/>
      <c r="Y14" s="3330"/>
      <c r="Z14" s="1146" t="str">
        <f t="shared" si="7"/>
        <v>配建</v>
      </c>
      <c r="AA14" s="1558">
        <f>D14/F14</f>
        <v>1</v>
      </c>
      <c r="AB14" s="1558">
        <f>D14/H14</f>
        <v>1</v>
      </c>
      <c r="AC14" s="1558">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3"/>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D15/F15</f>
        <v>1</v>
      </c>
      <c r="AB15" s="1558">
        <f>D15/H15</f>
        <v>1</v>
      </c>
      <c r="AC15" s="1558">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3"/>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D16/F16</f>
        <v>1</v>
      </c>
      <c r="AB16" s="1558">
        <f>D16/H16</f>
        <v>1</v>
      </c>
      <c r="AC16" s="1558">
        <f>D16/J16</f>
        <v>1</v>
      </c>
    </row>
    <row r="17" spans="1:29" ht="96.6">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102</v>
      </c>
      <c r="G17" s="550"/>
      <c r="H17" s="549">
        <f>SUMIF(90:90,G18,91:91)-SUMIF(90:90,C18,91:91)+100</f>
        <v>102</v>
      </c>
      <c r="I17" s="552"/>
      <c r="J17" s="549">
        <f>SUMIF(90:90,I18,91:91)-SUMIF(90:90,C18,91:91)+100</f>
        <v>104</v>
      </c>
      <c r="K17" s="535">
        <v>2</v>
      </c>
      <c r="L17" s="2128"/>
      <c r="M17" s="2118"/>
      <c r="N17" s="2118"/>
      <c r="O17" s="2127"/>
      <c r="P17" s="3375" t="s">
        <v>540</v>
      </c>
      <c r="Q17" s="1559" t="str">
        <f t="shared" si="6"/>
        <v>居住社区成熟度</v>
      </c>
      <c r="R17" s="1560" t="s">
        <v>8</v>
      </c>
      <c r="S17" s="1561">
        <f t="shared" si="0"/>
        <v>102</v>
      </c>
      <c r="T17" s="1560" t="s">
        <v>8</v>
      </c>
      <c r="U17" s="1561">
        <f t="shared" si="1"/>
        <v>102</v>
      </c>
      <c r="V17" s="1560" t="s">
        <v>8</v>
      </c>
      <c r="W17" s="1561">
        <f t="shared" si="2"/>
        <v>104</v>
      </c>
      <c r="X17" s="1554"/>
      <c r="Y17" s="3375" t="s">
        <v>540</v>
      </c>
      <c r="Z17" s="1562" t="str">
        <f t="shared" si="7"/>
        <v>居住社区成熟度</v>
      </c>
      <c r="AA17" s="1563">
        <f t="shared" si="3"/>
        <v>0.98039215686274506</v>
      </c>
      <c r="AB17" s="1563">
        <f t="shared" si="4"/>
        <v>0.98039215686274506</v>
      </c>
      <c r="AC17" s="1563">
        <f t="shared" si="5"/>
        <v>0.96153846153846156</v>
      </c>
    </row>
    <row r="18" spans="1:29" ht="21">
      <c r="A18" s="532"/>
      <c r="B18" s="553"/>
      <c r="C18" s="554" t="s">
        <v>3043</v>
      </c>
      <c r="D18" s="557"/>
      <c r="E18" s="558" t="s">
        <v>3042</v>
      </c>
      <c r="F18" s="555"/>
      <c r="G18" s="558" t="s">
        <v>3042</v>
      </c>
      <c r="H18" s="559"/>
      <c r="I18" s="558" t="s">
        <v>3044</v>
      </c>
      <c r="J18" s="555"/>
      <c r="K18" s="531"/>
      <c r="L18" s="2128"/>
      <c r="M18" s="2118"/>
      <c r="N18" s="2118"/>
      <c r="O18" s="2127"/>
      <c r="P18" s="3376"/>
      <c r="Q18" s="1559"/>
      <c r="R18" s="1560"/>
      <c r="S18" s="1561"/>
      <c r="T18" s="1560"/>
      <c r="U18" s="1561"/>
      <c r="V18" s="1560"/>
      <c r="W18" s="1561"/>
      <c r="X18" s="1554"/>
      <c r="Y18" s="3376"/>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76"/>
      <c r="Q19" s="1559" t="str">
        <f>B19</f>
        <v>商业繁华度</v>
      </c>
      <c r="R19" s="1560" t="s">
        <v>8</v>
      </c>
      <c r="S19" s="1561">
        <f>F19</f>
        <v>102</v>
      </c>
      <c r="T19" s="1560" t="s">
        <v>8</v>
      </c>
      <c r="U19" s="1561">
        <f>H19</f>
        <v>102</v>
      </c>
      <c r="V19" s="1560" t="s">
        <v>8</v>
      </c>
      <c r="W19" s="1561">
        <f>J19</f>
        <v>102</v>
      </c>
      <c r="X19" s="1554"/>
      <c r="Y19" s="3376"/>
      <c r="Z19" s="1562" t="str">
        <f>Q19</f>
        <v>商业繁华度</v>
      </c>
      <c r="AA19" s="1563">
        <f t="shared" si="3"/>
        <v>0.98039215686274506</v>
      </c>
      <c r="AB19" s="1563">
        <f t="shared" si="4"/>
        <v>0.98039215686274506</v>
      </c>
      <c r="AC19" s="1563">
        <f t="shared" si="5"/>
        <v>0.98039215686274506</v>
      </c>
    </row>
    <row r="20" spans="1:29" ht="21">
      <c r="A20" s="532"/>
      <c r="B20" s="566"/>
      <c r="C20" s="554" t="s">
        <v>3043</v>
      </c>
      <c r="D20" s="563"/>
      <c r="E20" s="558" t="s">
        <v>3042</v>
      </c>
      <c r="F20" s="559"/>
      <c r="G20" s="558" t="s">
        <v>3042</v>
      </c>
      <c r="H20" s="555"/>
      <c r="I20" s="558" t="s">
        <v>3042</v>
      </c>
      <c r="J20" s="555"/>
      <c r="K20" s="531"/>
      <c r="L20" s="2128"/>
      <c r="M20" s="2118"/>
      <c r="N20" s="2118"/>
      <c r="O20" s="2127"/>
      <c r="P20" s="3376"/>
      <c r="Q20" s="1559"/>
      <c r="R20" s="1560"/>
      <c r="S20" s="1561"/>
      <c r="T20" s="1560"/>
      <c r="U20" s="1561"/>
      <c r="V20" s="1560"/>
      <c r="W20" s="1561"/>
      <c r="X20" s="1554"/>
      <c r="Y20" s="3376"/>
      <c r="Z20" s="1562"/>
      <c r="AA20" s="1563">
        <v>1</v>
      </c>
      <c r="AB20" s="1563">
        <v>1</v>
      </c>
      <c r="AC20" s="1563">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376"/>
      <c r="Q21" s="1559" t="str">
        <f>B21</f>
        <v>办公集聚程度</v>
      </c>
      <c r="R21" s="1560" t="s">
        <v>8</v>
      </c>
      <c r="S21" s="1561">
        <f>F21</f>
        <v>100</v>
      </c>
      <c r="T21" s="1560" t="s">
        <v>8</v>
      </c>
      <c r="U21" s="1561">
        <f>H21</f>
        <v>100</v>
      </c>
      <c r="V21" s="1560" t="s">
        <v>8</v>
      </c>
      <c r="W21" s="1561">
        <f>J21</f>
        <v>100</v>
      </c>
      <c r="X21" s="1554"/>
      <c r="Y21" s="3376"/>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76"/>
      <c r="Q22" s="1559"/>
      <c r="R22" s="1560"/>
      <c r="S22" s="1561"/>
      <c r="T22" s="1560"/>
      <c r="U22" s="1561"/>
      <c r="V22" s="1560"/>
      <c r="W22" s="1561"/>
      <c r="X22" s="1554"/>
      <c r="Y22" s="3376"/>
      <c r="Z22" s="1562"/>
      <c r="AA22" s="1563">
        <v>1</v>
      </c>
      <c r="AB22" s="1563">
        <v>1</v>
      </c>
      <c r="AC22" s="1563">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104</v>
      </c>
      <c r="K23" s="535">
        <v>2</v>
      </c>
      <c r="L23" s="2128"/>
      <c r="M23" s="2118"/>
      <c r="N23" s="2118"/>
      <c r="O23" s="2127"/>
      <c r="P23" s="3376"/>
      <c r="Q23" s="1559" t="str">
        <f>B23</f>
        <v>交通便捷度</v>
      </c>
      <c r="R23" s="1560" t="s">
        <v>8</v>
      </c>
      <c r="S23" s="1561">
        <f>F23</f>
        <v>102</v>
      </c>
      <c r="T23" s="1560" t="s">
        <v>8</v>
      </c>
      <c r="U23" s="1561">
        <f>H23</f>
        <v>102</v>
      </c>
      <c r="V23" s="1560" t="s">
        <v>8</v>
      </c>
      <c r="W23" s="1561">
        <f>J23</f>
        <v>104</v>
      </c>
      <c r="X23" s="1554"/>
      <c r="Y23" s="3376"/>
      <c r="Z23" s="1562" t="str">
        <f>Q23</f>
        <v>交通便捷度</v>
      </c>
      <c r="AA23" s="1563">
        <f t="shared" si="3"/>
        <v>0.98039215686274506</v>
      </c>
      <c r="AB23" s="1563">
        <f t="shared" si="4"/>
        <v>0.98039215686274506</v>
      </c>
      <c r="AC23" s="1563">
        <f t="shared" si="5"/>
        <v>0.96153846153846156</v>
      </c>
    </row>
    <row r="24" spans="1:29" ht="21">
      <c r="A24" s="532"/>
      <c r="B24" s="578"/>
      <c r="C24" s="554" t="s">
        <v>3043</v>
      </c>
      <c r="D24" s="557"/>
      <c r="E24" s="558" t="s">
        <v>3042</v>
      </c>
      <c r="F24" s="555"/>
      <c r="G24" s="558" t="s">
        <v>3042</v>
      </c>
      <c r="H24" s="555"/>
      <c r="I24" s="558" t="s">
        <v>3044</v>
      </c>
      <c r="J24" s="555"/>
      <c r="K24" s="531"/>
      <c r="L24" s="2128"/>
      <c r="M24" s="2118"/>
      <c r="N24" s="2118"/>
      <c r="O24" s="2127"/>
      <c r="P24" s="3376"/>
      <c r="Q24" s="1559"/>
      <c r="R24" s="1560"/>
      <c r="S24" s="1561"/>
      <c r="T24" s="1560"/>
      <c r="U24" s="1561"/>
      <c r="V24" s="1560"/>
      <c r="W24" s="1561"/>
      <c r="X24" s="1554"/>
      <c r="Y24" s="3376"/>
      <c r="Z24" s="1562"/>
      <c r="AA24" s="1563">
        <v>1</v>
      </c>
      <c r="AB24" s="1563">
        <v>1</v>
      </c>
      <c r="AC24" s="1563">
        <v>1</v>
      </c>
    </row>
    <row r="25" spans="1:29" ht="28.8">
      <c r="A25" s="515"/>
      <c r="B25" s="259" t="s">
        <v>544</v>
      </c>
      <c r="C25" s="573">
        <f>估价对象房地状况!C19</f>
        <v>0</v>
      </c>
      <c r="D25" s="563">
        <v>100</v>
      </c>
      <c r="E25" s="564"/>
      <c r="F25" s="565">
        <f>SUMIF(98:98,E26,99:99)-SUMIF(98:98,C26,99:99)+100</f>
        <v>101</v>
      </c>
      <c r="G25" s="562"/>
      <c r="H25" s="559">
        <f>SUMIF(98:98,G26,99:99)-SUMIF(98:98,C26,99:99)+100</f>
        <v>101</v>
      </c>
      <c r="I25" s="564"/>
      <c r="J25" s="559">
        <f>SUMIF(98:98,I26,99:99)-SUMIF(98:98,C26,99:99)+100</f>
        <v>102</v>
      </c>
      <c r="K25" s="535">
        <v>1</v>
      </c>
      <c r="L25" s="2128"/>
      <c r="M25" s="2118"/>
      <c r="N25" s="2118"/>
      <c r="O25" s="2127"/>
      <c r="P25" s="3376"/>
      <c r="Q25" s="1559" t="str">
        <f t="shared" ref="Q25:Q39" si="8">B25</f>
        <v>区域土地利用方向</v>
      </c>
      <c r="R25" s="1560" t="s">
        <v>8</v>
      </c>
      <c r="S25" s="1561">
        <f>F25</f>
        <v>101</v>
      </c>
      <c r="T25" s="1560" t="s">
        <v>8</v>
      </c>
      <c r="U25" s="1561">
        <f>H25</f>
        <v>101</v>
      </c>
      <c r="V25" s="1560" t="s">
        <v>8</v>
      </c>
      <c r="W25" s="1561">
        <f>J25</f>
        <v>102</v>
      </c>
      <c r="X25" s="1554"/>
      <c r="Y25" s="3376"/>
      <c r="Z25" s="1562" t="str">
        <f>Q25</f>
        <v>区域土地利用方向</v>
      </c>
      <c r="AA25" s="1563">
        <f t="shared" si="3"/>
        <v>0.99009900990099009</v>
      </c>
      <c r="AB25" s="1563">
        <f t="shared" si="4"/>
        <v>0.99009900990099009</v>
      </c>
      <c r="AC25" s="1563">
        <f t="shared" si="5"/>
        <v>0.98039215686274506</v>
      </c>
    </row>
    <row r="26" spans="1:29" ht="21">
      <c r="A26" s="515"/>
      <c r="B26" s="1007"/>
      <c r="C26" s="554" t="s">
        <v>3043</v>
      </c>
      <c r="D26" s="557"/>
      <c r="E26" s="558" t="s">
        <v>3042</v>
      </c>
      <c r="F26" s="555"/>
      <c r="G26" s="558" t="s">
        <v>3042</v>
      </c>
      <c r="H26" s="555"/>
      <c r="I26" s="558" t="s">
        <v>3044</v>
      </c>
      <c r="J26" s="555"/>
      <c r="K26" s="531"/>
      <c r="L26" s="2128"/>
      <c r="M26" s="2118"/>
      <c r="N26" s="2118"/>
      <c r="O26" s="2127"/>
      <c r="P26" s="3376"/>
      <c r="Q26" s="1559"/>
      <c r="R26" s="1560"/>
      <c r="S26" s="1561"/>
      <c r="T26" s="1560"/>
      <c r="U26" s="1561"/>
      <c r="V26" s="1560"/>
      <c r="W26" s="1561"/>
      <c r="X26" s="1554"/>
      <c r="Y26" s="3376"/>
      <c r="Z26" s="1562"/>
      <c r="AA26" s="1563"/>
      <c r="AB26" s="1563"/>
      <c r="AC26" s="1563"/>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102</v>
      </c>
      <c r="K27" s="535">
        <v>2</v>
      </c>
      <c r="L27" s="2128"/>
      <c r="M27" s="2118"/>
      <c r="N27" s="2118"/>
      <c r="O27" s="2127"/>
      <c r="P27" s="3376"/>
      <c r="Q27" s="1559" t="str">
        <f t="shared" si="8"/>
        <v>自然及人文环境状况</v>
      </c>
      <c r="R27" s="1560" t="s">
        <v>8</v>
      </c>
      <c r="S27" s="1561">
        <f>F27</f>
        <v>100</v>
      </c>
      <c r="T27" s="1560" t="s">
        <v>8</v>
      </c>
      <c r="U27" s="1561">
        <f>H27</f>
        <v>100</v>
      </c>
      <c r="V27" s="1560" t="s">
        <v>8</v>
      </c>
      <c r="W27" s="1561">
        <f>J27</f>
        <v>102</v>
      </c>
      <c r="X27" s="1554"/>
      <c r="Y27" s="3376"/>
      <c r="Z27" s="1562" t="str">
        <f>Q27</f>
        <v>自然及人文环境状况</v>
      </c>
      <c r="AA27" s="1563">
        <f t="shared" si="3"/>
        <v>1</v>
      </c>
      <c r="AB27" s="1563">
        <f t="shared" si="4"/>
        <v>1</v>
      </c>
      <c r="AC27" s="1563">
        <f t="shared" si="5"/>
        <v>0.98039215686274506</v>
      </c>
    </row>
    <row r="28" spans="1:29" ht="21">
      <c r="A28" s="515"/>
      <c r="B28" s="566"/>
      <c r="C28" s="554" t="s">
        <v>3042</v>
      </c>
      <c r="D28" s="557"/>
      <c r="E28" s="558" t="s">
        <v>3042</v>
      </c>
      <c r="F28" s="555"/>
      <c r="G28" s="558" t="s">
        <v>3042</v>
      </c>
      <c r="H28" s="555"/>
      <c r="I28" s="558" t="s">
        <v>3044</v>
      </c>
      <c r="J28" s="555"/>
      <c r="K28" s="531"/>
      <c r="L28" s="2128"/>
      <c r="M28" s="2118"/>
      <c r="N28" s="2118"/>
      <c r="O28" s="2127"/>
      <c r="P28" s="3376"/>
      <c r="Q28" s="1559"/>
      <c r="R28" s="1560"/>
      <c r="S28" s="1561"/>
      <c r="T28" s="1560"/>
      <c r="U28" s="1561"/>
      <c r="V28" s="1560"/>
      <c r="W28" s="1561"/>
      <c r="X28" s="1554"/>
      <c r="Y28" s="3376"/>
      <c r="Z28" s="1562"/>
      <c r="AA28" s="1563">
        <v>1</v>
      </c>
      <c r="AB28" s="1563">
        <v>1</v>
      </c>
      <c r="AC28" s="1563">
        <v>1</v>
      </c>
    </row>
    <row r="29" spans="1:29" s="1216" customFormat="1" ht="41.4">
      <c r="A29" s="577"/>
      <c r="B29" s="2555" t="s">
        <v>2548</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104</v>
      </c>
      <c r="K29" s="535">
        <v>2</v>
      </c>
      <c r="L29" s="2121"/>
      <c r="M29" s="2118"/>
      <c r="N29" s="2118"/>
      <c r="O29" s="2123"/>
      <c r="P29" s="3376"/>
      <c r="Q29" s="1147" t="str">
        <f t="shared" si="8"/>
        <v>公共配套设施</v>
      </c>
      <c r="R29" s="1555" t="s">
        <v>8</v>
      </c>
      <c r="S29" s="1556">
        <f>F29</f>
        <v>102</v>
      </c>
      <c r="T29" s="1555" t="s">
        <v>8</v>
      </c>
      <c r="U29" s="1556">
        <f>H29</f>
        <v>102</v>
      </c>
      <c r="V29" s="1555" t="s">
        <v>8</v>
      </c>
      <c r="W29" s="1556">
        <f>J29</f>
        <v>104</v>
      </c>
      <c r="X29" s="1557"/>
      <c r="Y29" s="3376"/>
      <c r="Z29" s="1146" t="str">
        <f>Q29</f>
        <v>公共配套设施</v>
      </c>
      <c r="AA29" s="1563">
        <f>D29/F29</f>
        <v>0.98039215686274506</v>
      </c>
      <c r="AB29" s="1563">
        <f>D29/H29</f>
        <v>0.98039215686274506</v>
      </c>
      <c r="AC29" s="1563">
        <f>D29/J29</f>
        <v>0.96153846153846156</v>
      </c>
    </row>
    <row r="30" spans="1:29" s="1216" customFormat="1" ht="21">
      <c r="A30" s="577"/>
      <c r="B30" s="566"/>
      <c r="C30" s="554" t="s">
        <v>3043</v>
      </c>
      <c r="D30" s="557"/>
      <c r="E30" s="558" t="s">
        <v>3042</v>
      </c>
      <c r="F30" s="555"/>
      <c r="G30" s="558" t="s">
        <v>3042</v>
      </c>
      <c r="H30" s="555"/>
      <c r="I30" s="558" t="s">
        <v>3044</v>
      </c>
      <c r="J30" s="555"/>
      <c r="K30" s="531"/>
      <c r="L30" s="2121"/>
      <c r="M30" s="2118"/>
      <c r="N30" s="2118"/>
      <c r="O30" s="2123"/>
      <c r="P30" s="3376"/>
      <c r="Q30" s="1147"/>
      <c r="R30" s="1555"/>
      <c r="S30" s="1556"/>
      <c r="T30" s="1555"/>
      <c r="U30" s="1556"/>
      <c r="V30" s="1555"/>
      <c r="W30" s="1556"/>
      <c r="X30" s="1557"/>
      <c r="Y30" s="3376"/>
      <c r="Z30" s="1146"/>
      <c r="AA30" s="1563">
        <v>1</v>
      </c>
      <c r="AB30" s="1563">
        <v>1</v>
      </c>
      <c r="AC30" s="1563">
        <v>1</v>
      </c>
    </row>
    <row r="31" spans="1:29" s="1216" customFormat="1" ht="27.6">
      <c r="A31" s="577"/>
      <c r="B31" s="2555"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6"/>
      <c r="Q31" s="2542" t="str">
        <f t="shared" ref="Q31" si="9">B31</f>
        <v>基础设施水平</v>
      </c>
      <c r="R31" s="1555" t="s">
        <v>8</v>
      </c>
      <c r="S31" s="1556">
        <f>F31</f>
        <v>100</v>
      </c>
      <c r="T31" s="1555" t="s">
        <v>8</v>
      </c>
      <c r="U31" s="1556">
        <f>H31</f>
        <v>100</v>
      </c>
      <c r="V31" s="1555" t="s">
        <v>8</v>
      </c>
      <c r="W31" s="1556">
        <f>J31</f>
        <v>100</v>
      </c>
      <c r="X31" s="1557"/>
      <c r="Y31" s="3376"/>
      <c r="Z31" s="2539" t="str">
        <f>Q31</f>
        <v>基础设施水平</v>
      </c>
      <c r="AA31" s="1563">
        <f>D31/F31</f>
        <v>1</v>
      </c>
      <c r="AB31" s="1563">
        <f>D31/H31</f>
        <v>1</v>
      </c>
      <c r="AC31" s="1563">
        <f>D31/J31</f>
        <v>1</v>
      </c>
    </row>
    <row r="32" spans="1:29" s="1216" customFormat="1" ht="21">
      <c r="A32" s="577"/>
      <c r="B32" s="566"/>
      <c r="C32" s="579"/>
      <c r="D32" s="557"/>
      <c r="E32" s="2556"/>
      <c r="F32" s="555"/>
      <c r="G32" s="579"/>
      <c r="H32" s="555"/>
      <c r="I32" s="579"/>
      <c r="J32" s="555"/>
      <c r="K32" s="531"/>
      <c r="L32" s="2121"/>
      <c r="M32" s="2118"/>
      <c r="N32" s="2118"/>
      <c r="O32" s="2123"/>
      <c r="P32" s="3376"/>
      <c r="Q32" s="2542"/>
      <c r="R32" s="1555"/>
      <c r="S32" s="1556"/>
      <c r="T32" s="1555"/>
      <c r="U32" s="1556"/>
      <c r="V32" s="1555"/>
      <c r="W32" s="1556"/>
      <c r="X32" s="1557"/>
      <c r="Y32" s="3376"/>
      <c r="Z32" s="2539"/>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6"/>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6"/>
      <c r="Q34" s="1559" t="str">
        <f t="shared" si="8"/>
        <v>毗邻道路的类型与等级</v>
      </c>
      <c r="R34" s="1560" t="s">
        <v>8</v>
      </c>
      <c r="S34" s="1561">
        <f t="shared" si="10"/>
        <v>100</v>
      </c>
      <c r="T34" s="1560" t="s">
        <v>8</v>
      </c>
      <c r="U34" s="1561">
        <f t="shared" si="11"/>
        <v>100</v>
      </c>
      <c r="V34" s="1560" t="s">
        <v>8</v>
      </c>
      <c r="W34" s="1561">
        <f t="shared" si="12"/>
        <v>100</v>
      </c>
      <c r="X34" s="1554"/>
      <c r="Y34" s="3376"/>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76"/>
      <c r="Q35" s="1559"/>
      <c r="R35" s="1560"/>
      <c r="S35" s="1561"/>
      <c r="T35" s="1560"/>
      <c r="U35" s="1561"/>
      <c r="V35" s="1560"/>
      <c r="W35" s="1561"/>
      <c r="X35" s="1554"/>
      <c r="Y35" s="3376"/>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6"/>
      <c r="Q36" s="1559" t="str">
        <f t="shared" si="8"/>
        <v>土地级别</v>
      </c>
      <c r="R36" s="1560" t="s">
        <v>8</v>
      </c>
      <c r="S36" s="1561">
        <f t="shared" si="10"/>
        <v>100</v>
      </c>
      <c r="T36" s="1560" t="s">
        <v>8</v>
      </c>
      <c r="U36" s="1561">
        <f t="shared" si="11"/>
        <v>100</v>
      </c>
      <c r="V36" s="1560" t="s">
        <v>8</v>
      </c>
      <c r="W36" s="1561">
        <f t="shared" si="12"/>
        <v>100</v>
      </c>
      <c r="X36" s="1554"/>
      <c r="Y36" s="3376"/>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6"/>
      <c r="Q37" s="1559">
        <f t="shared" si="8"/>
        <v>111</v>
      </c>
      <c r="R37" s="1560" t="s">
        <v>8</v>
      </c>
      <c r="S37" s="1561">
        <f t="shared" si="10"/>
        <v>100</v>
      </c>
      <c r="T37" s="1560" t="s">
        <v>8</v>
      </c>
      <c r="U37" s="1561">
        <f t="shared" si="11"/>
        <v>100</v>
      </c>
      <c r="V37" s="1560" t="s">
        <v>8</v>
      </c>
      <c r="W37" s="1561">
        <f t="shared" si="12"/>
        <v>100</v>
      </c>
      <c r="X37" s="1554"/>
      <c r="Y37" s="3376"/>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7" t="s">
        <v>550</v>
      </c>
      <c r="Q38" s="1559">
        <f t="shared" si="8"/>
        <v>111</v>
      </c>
      <c r="R38" s="1560" t="s">
        <v>8</v>
      </c>
      <c r="S38" s="1561">
        <f t="shared" si="10"/>
        <v>100</v>
      </c>
      <c r="T38" s="1560" t="s">
        <v>8</v>
      </c>
      <c r="U38" s="1561">
        <f t="shared" si="11"/>
        <v>100</v>
      </c>
      <c r="V38" s="1560" t="s">
        <v>8</v>
      </c>
      <c r="W38" s="1561">
        <f t="shared" si="12"/>
        <v>100</v>
      </c>
      <c r="X38" s="1554"/>
      <c r="Y38" s="3378"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8"/>
      <c r="Q39" s="1559">
        <f t="shared" si="8"/>
        <v>111</v>
      </c>
      <c r="R39" s="1564" t="s">
        <v>8</v>
      </c>
      <c r="S39" s="1565">
        <f t="shared" si="10"/>
        <v>100</v>
      </c>
      <c r="T39" s="1564" t="s">
        <v>8</v>
      </c>
      <c r="U39" s="1565">
        <f t="shared" si="11"/>
        <v>100</v>
      </c>
      <c r="V39" s="1564" t="s">
        <v>8</v>
      </c>
      <c r="W39" s="1565">
        <f t="shared" si="12"/>
        <v>100</v>
      </c>
      <c r="X39" s="1566"/>
      <c r="Y39" s="3378"/>
      <c r="Z39" s="1567">
        <f t="shared" si="13"/>
        <v>111</v>
      </c>
      <c r="AA39" s="1563">
        <f t="shared" si="3"/>
        <v>1</v>
      </c>
      <c r="AB39" s="1563">
        <f t="shared" si="4"/>
        <v>1</v>
      </c>
      <c r="AC39" s="1563">
        <f t="shared" si="5"/>
        <v>1</v>
      </c>
    </row>
    <row r="40" spans="1:29" ht="21">
      <c r="A40" s="2862" t="s">
        <v>2755</v>
      </c>
      <c r="B40" s="595" t="s">
        <v>552</v>
      </c>
      <c r="C40" s="596">
        <f>'数据-汇总表'!D3</f>
        <v>153132</v>
      </c>
      <c r="D40" s="597">
        <v>100</v>
      </c>
      <c r="E40" s="596">
        <f>土地案例!J16</f>
        <v>20242</v>
      </c>
      <c r="F40" s="597">
        <f>LOOKUP(E40,119:119,120:120)-LOOKUP(C40,119:119,120:120)+100</f>
        <v>97</v>
      </c>
      <c r="G40" s="596">
        <f>土地案例!J17</f>
        <v>86055</v>
      </c>
      <c r="H40" s="597">
        <f>LOOKUP(G40,119:119,120:120)-LOOKUP(C40,119:119,120:120)+100</f>
        <v>98.5</v>
      </c>
      <c r="I40" s="598">
        <f>土地案例!J24</f>
        <v>73434</v>
      </c>
      <c r="J40" s="597">
        <f>LOOKUP(I40,119:119,120:120)-LOOKUP(C40,119:119,120:120)+100</f>
        <v>98</v>
      </c>
      <c r="K40" s="581"/>
      <c r="L40" s="2128"/>
      <c r="M40" s="2118"/>
      <c r="N40" s="2118"/>
      <c r="O40" s="2127"/>
      <c r="P40" s="3378"/>
      <c r="Q40" s="1559" t="str">
        <f>B40</f>
        <v>宗地面积</v>
      </c>
      <c r="R40" s="1560" t="s">
        <v>8</v>
      </c>
      <c r="S40" s="1561">
        <f t="shared" si="10"/>
        <v>97</v>
      </c>
      <c r="T40" s="1560" t="s">
        <v>8</v>
      </c>
      <c r="U40" s="1561">
        <f t="shared" si="11"/>
        <v>98.5</v>
      </c>
      <c r="V40" s="1560" t="s">
        <v>8</v>
      </c>
      <c r="W40" s="1561">
        <f t="shared" si="12"/>
        <v>98</v>
      </c>
      <c r="X40" s="1554"/>
      <c r="Y40" s="3378"/>
      <c r="Z40" s="1562" t="str">
        <f t="shared" si="13"/>
        <v>宗地面积</v>
      </c>
      <c r="AA40" s="1563">
        <f t="shared" si="3"/>
        <v>1.0309278350515463</v>
      </c>
      <c r="AB40" s="1563">
        <f t="shared" si="4"/>
        <v>1.015228426395939</v>
      </c>
      <c r="AC40" s="1563">
        <f t="shared" si="5"/>
        <v>1.0204081632653061</v>
      </c>
    </row>
    <row r="41" spans="1:29" ht="21">
      <c r="A41" s="594"/>
      <c r="B41" s="527" t="s">
        <v>553</v>
      </c>
      <c r="C41" s="599" t="s">
        <v>3514</v>
      </c>
      <c r="D41" s="540">
        <v>100</v>
      </c>
      <c r="E41" s="599" t="s">
        <v>3514</v>
      </c>
      <c r="F41" s="540">
        <f>SUMIF(121:121,E41,122:122)-SUMIF(121:121,C41,122:122)+100</f>
        <v>100</v>
      </c>
      <c r="G41" s="599" t="s">
        <v>3512</v>
      </c>
      <c r="H41" s="540">
        <f>SUMIF(121:121,G41,122:122)-SUMIF(121:121,C41,122:122)+100</f>
        <v>102</v>
      </c>
      <c r="I41" s="599" t="s">
        <v>3512</v>
      </c>
      <c r="J41" s="540">
        <f>SUMIF(121:121,I41,122:122)-SUMIF(121:121,C41,122:122)+100</f>
        <v>102</v>
      </c>
      <c r="K41" s="584">
        <v>2</v>
      </c>
      <c r="L41" s="2128"/>
      <c r="M41" s="2118"/>
      <c r="N41" s="2118"/>
      <c r="O41" s="2127"/>
      <c r="P41" s="3378"/>
      <c r="Q41" s="1559" t="str">
        <f t="shared" ref="Q41:Q47" si="14">B41</f>
        <v>宗地形状</v>
      </c>
      <c r="R41" s="1560" t="s">
        <v>8</v>
      </c>
      <c r="S41" s="1561">
        <f t="shared" si="10"/>
        <v>100</v>
      </c>
      <c r="T41" s="1560" t="s">
        <v>8</v>
      </c>
      <c r="U41" s="1561">
        <f t="shared" si="11"/>
        <v>102</v>
      </c>
      <c r="V41" s="1560" t="s">
        <v>8</v>
      </c>
      <c r="W41" s="1561">
        <f t="shared" si="12"/>
        <v>102</v>
      </c>
      <c r="X41" s="1554"/>
      <c r="Y41" s="3378"/>
      <c r="Z41" s="1562" t="str">
        <f t="shared" si="13"/>
        <v>宗地形状</v>
      </c>
      <c r="AA41" s="1563">
        <f t="shared" si="3"/>
        <v>1</v>
      </c>
      <c r="AB41" s="1563">
        <f t="shared" si="4"/>
        <v>0.98039215686274506</v>
      </c>
      <c r="AC41" s="1563">
        <f t="shared" si="5"/>
        <v>0.98039215686274506</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8"/>
      <c r="Q42" s="1559" t="str">
        <f t="shared" si="14"/>
        <v>临街宽度及深度</v>
      </c>
      <c r="R42" s="1560" t="s">
        <v>8</v>
      </c>
      <c r="S42" s="1561">
        <f t="shared" si="10"/>
        <v>100</v>
      </c>
      <c r="T42" s="1560" t="s">
        <v>8</v>
      </c>
      <c r="U42" s="1561">
        <f t="shared" si="11"/>
        <v>100</v>
      </c>
      <c r="V42" s="1560" t="s">
        <v>8</v>
      </c>
      <c r="W42" s="1561">
        <f t="shared" si="12"/>
        <v>100</v>
      </c>
      <c r="X42" s="1554"/>
      <c r="Y42" s="3378"/>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8"/>
      <c r="Q43" s="1559" t="str">
        <f t="shared" si="14"/>
        <v>宗地开发程度</v>
      </c>
      <c r="R43" s="1555" t="s">
        <v>8</v>
      </c>
      <c r="S43" s="1556">
        <f t="shared" si="10"/>
        <v>100</v>
      </c>
      <c r="T43" s="1555" t="s">
        <v>8</v>
      </c>
      <c r="U43" s="1556">
        <f t="shared" si="11"/>
        <v>100</v>
      </c>
      <c r="V43" s="1555" t="s">
        <v>8</v>
      </c>
      <c r="W43" s="1556">
        <f t="shared" si="12"/>
        <v>100</v>
      </c>
      <c r="X43" s="1557"/>
      <c r="Y43" s="3378"/>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8" t="s">
        <v>550</v>
      </c>
      <c r="Q44" s="1559" t="str">
        <f t="shared" si="14"/>
        <v>工程地质条件</v>
      </c>
      <c r="R44" s="1560" t="s">
        <v>8</v>
      </c>
      <c r="S44" s="1561">
        <f t="shared" si="10"/>
        <v>100</v>
      </c>
      <c r="T44" s="1560" t="s">
        <v>8</v>
      </c>
      <c r="U44" s="1561">
        <f t="shared" si="11"/>
        <v>100</v>
      </c>
      <c r="V44" s="1560" t="s">
        <v>8</v>
      </c>
      <c r="W44" s="1561">
        <f t="shared" si="12"/>
        <v>100</v>
      </c>
      <c r="X44" s="1554"/>
      <c r="Y44" s="3378"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8"/>
      <c r="Q45" s="1559">
        <f t="shared" si="14"/>
        <v>111</v>
      </c>
      <c r="R45" s="1560" t="s">
        <v>8</v>
      </c>
      <c r="S45" s="1561">
        <f t="shared" si="10"/>
        <v>100</v>
      </c>
      <c r="T45" s="1560" t="s">
        <v>8</v>
      </c>
      <c r="U45" s="1561">
        <f t="shared" si="11"/>
        <v>100</v>
      </c>
      <c r="V45" s="1560" t="s">
        <v>8</v>
      </c>
      <c r="W45" s="1561">
        <f t="shared" si="12"/>
        <v>100</v>
      </c>
      <c r="X45" s="1554"/>
      <c r="Y45" s="3378"/>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8"/>
      <c r="Q46" s="1559">
        <f t="shared" si="14"/>
        <v>111</v>
      </c>
      <c r="R46" s="1560" t="s">
        <v>8</v>
      </c>
      <c r="S46" s="1561">
        <f t="shared" si="10"/>
        <v>100</v>
      </c>
      <c r="T46" s="1560" t="s">
        <v>8</v>
      </c>
      <c r="U46" s="1561">
        <f t="shared" si="11"/>
        <v>100</v>
      </c>
      <c r="V46" s="1560" t="s">
        <v>8</v>
      </c>
      <c r="W46" s="1561">
        <f t="shared" si="12"/>
        <v>100</v>
      </c>
      <c r="X46" s="1554"/>
      <c r="Y46" s="3378"/>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8"/>
      <c r="Q47" s="1559">
        <f t="shared" si="14"/>
        <v>111</v>
      </c>
      <c r="R47" s="1564" t="s">
        <v>8</v>
      </c>
      <c r="S47" s="1565">
        <f t="shared" si="10"/>
        <v>100</v>
      </c>
      <c r="T47" s="1564" t="s">
        <v>8</v>
      </c>
      <c r="U47" s="1565">
        <f t="shared" si="11"/>
        <v>100</v>
      </c>
      <c r="V47" s="1564" t="s">
        <v>8</v>
      </c>
      <c r="W47" s="1565">
        <f t="shared" si="12"/>
        <v>100</v>
      </c>
      <c r="X47" s="1566"/>
      <c r="Y47" s="3378"/>
      <c r="Z47" s="1567">
        <f t="shared" si="13"/>
        <v>111</v>
      </c>
      <c r="AA47" s="1563">
        <f t="shared" si="3"/>
        <v>1</v>
      </c>
      <c r="AB47" s="1563">
        <f t="shared" si="4"/>
        <v>1</v>
      </c>
      <c r="AC47" s="1563">
        <f t="shared" si="5"/>
        <v>1</v>
      </c>
    </row>
    <row r="48" spans="1:29" ht="21">
      <c r="A48" s="607" t="s">
        <v>556</v>
      </c>
      <c r="B48" s="608" t="s">
        <v>3048</v>
      </c>
      <c r="C48" s="609" t="s">
        <v>1</v>
      </c>
      <c r="D48" s="610"/>
      <c r="E48" s="611">
        <f>土地案例!AK16</f>
        <v>6628.48</v>
      </c>
      <c r="F48" s="612"/>
      <c r="G48" s="613">
        <f>土地案例!AK17</f>
        <v>8017.73</v>
      </c>
      <c r="H48" s="614"/>
      <c r="I48" s="611">
        <f>土地案例!AK24</f>
        <v>8518.7800000000007</v>
      </c>
      <c r="J48" s="614"/>
      <c r="K48" s="1336"/>
      <c r="L48" s="2130"/>
      <c r="M48" s="2118"/>
      <c r="N48" s="2118"/>
      <c r="O48" s="2131"/>
      <c r="P48" s="3373" t="str">
        <f>A48</f>
        <v>成交单价</v>
      </c>
      <c r="Q48" s="3373"/>
      <c r="R48" s="3387">
        <f>E48</f>
        <v>6628.48</v>
      </c>
      <c r="S48" s="3387"/>
      <c r="T48" s="3387">
        <f>G48</f>
        <v>8017.73</v>
      </c>
      <c r="U48" s="3387"/>
      <c r="V48" s="3387">
        <f>I48</f>
        <v>8518.7800000000007</v>
      </c>
      <c r="W48" s="3387"/>
      <c r="X48" s="1546"/>
      <c r="Y48" s="1568"/>
      <c r="Z48" s="1546"/>
      <c r="AA48" s="1546"/>
      <c r="AB48" s="1546"/>
      <c r="AC48" s="1546"/>
    </row>
    <row r="49" spans="1:29" ht="21.6" thickBot="1">
      <c r="A49" s="615" t="s">
        <v>2693</v>
      </c>
      <c r="B49" s="616"/>
      <c r="C49" s="617">
        <f>R50</f>
        <v>6742</v>
      </c>
      <c r="D49" s="618"/>
      <c r="E49" s="617">
        <f>R49</f>
        <v>5841</v>
      </c>
      <c r="F49" s="619"/>
      <c r="G49" s="620">
        <f>T49</f>
        <v>7162</v>
      </c>
      <c r="H49" s="618"/>
      <c r="I49" s="617">
        <f>V49</f>
        <v>7223</v>
      </c>
      <c r="J49" s="618"/>
      <c r="K49" s="1337"/>
      <c r="L49" s="2130"/>
      <c r="M49" s="2118"/>
      <c r="N49" s="2118"/>
      <c r="O49" s="2131"/>
      <c r="P49" s="3373" t="str">
        <f>A49</f>
        <v>比较价格（元/平方米）</v>
      </c>
      <c r="Q49" s="3373"/>
      <c r="R49" s="3397">
        <f>ROUND(PRODUCT(R48,AA9:AA47),0)</f>
        <v>5841</v>
      </c>
      <c r="S49" s="3397"/>
      <c r="T49" s="3397">
        <f>ROUND(PRODUCT(T48,AB9:AB47),0)</f>
        <v>7162</v>
      </c>
      <c r="U49" s="3397"/>
      <c r="V49" s="3397">
        <f>ROUND(PRODUCT(V48,AC9:AC47),0)</f>
        <v>7223</v>
      </c>
      <c r="W49" s="3397"/>
      <c r="X49" s="1546"/>
      <c r="Y49" s="1546"/>
      <c r="Z49" s="1546"/>
      <c r="AA49" s="1546"/>
      <c r="AB49" s="1546"/>
      <c r="AC49" s="1546"/>
    </row>
    <row r="50" spans="1:29" ht="21.6" thickBot="1">
      <c r="A50" s="621" t="s">
        <v>2937</v>
      </c>
      <c r="B50" s="622"/>
      <c r="C50" s="623">
        <f>R50</f>
        <v>6742</v>
      </c>
      <c r="D50" s="623"/>
      <c r="E50" s="623"/>
      <c r="F50" s="623"/>
      <c r="G50" s="623"/>
      <c r="H50" s="623"/>
      <c r="I50" s="623"/>
      <c r="J50" s="623"/>
      <c r="K50" s="1338"/>
      <c r="L50" s="2130"/>
      <c r="M50" s="2118"/>
      <c r="N50" s="2118"/>
      <c r="O50" s="2131"/>
      <c r="P50" s="3394" t="str">
        <f>A50</f>
        <v>估价对象XX用房的比较价格（楼面单价，元/平方米）</v>
      </c>
      <c r="Q50" s="3395"/>
      <c r="R50" s="3396">
        <f>ROUND(AVERAGE(R49:V49),0)</f>
        <v>6742</v>
      </c>
      <c r="S50" s="3396"/>
      <c r="T50" s="3396"/>
      <c r="U50" s="3396"/>
      <c r="V50" s="3396"/>
      <c r="W50" s="3396"/>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0.13481938024310902</v>
      </c>
      <c r="F53" s="627" t="str">
        <f>IF(OR(E53&gt;=0.3,E53&lt;=-0.3),"超过30%","")</f>
        <v/>
      </c>
      <c r="G53" s="626">
        <f>IF(G48&lt;G49,G49/G48-1,G48/G49-1)</f>
        <v>0.11948198827143242</v>
      </c>
      <c r="H53" s="627" t="str">
        <f>IF(OR(G53&gt;=0.3,G53&lt;=-0.3),"超过30%","")</f>
        <v/>
      </c>
      <c r="I53" s="626">
        <f>IF(I48&lt;I49,I49/I48-1,I48/I49-1)</f>
        <v>0.17939637269832498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0.22615990412600584</v>
      </c>
      <c r="F54" s="627" t="str">
        <f>IF(OR(E54&gt;=0.2,E54&lt;=-0.2),"超过20%","")</f>
        <v>超过20%</v>
      </c>
      <c r="G54" s="626">
        <f>IF(G49&lt;I49,I49/G49-1,G49/I49-1)</f>
        <v>8.5171739737504026E-3</v>
      </c>
      <c r="H54" s="627" t="str">
        <f>IF(OR(G54&gt;=0.2,G54&lt;=-0.2),"超过20%","")</f>
        <v/>
      </c>
      <c r="I54" s="626">
        <f>IF(I49&lt;E49,E49/I49-1,I49/E49-1)</f>
        <v>0.23660332134908413</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0.20958802017958877</v>
      </c>
      <c r="F55" s="627" t="str">
        <f>IF(OR(E55&gt;=0.3,E55&lt;=-0.3),"超过30%","")</f>
        <v/>
      </c>
      <c r="G55" s="626">
        <f>IF(G48&lt;I48,I48/G48-1,G48/I48-1)</f>
        <v>6.2492750441833333E-2</v>
      </c>
      <c r="H55" s="627" t="str">
        <f>IF(OR(G55&gt;=0.3,G55&lt;=-0.3),"超过30%","")</f>
        <v/>
      </c>
      <c r="I55" s="626">
        <f>IF(I48&lt;E48,E48/I48-1,I48/E48-1)</f>
        <v>0.28517850246210319</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57" t="s">
        <v>2281</v>
      </c>
      <c r="H57" s="3358"/>
      <c r="I57" s="1542" t="s">
        <v>1722</v>
      </c>
      <c r="J57" s="1542" t="str">
        <f>项目基本情况!F41</f>
        <v>浙江省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6742</v>
      </c>
      <c r="C58" s="635">
        <v>1</v>
      </c>
      <c r="D58" s="2214">
        <v>1</v>
      </c>
      <c r="E58" s="635">
        <f>'数据-汇总表'!E8+'数据-汇总表'!E9</f>
        <v>183522.24</v>
      </c>
      <c r="F58" s="636">
        <f t="shared" ref="F58:F67" si="15">ROUND(B58*E58/10000,0)</f>
        <v>123731</v>
      </c>
      <c r="G58" s="3359"/>
      <c r="H58" s="336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6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6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6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6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183522.24</v>
      </c>
      <c r="F68" s="644">
        <f>IF(B48="楼面地价",SUM(F58:F67),ROUND(C50*E68/10000,0))</f>
        <v>123731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4" t="str">
        <f>YEAR(C9)&amp;"-"&amp;MONTH(C9)&amp;"-1"</f>
        <v>2019-7-1</v>
      </c>
      <c r="D70" s="2754">
        <f>EDATE(C70,-3)</f>
        <v>43556</v>
      </c>
      <c r="E70" s="2754">
        <f t="shared" ref="E70:N70" si="18">EDATE(D70,-3)</f>
        <v>43466</v>
      </c>
      <c r="F70" s="2754">
        <f t="shared" si="18"/>
        <v>43374</v>
      </c>
      <c r="G70" s="2754">
        <f t="shared" si="18"/>
        <v>43282</v>
      </c>
      <c r="H70" s="2754">
        <f t="shared" si="18"/>
        <v>43191</v>
      </c>
      <c r="I70" s="2754">
        <f t="shared" si="18"/>
        <v>43101</v>
      </c>
      <c r="J70" s="2754">
        <f t="shared" si="18"/>
        <v>43009</v>
      </c>
      <c r="K70" s="2754">
        <f t="shared" si="18"/>
        <v>42917</v>
      </c>
      <c r="L70" s="2754">
        <f t="shared" si="18"/>
        <v>42826</v>
      </c>
      <c r="M70" s="2754">
        <f t="shared" si="18"/>
        <v>42736</v>
      </c>
      <c r="N70" s="2754">
        <f t="shared" si="18"/>
        <v>42644</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2" t="s">
        <v>2532</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1" t="s">
        <v>2647</v>
      </c>
      <c r="B73" s="479" t="str">
        <f>"北京市平均增长率"&amp;TEXT(SUMIF(基准地价!N21:N25,A73,基准地价!P21:P25),"0.00%")</f>
        <v>北京市平均增长率2.04%</v>
      </c>
      <c r="C73" s="894">
        <v>100</v>
      </c>
      <c r="D73" s="3190">
        <f>C73-$C$74</f>
        <v>99</v>
      </c>
      <c r="E73" s="3190">
        <f t="shared" ref="E73:J73" si="20">D73-$C$74</f>
        <v>98</v>
      </c>
      <c r="F73" s="3190">
        <f t="shared" si="20"/>
        <v>97</v>
      </c>
      <c r="G73" s="3190">
        <f t="shared" si="20"/>
        <v>96</v>
      </c>
      <c r="H73" s="3190">
        <f t="shared" si="20"/>
        <v>95</v>
      </c>
      <c r="I73" s="3190">
        <f t="shared" si="20"/>
        <v>94</v>
      </c>
      <c r="J73" s="3190">
        <f t="shared" si="20"/>
        <v>93</v>
      </c>
      <c r="K73" s="730"/>
      <c r="L73" s="730"/>
      <c r="M73" s="2748"/>
      <c r="N73" s="2749"/>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2" t="s">
        <v>2646</v>
      </c>
      <c r="B74" s="2760"/>
      <c r="C74" s="3189">
        <v>1</v>
      </c>
      <c r="D74" s="2747"/>
      <c r="E74" s="2747"/>
      <c r="F74" s="2747"/>
      <c r="G74" s="2747"/>
      <c r="H74" s="2747"/>
      <c r="I74" s="2747"/>
      <c r="J74" s="2747"/>
      <c r="K74" s="2747"/>
      <c r="L74" s="2747"/>
      <c r="M74" s="2747"/>
      <c r="N74" s="2747"/>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91" t="s">
        <v>3510</v>
      </c>
      <c r="D77" s="3191" t="s">
        <v>3524</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1" t="s">
        <v>2550</v>
      </c>
      <c r="C104" s="2562" t="s">
        <v>2551</v>
      </c>
      <c r="D104" s="2562" t="s">
        <v>2552</v>
      </c>
      <c r="E104" s="2562" t="s">
        <v>2553</v>
      </c>
      <c r="F104" s="2562" t="s">
        <v>2554</v>
      </c>
      <c r="G104" s="2562"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4"/>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100000(含)-120000</v>
      </c>
      <c r="I118" s="704" t="str">
        <f t="shared" si="26"/>
        <v>120000(含)-140000</v>
      </c>
      <c r="J118" s="3044" t="str">
        <f t="shared" si="26"/>
        <v>140000(含)-160000</v>
      </c>
      <c r="K118" s="3044" t="str">
        <f t="shared" si="26"/>
        <v>160000(含)-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f>C119+20000</f>
        <v>20000</v>
      </c>
      <c r="E119" s="730">
        <f t="shared" ref="E119:K119" si="27">D119+20000</f>
        <v>40000</v>
      </c>
      <c r="F119" s="730">
        <f t="shared" si="27"/>
        <v>60000</v>
      </c>
      <c r="G119" s="730">
        <f t="shared" si="27"/>
        <v>80000</v>
      </c>
      <c r="H119" s="730">
        <f t="shared" si="27"/>
        <v>100000</v>
      </c>
      <c r="I119" s="730">
        <f t="shared" si="27"/>
        <v>120000</v>
      </c>
      <c r="J119" s="730">
        <f t="shared" si="27"/>
        <v>140000</v>
      </c>
      <c r="K119" s="730">
        <f t="shared" si="27"/>
        <v>160000</v>
      </c>
      <c r="L119" s="2332"/>
      <c r="M119" s="2333"/>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C120+0.5</f>
        <v>100.5</v>
      </c>
      <c r="E120" s="726">
        <f t="shared" ref="E120:K120" si="28">D120+0.5</f>
        <v>101</v>
      </c>
      <c r="F120" s="726">
        <f t="shared" si="28"/>
        <v>101.5</v>
      </c>
      <c r="G120" s="726">
        <f t="shared" si="28"/>
        <v>102</v>
      </c>
      <c r="H120" s="726">
        <f t="shared" si="28"/>
        <v>102.5</v>
      </c>
      <c r="I120" s="726">
        <f t="shared" si="28"/>
        <v>103</v>
      </c>
      <c r="J120" s="726">
        <f t="shared" si="28"/>
        <v>103.5</v>
      </c>
      <c r="K120" s="726">
        <f t="shared" si="28"/>
        <v>104</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6" t="s">
        <v>3511</v>
      </c>
      <c r="D121" s="3186" t="s">
        <v>3513</v>
      </c>
      <c r="E121" s="3186" t="s">
        <v>3515</v>
      </c>
      <c r="F121" s="3186" t="s">
        <v>3516</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9">C122-$K41</f>
        <v>98</v>
      </c>
      <c r="E122" s="679">
        <f t="shared" si="29"/>
        <v>96</v>
      </c>
      <c r="F122" s="679">
        <f t="shared" si="29"/>
        <v>94</v>
      </c>
      <c r="G122" s="679">
        <f t="shared" si="29"/>
        <v>92</v>
      </c>
      <c r="H122" s="679">
        <f t="shared" si="29"/>
        <v>90</v>
      </c>
      <c r="I122" s="679">
        <f t="shared" si="29"/>
        <v>88</v>
      </c>
      <c r="J122" s="679">
        <f t="shared" si="29"/>
        <v>86</v>
      </c>
      <c r="K122" s="679">
        <f t="shared" si="29"/>
        <v>84</v>
      </c>
      <c r="L122" s="679">
        <f t="shared" si="29"/>
        <v>82</v>
      </c>
      <c r="M122" s="680">
        <f t="shared" si="29"/>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3517</v>
      </c>
      <c r="D125" s="1372" t="s">
        <v>3518</v>
      </c>
      <c r="E125" s="1372" t="s">
        <v>3519</v>
      </c>
      <c r="F125" s="1372" t="s">
        <v>3520</v>
      </c>
      <c r="G125" s="1372" t="s">
        <v>3521</v>
      </c>
      <c r="H125" s="3186" t="s">
        <v>3522</v>
      </c>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31">D126-$K43</f>
        <v>100</v>
      </c>
      <c r="F126" s="679">
        <f t="shared" si="31"/>
        <v>100</v>
      </c>
      <c r="G126" s="679">
        <f t="shared" si="31"/>
        <v>100</v>
      </c>
      <c r="H126" s="679">
        <f t="shared" si="31"/>
        <v>100</v>
      </c>
      <c r="I126" s="679">
        <f t="shared" si="31"/>
        <v>100</v>
      </c>
      <c r="J126" s="679">
        <f t="shared" si="31"/>
        <v>100</v>
      </c>
      <c r="K126" s="679">
        <f t="shared" si="31"/>
        <v>100</v>
      </c>
      <c r="L126" s="679">
        <f t="shared" si="31"/>
        <v>100</v>
      </c>
      <c r="M126" s="680">
        <f t="shared" si="31"/>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2">C128-$K44</f>
        <v>100</v>
      </c>
      <c r="E128" s="679">
        <f t="shared" si="32"/>
        <v>100</v>
      </c>
      <c r="F128" s="679">
        <f t="shared" si="32"/>
        <v>100</v>
      </c>
      <c r="G128" s="679">
        <f t="shared" si="32"/>
        <v>100</v>
      </c>
      <c r="H128" s="679">
        <f t="shared" si="32"/>
        <v>100</v>
      </c>
      <c r="I128" s="679">
        <f t="shared" si="32"/>
        <v>100</v>
      </c>
      <c r="J128" s="679">
        <f t="shared" si="32"/>
        <v>100</v>
      </c>
      <c r="K128" s="679">
        <f t="shared" si="32"/>
        <v>100</v>
      </c>
      <c r="L128" s="679">
        <f t="shared" si="32"/>
        <v>100</v>
      </c>
      <c r="M128" s="680">
        <f t="shared" si="32"/>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79" t="s">
        <v>522</v>
      </c>
      <c r="D6" s="3380"/>
      <c r="E6" s="3403" t="s">
        <v>523</v>
      </c>
      <c r="F6" s="3404"/>
      <c r="G6" s="3379" t="s">
        <v>524</v>
      </c>
      <c r="H6" s="3380"/>
      <c r="I6" s="3379" t="s">
        <v>525</v>
      </c>
      <c r="J6" s="3380"/>
      <c r="K6" s="514" t="s">
        <v>526</v>
      </c>
      <c r="L6" s="2119"/>
      <c r="M6" s="2120"/>
      <c r="N6" s="2120"/>
      <c r="O6" s="2120"/>
      <c r="P6" s="3381" t="s">
        <v>527</v>
      </c>
      <c r="Q6" s="3382"/>
      <c r="R6" s="3367" t="s">
        <v>523</v>
      </c>
      <c r="S6" s="3368"/>
      <c r="T6" s="3367" t="s">
        <v>524</v>
      </c>
      <c r="U6" s="3368"/>
      <c r="V6" s="3387" t="s">
        <v>525</v>
      </c>
      <c r="W6" s="3387"/>
      <c r="X6" s="1554"/>
      <c r="Y6" s="3367" t="s">
        <v>527</v>
      </c>
      <c r="Z6" s="3368"/>
      <c r="AA6" s="3362" t="s">
        <v>523</v>
      </c>
      <c r="AB6" s="3363" t="s">
        <v>524</v>
      </c>
      <c r="AC6" s="3362" t="s">
        <v>525</v>
      </c>
    </row>
    <row r="7" spans="1:29">
      <c r="A7" s="515"/>
      <c r="B7" s="516"/>
      <c r="C7" s="3390" t="s">
        <v>2931</v>
      </c>
      <c r="D7" s="3391"/>
      <c r="E7" s="3405" t="s">
        <v>2932</v>
      </c>
      <c r="F7" s="3406"/>
      <c r="G7" s="3390" t="s">
        <v>2933</v>
      </c>
      <c r="H7" s="3391"/>
      <c r="I7" s="3390" t="s">
        <v>2934</v>
      </c>
      <c r="J7" s="3391"/>
      <c r="K7" s="514"/>
      <c r="L7" s="2119"/>
      <c r="M7" s="2120"/>
      <c r="N7" s="2120"/>
      <c r="O7" s="2120"/>
      <c r="P7" s="3383"/>
      <c r="Q7" s="3384"/>
      <c r="R7" s="3369"/>
      <c r="S7" s="3370"/>
      <c r="T7" s="3369"/>
      <c r="U7" s="3370"/>
      <c r="V7" s="3387"/>
      <c r="W7" s="3387"/>
      <c r="X7" s="1554"/>
      <c r="Y7" s="3369"/>
      <c r="Z7" s="3370"/>
      <c r="AA7" s="3363"/>
      <c r="AB7" s="3363"/>
      <c r="AC7" s="3363"/>
    </row>
    <row r="8" spans="1:29" ht="15" thickBot="1">
      <c r="A8" s="517"/>
      <c r="B8" s="518"/>
      <c r="C8" s="3388" t="s">
        <v>2935</v>
      </c>
      <c r="D8" s="3389"/>
      <c r="E8" s="3407" t="s">
        <v>2935</v>
      </c>
      <c r="F8" s="3408"/>
      <c r="G8" s="3388" t="s">
        <v>2935</v>
      </c>
      <c r="H8" s="3389"/>
      <c r="I8" s="3388" t="s">
        <v>2935</v>
      </c>
      <c r="J8" s="3389"/>
      <c r="K8" s="514" t="s">
        <v>528</v>
      </c>
      <c r="L8" s="2119"/>
      <c r="M8" s="2120"/>
      <c r="N8" s="2120"/>
      <c r="O8" s="2120"/>
      <c r="P8" s="3385"/>
      <c r="Q8" s="3386"/>
      <c r="R8" s="3369"/>
      <c r="S8" s="3370"/>
      <c r="T8" s="3371"/>
      <c r="U8" s="3372"/>
      <c r="V8" s="3387"/>
      <c r="W8" s="3387"/>
      <c r="X8" s="1554"/>
      <c r="Y8" s="3371"/>
      <c r="Z8" s="3372"/>
      <c r="AA8" s="3364"/>
      <c r="AB8" s="3364"/>
      <c r="AC8" s="3364"/>
    </row>
    <row r="9" spans="1:29" s="1216" customFormat="1" ht="15" thickBot="1">
      <c r="A9" s="2867"/>
      <c r="B9" s="2874" t="s">
        <v>529</v>
      </c>
      <c r="C9" s="519">
        <f>'数据-取费表'!B2</f>
        <v>43676</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5" t="s">
        <v>530</v>
      </c>
      <c r="Q9" s="3374"/>
      <c r="R9" s="1555" t="s">
        <v>8</v>
      </c>
      <c r="S9" s="1556">
        <f t="shared" ref="S9:S17" si="0">F9</f>
        <v>0</v>
      </c>
      <c r="T9" s="1555" t="s">
        <v>8</v>
      </c>
      <c r="U9" s="1556">
        <f t="shared" ref="U9:U17" si="1">H9</f>
        <v>0</v>
      </c>
      <c r="V9" s="1555" t="s">
        <v>8</v>
      </c>
      <c r="W9" s="1556">
        <f t="shared" ref="W9:W17" si="2">J9</f>
        <v>0</v>
      </c>
      <c r="X9" s="1557"/>
      <c r="Y9" s="3365" t="s">
        <v>530</v>
      </c>
      <c r="Z9" s="3366"/>
      <c r="AA9" s="1558" t="e">
        <f>D9/F9</f>
        <v>#DIV/0!</v>
      </c>
      <c r="AB9" s="1558" t="e">
        <f>D9/H9</f>
        <v>#DIV/0!</v>
      </c>
      <c r="AC9" s="1558" t="e">
        <f>D9/J9</f>
        <v>#DIV/0!</v>
      </c>
    </row>
    <row r="10" spans="1:29" s="1216"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5" t="s">
        <v>533</v>
      </c>
      <c r="Q10" s="3366"/>
      <c r="R10" s="1555" t="s">
        <v>8</v>
      </c>
      <c r="S10" s="1556">
        <f t="shared" si="0"/>
        <v>0</v>
      </c>
      <c r="T10" s="1555" t="s">
        <v>8</v>
      </c>
      <c r="U10" s="1556">
        <f t="shared" si="1"/>
        <v>0</v>
      </c>
      <c r="V10" s="1555" t="s">
        <v>8</v>
      </c>
      <c r="W10" s="1556">
        <f t="shared" si="2"/>
        <v>0</v>
      </c>
      <c r="X10" s="1557"/>
      <c r="Y10" s="3365" t="s">
        <v>533</v>
      </c>
      <c r="Z10" s="3366"/>
      <c r="AA10" s="1558" t="e">
        <f t="shared" ref="AA10:AA42" si="3">D10/F10</f>
        <v>#DIV/0!</v>
      </c>
      <c r="AB10" s="1558" t="e">
        <f t="shared" ref="AB10:AB42" si="4">D10/H10</f>
        <v>#DIV/0!</v>
      </c>
      <c r="AC10" s="1558" t="e">
        <f t="shared" ref="AC10:AC42" si="5">D10/J10</f>
        <v>#DIV/0!</v>
      </c>
    </row>
    <row r="11" spans="1:29" s="1216" customFormat="1" ht="14.4">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3" t="s">
        <v>535</v>
      </c>
      <c r="Q11" s="1147" t="str">
        <f t="shared" ref="Q11:Q17" si="6">B11</f>
        <v>用途</v>
      </c>
      <c r="R11" s="1555" t="s">
        <v>8</v>
      </c>
      <c r="S11" s="1556">
        <f t="shared" si="0"/>
        <v>100</v>
      </c>
      <c r="T11" s="1555" t="s">
        <v>8</v>
      </c>
      <c r="U11" s="1556">
        <f t="shared" si="1"/>
        <v>100</v>
      </c>
      <c r="V11" s="1555" t="s">
        <v>8</v>
      </c>
      <c r="W11" s="1556">
        <f t="shared" si="2"/>
        <v>100</v>
      </c>
      <c r="X11" s="1557"/>
      <c r="Y11" s="3330" t="s">
        <v>536</v>
      </c>
      <c r="Z11" s="1146" t="str">
        <f t="shared" ref="Z11:Z17" si="7">Q11</f>
        <v>用途</v>
      </c>
      <c r="AA11" s="1558">
        <f t="shared" si="3"/>
        <v>1</v>
      </c>
      <c r="AB11" s="1558">
        <f t="shared" si="4"/>
        <v>1</v>
      </c>
      <c r="AC11" s="1558">
        <f t="shared" si="5"/>
        <v>1</v>
      </c>
    </row>
    <row r="12" spans="1:29" s="1334" customFormat="1" ht="28.8">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73"/>
      <c r="Q12" s="1147" t="str">
        <f t="shared" si="6"/>
        <v>土地使用年限（年）</v>
      </c>
      <c r="R12" s="1555" t="s">
        <v>8</v>
      </c>
      <c r="S12" s="1556">
        <f t="shared" si="0"/>
        <v>104</v>
      </c>
      <c r="T12" s="1555" t="s">
        <v>8</v>
      </c>
      <c r="U12" s="1556">
        <f t="shared" si="1"/>
        <v>104</v>
      </c>
      <c r="V12" s="1555" t="s">
        <v>8</v>
      </c>
      <c r="W12" s="1556">
        <f t="shared" si="2"/>
        <v>104</v>
      </c>
      <c r="X12" s="1557"/>
      <c r="Y12" s="3330"/>
      <c r="Z12" s="1146" t="str">
        <f t="shared" si="7"/>
        <v>土地使用年限（年）</v>
      </c>
      <c r="AA12" s="1558">
        <f t="shared" si="3"/>
        <v>0.96153846153846156</v>
      </c>
      <c r="AB12" s="1558">
        <f t="shared" si="4"/>
        <v>0.96153846153846156</v>
      </c>
      <c r="AC12" s="1558">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3"/>
      <c r="Q13" s="1147" t="str">
        <f t="shared" si="6"/>
        <v>容积率</v>
      </c>
      <c r="R13" s="1555" t="s">
        <v>8</v>
      </c>
      <c r="S13" s="1556" t="e">
        <f t="shared" si="0"/>
        <v>#N/A</v>
      </c>
      <c r="T13" s="1555" t="s">
        <v>8</v>
      </c>
      <c r="U13" s="1556" t="e">
        <f t="shared" si="1"/>
        <v>#N/A</v>
      </c>
      <c r="V13" s="1555" t="s">
        <v>8</v>
      </c>
      <c r="W13" s="1556" t="e">
        <f t="shared" si="2"/>
        <v>#N/A</v>
      </c>
      <c r="X13" s="1557"/>
      <c r="Y13" s="3330"/>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3"/>
      <c r="Q15" s="1147">
        <f t="shared" si="6"/>
        <v>111</v>
      </c>
      <c r="R15" s="1555" t="s">
        <v>8</v>
      </c>
      <c r="S15" s="1556">
        <f t="shared" si="0"/>
        <v>100</v>
      </c>
      <c r="T15" s="1555" t="s">
        <v>8</v>
      </c>
      <c r="U15" s="1556">
        <f t="shared" si="1"/>
        <v>100</v>
      </c>
      <c r="V15" s="1555" t="s">
        <v>8</v>
      </c>
      <c r="W15" s="1556">
        <f t="shared" si="2"/>
        <v>100</v>
      </c>
      <c r="X15" s="1557"/>
      <c r="Y15" s="3330"/>
      <c r="Z15" s="1146">
        <f t="shared" si="7"/>
        <v>111</v>
      </c>
      <c r="AA15" s="1558">
        <f t="shared" si="3"/>
        <v>1</v>
      </c>
      <c r="AB15" s="1558">
        <f t="shared" si="4"/>
        <v>1</v>
      </c>
      <c r="AC15" s="1558">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3"/>
      <c r="Q16" s="1147">
        <f t="shared" si="6"/>
        <v>111</v>
      </c>
      <c r="R16" s="1555" t="s">
        <v>8</v>
      </c>
      <c r="S16" s="1556">
        <f t="shared" si="0"/>
        <v>100</v>
      </c>
      <c r="T16" s="1555" t="s">
        <v>8</v>
      </c>
      <c r="U16" s="1556">
        <f t="shared" si="1"/>
        <v>100</v>
      </c>
      <c r="V16" s="1555" t="s">
        <v>8</v>
      </c>
      <c r="W16" s="1556">
        <f t="shared" si="2"/>
        <v>100</v>
      </c>
      <c r="X16" s="1557"/>
      <c r="Y16" s="3330"/>
      <c r="Z16" s="1146">
        <f t="shared" si="7"/>
        <v>111</v>
      </c>
      <c r="AA16" s="1558">
        <f t="shared" si="3"/>
        <v>1</v>
      </c>
      <c r="AB16" s="1558">
        <f t="shared" si="4"/>
        <v>1</v>
      </c>
      <c r="AC16" s="1558">
        <f t="shared" si="5"/>
        <v>1</v>
      </c>
    </row>
    <row r="17" spans="1:29" ht="69">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5" t="s">
        <v>540</v>
      </c>
      <c r="Q17" s="1559" t="str">
        <f t="shared" si="6"/>
        <v>产业集聚程度</v>
      </c>
      <c r="R17" s="1560" t="s">
        <v>8</v>
      </c>
      <c r="S17" s="1561">
        <f t="shared" si="0"/>
        <v>100</v>
      </c>
      <c r="T17" s="1560" t="s">
        <v>8</v>
      </c>
      <c r="U17" s="1561">
        <f t="shared" si="1"/>
        <v>100</v>
      </c>
      <c r="V17" s="1560" t="s">
        <v>8</v>
      </c>
      <c r="W17" s="1561">
        <f t="shared" si="2"/>
        <v>100</v>
      </c>
      <c r="X17" s="1554"/>
      <c r="Y17" s="337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6"/>
      <c r="Q18" s="1559"/>
      <c r="R18" s="1560"/>
      <c r="S18" s="1561"/>
      <c r="T18" s="1560"/>
      <c r="U18" s="1561"/>
      <c r="V18" s="1560"/>
      <c r="W18" s="1561"/>
      <c r="X18" s="1554"/>
      <c r="Y18" s="3376"/>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6"/>
      <c r="Q19" s="1559" t="str">
        <f>B19</f>
        <v>交通便捷度</v>
      </c>
      <c r="R19" s="1560" t="s">
        <v>8</v>
      </c>
      <c r="S19" s="1561">
        <f>F19</f>
        <v>100</v>
      </c>
      <c r="T19" s="1560" t="s">
        <v>8</v>
      </c>
      <c r="U19" s="1561">
        <f>H19</f>
        <v>100</v>
      </c>
      <c r="V19" s="1560" t="s">
        <v>8</v>
      </c>
      <c r="W19" s="1561">
        <f>J19</f>
        <v>100</v>
      </c>
      <c r="X19" s="1554"/>
      <c r="Y19" s="337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6"/>
      <c r="Q20" s="1559"/>
      <c r="R20" s="1560"/>
      <c r="S20" s="1561"/>
      <c r="T20" s="1560"/>
      <c r="U20" s="1561"/>
      <c r="V20" s="1560"/>
      <c r="W20" s="1561"/>
      <c r="X20" s="1554"/>
      <c r="Y20" s="3376"/>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6"/>
      <c r="Q21" s="1559" t="str">
        <f t="shared" ref="Q21:Q35" si="8">B21</f>
        <v>区域土地利用方向</v>
      </c>
      <c r="R21" s="1560" t="s">
        <v>8</v>
      </c>
      <c r="S21" s="1561">
        <f>F21</f>
        <v>100</v>
      </c>
      <c r="T21" s="1560" t="s">
        <v>8</v>
      </c>
      <c r="U21" s="1561">
        <f>H21</f>
        <v>100</v>
      </c>
      <c r="V21" s="1560" t="s">
        <v>8</v>
      </c>
      <c r="W21" s="1561">
        <f>J21</f>
        <v>100</v>
      </c>
      <c r="X21" s="1554"/>
      <c r="Y21" s="337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6"/>
      <c r="Q22" s="1559"/>
      <c r="R22" s="1560"/>
      <c r="S22" s="1561"/>
      <c r="T22" s="1560"/>
      <c r="U22" s="1561"/>
      <c r="V22" s="1560"/>
      <c r="W22" s="1561"/>
      <c r="X22" s="1554"/>
      <c r="Y22" s="3376"/>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6"/>
      <c r="Q23" s="1559" t="str">
        <f t="shared" si="8"/>
        <v>环境状况</v>
      </c>
      <c r="R23" s="1560" t="s">
        <v>8</v>
      </c>
      <c r="S23" s="1561">
        <f>F23</f>
        <v>100</v>
      </c>
      <c r="T23" s="1560" t="s">
        <v>8</v>
      </c>
      <c r="U23" s="1561">
        <f>H23</f>
        <v>100</v>
      </c>
      <c r="V23" s="1560" t="s">
        <v>8</v>
      </c>
      <c r="W23" s="1561">
        <f>J23</f>
        <v>100</v>
      </c>
      <c r="X23" s="1554"/>
      <c r="Y23" s="337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6"/>
      <c r="Q24" s="1559"/>
      <c r="R24" s="1560"/>
      <c r="S24" s="1561"/>
      <c r="T24" s="1560"/>
      <c r="U24" s="1561"/>
      <c r="V24" s="1560"/>
      <c r="W24" s="1561"/>
      <c r="X24" s="1554"/>
      <c r="Y24" s="3376"/>
      <c r="Z24" s="1562"/>
      <c r="AA24" s="1563">
        <v>1</v>
      </c>
      <c r="AB24" s="1563">
        <v>1</v>
      </c>
      <c r="AC24" s="1563">
        <v>1</v>
      </c>
    </row>
    <row r="25" spans="1:29" s="1216" customFormat="1" ht="41.4">
      <c r="A25" s="577"/>
      <c r="B25" s="2557"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6"/>
      <c r="Q25" s="1147" t="str">
        <f t="shared" si="8"/>
        <v>公共配套设施</v>
      </c>
      <c r="R25" s="1555" t="s">
        <v>8</v>
      </c>
      <c r="S25" s="1556">
        <f>F25</f>
        <v>100</v>
      </c>
      <c r="T25" s="1555" t="s">
        <v>8</v>
      </c>
      <c r="U25" s="1556">
        <f>H25</f>
        <v>100</v>
      </c>
      <c r="V25" s="1555" t="s">
        <v>8</v>
      </c>
      <c r="W25" s="1556">
        <f>J25</f>
        <v>100</v>
      </c>
      <c r="X25" s="1557"/>
      <c r="Y25" s="3376"/>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1"/>
      <c r="M26" s="2122"/>
      <c r="N26" s="2122"/>
      <c r="O26" s="2123"/>
      <c r="P26" s="3376"/>
      <c r="Q26" s="1147"/>
      <c r="R26" s="1555"/>
      <c r="S26" s="1556"/>
      <c r="T26" s="1555"/>
      <c r="U26" s="1556"/>
      <c r="V26" s="1555"/>
      <c r="W26" s="1556"/>
      <c r="X26" s="1557"/>
      <c r="Y26" s="3376"/>
      <c r="Z26" s="1146"/>
      <c r="AA26" s="1558">
        <v>1</v>
      </c>
      <c r="AB26" s="1558">
        <v>1</v>
      </c>
      <c r="AC26" s="1558">
        <v>1</v>
      </c>
    </row>
    <row r="27" spans="1:29" s="1216" customFormat="1" ht="41.4">
      <c r="A27" s="577"/>
      <c r="B27" s="2557"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6"/>
      <c r="Q27" s="2542" t="str">
        <f t="shared" ref="Q27" si="9">B27</f>
        <v>基础设施水平</v>
      </c>
      <c r="R27" s="1555" t="s">
        <v>8</v>
      </c>
      <c r="S27" s="1556">
        <f>F27</f>
        <v>100</v>
      </c>
      <c r="T27" s="1555" t="s">
        <v>8</v>
      </c>
      <c r="U27" s="1556">
        <f>H27</f>
        <v>100</v>
      </c>
      <c r="V27" s="1555" t="s">
        <v>8</v>
      </c>
      <c r="W27" s="1556">
        <f>J27</f>
        <v>100</v>
      </c>
      <c r="X27" s="1557"/>
      <c r="Y27" s="3376"/>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1"/>
      <c r="M28" s="2122"/>
      <c r="N28" s="2122"/>
      <c r="O28" s="2123"/>
      <c r="P28" s="3376"/>
      <c r="Q28" s="2542"/>
      <c r="R28" s="1555"/>
      <c r="S28" s="1556"/>
      <c r="T28" s="1555"/>
      <c r="U28" s="1556"/>
      <c r="V28" s="1555"/>
      <c r="W28" s="1556"/>
      <c r="X28" s="1557"/>
      <c r="Y28" s="3376"/>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6"/>
      <c r="Z29" s="1562" t="str">
        <f t="shared" ref="Z29:Z42" si="13">Q29</f>
        <v>临街状况</v>
      </c>
      <c r="AA29" s="1563">
        <f t="shared" si="3"/>
        <v>1</v>
      </c>
      <c r="AB29" s="1563">
        <f t="shared" si="4"/>
        <v>1</v>
      </c>
      <c r="AC29" s="1563">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6"/>
      <c r="Q30" s="1559" t="str">
        <f t="shared" si="8"/>
        <v>毗邻道路的类型与等级</v>
      </c>
      <c r="R30" s="1560" t="s">
        <v>8</v>
      </c>
      <c r="S30" s="1561">
        <f t="shared" si="10"/>
        <v>100</v>
      </c>
      <c r="T30" s="1560" t="s">
        <v>8</v>
      </c>
      <c r="U30" s="1561">
        <f t="shared" si="11"/>
        <v>100</v>
      </c>
      <c r="V30" s="1560" t="s">
        <v>8</v>
      </c>
      <c r="W30" s="1561">
        <f t="shared" si="12"/>
        <v>100</v>
      </c>
      <c r="X30" s="1554"/>
      <c r="Y30" s="337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6"/>
      <c r="Q31" s="1559"/>
      <c r="R31" s="1560"/>
      <c r="S31" s="1561"/>
      <c r="T31" s="1560"/>
      <c r="U31" s="1561"/>
      <c r="V31" s="1560"/>
      <c r="W31" s="1561"/>
      <c r="X31" s="1554"/>
      <c r="Y31" s="3376"/>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6"/>
      <c r="Q32" s="1559" t="str">
        <f t="shared" si="8"/>
        <v>土地级别</v>
      </c>
      <c r="R32" s="1560" t="s">
        <v>8</v>
      </c>
      <c r="S32" s="1561">
        <f t="shared" si="10"/>
        <v>100</v>
      </c>
      <c r="T32" s="1560" t="s">
        <v>8</v>
      </c>
      <c r="U32" s="1561">
        <f t="shared" si="11"/>
        <v>100</v>
      </c>
      <c r="V32" s="1560" t="s">
        <v>8</v>
      </c>
      <c r="W32" s="1561">
        <f t="shared" si="12"/>
        <v>100</v>
      </c>
      <c r="X32" s="1554"/>
      <c r="Y32" s="337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6"/>
      <c r="Q33" s="1559">
        <f t="shared" si="8"/>
        <v>111</v>
      </c>
      <c r="R33" s="1560" t="s">
        <v>8</v>
      </c>
      <c r="S33" s="1561">
        <f t="shared" si="10"/>
        <v>100</v>
      </c>
      <c r="T33" s="1560" t="s">
        <v>8</v>
      </c>
      <c r="U33" s="1561">
        <f t="shared" si="11"/>
        <v>100</v>
      </c>
      <c r="V33" s="1560" t="s">
        <v>8</v>
      </c>
      <c r="W33" s="1561">
        <f t="shared" si="12"/>
        <v>100</v>
      </c>
      <c r="X33" s="1554"/>
      <c r="Y33" s="337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7" t="s">
        <v>550</v>
      </c>
      <c r="Q34" s="1559">
        <f t="shared" si="8"/>
        <v>111</v>
      </c>
      <c r="R34" s="1560" t="s">
        <v>8</v>
      </c>
      <c r="S34" s="1561">
        <f t="shared" si="10"/>
        <v>100</v>
      </c>
      <c r="T34" s="1560" t="s">
        <v>8</v>
      </c>
      <c r="U34" s="1561">
        <f t="shared" si="11"/>
        <v>100</v>
      </c>
      <c r="V34" s="1560" t="s">
        <v>8</v>
      </c>
      <c r="W34" s="1561">
        <f t="shared" si="12"/>
        <v>100</v>
      </c>
      <c r="X34" s="1554"/>
      <c r="Y34" s="3378" t="s">
        <v>550</v>
      </c>
      <c r="Z34" s="1562">
        <f t="shared" si="13"/>
        <v>111</v>
      </c>
      <c r="AA34" s="1563">
        <f t="shared" si="3"/>
        <v>1</v>
      </c>
      <c r="AB34" s="1563">
        <f t="shared" si="4"/>
        <v>1</v>
      </c>
      <c r="AC34" s="1563">
        <f t="shared" si="5"/>
        <v>1</v>
      </c>
    </row>
    <row r="35" spans="1:29" s="1335"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8"/>
      <c r="Q35" s="1559">
        <f t="shared" si="8"/>
        <v>111</v>
      </c>
      <c r="R35" s="1564" t="s">
        <v>8</v>
      </c>
      <c r="S35" s="1565">
        <f t="shared" si="10"/>
        <v>100</v>
      </c>
      <c r="T35" s="1564" t="s">
        <v>8</v>
      </c>
      <c r="U35" s="1565">
        <f t="shared" si="11"/>
        <v>100</v>
      </c>
      <c r="V35" s="1564" t="s">
        <v>8</v>
      </c>
      <c r="W35" s="1565">
        <f t="shared" si="12"/>
        <v>100</v>
      </c>
      <c r="X35" s="1566"/>
      <c r="Y35" s="3378"/>
      <c r="Z35" s="1567">
        <f t="shared" si="13"/>
        <v>111</v>
      </c>
      <c r="AA35" s="1563">
        <f t="shared" si="3"/>
        <v>1</v>
      </c>
      <c r="AB35" s="1563">
        <f t="shared" si="4"/>
        <v>1</v>
      </c>
      <c r="AC35" s="1563">
        <f t="shared" si="5"/>
        <v>1</v>
      </c>
    </row>
    <row r="36" spans="1:29" ht="15">
      <c r="A36" s="2862"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8"/>
      <c r="Q36" s="1559" t="str">
        <f>B36</f>
        <v>宗地面积</v>
      </c>
      <c r="R36" s="1560" t="s">
        <v>8</v>
      </c>
      <c r="S36" s="1561" t="e">
        <f t="shared" si="10"/>
        <v>#N/A</v>
      </c>
      <c r="T36" s="1560" t="s">
        <v>8</v>
      </c>
      <c r="U36" s="1561" t="e">
        <f t="shared" si="11"/>
        <v>#N/A</v>
      </c>
      <c r="V36" s="1560" t="s">
        <v>8</v>
      </c>
      <c r="W36" s="1561" t="e">
        <f t="shared" si="12"/>
        <v>#N/A</v>
      </c>
      <c r="X36" s="1554"/>
      <c r="Y36" s="337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8"/>
      <c r="Q37" s="1559" t="str">
        <f t="shared" ref="Q37:Q42" si="14">B37</f>
        <v>宗地形状</v>
      </c>
      <c r="R37" s="1560" t="s">
        <v>8</v>
      </c>
      <c r="S37" s="1561">
        <f t="shared" si="10"/>
        <v>100</v>
      </c>
      <c r="T37" s="1560" t="s">
        <v>8</v>
      </c>
      <c r="U37" s="1561">
        <f t="shared" si="11"/>
        <v>100</v>
      </c>
      <c r="V37" s="1560" t="s">
        <v>8</v>
      </c>
      <c r="W37" s="1561">
        <f t="shared" si="12"/>
        <v>100</v>
      </c>
      <c r="X37" s="1554"/>
      <c r="Y37" s="337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8"/>
      <c r="Q38" s="1559" t="str">
        <f t="shared" si="14"/>
        <v>宗地开发程度</v>
      </c>
      <c r="R38" s="1555" t="s">
        <v>8</v>
      </c>
      <c r="S38" s="1556">
        <f t="shared" si="10"/>
        <v>100</v>
      </c>
      <c r="T38" s="1555" t="s">
        <v>8</v>
      </c>
      <c r="U38" s="1556">
        <f t="shared" si="11"/>
        <v>100</v>
      </c>
      <c r="V38" s="1555" t="s">
        <v>8</v>
      </c>
      <c r="W38" s="1556">
        <f t="shared" si="12"/>
        <v>100</v>
      </c>
      <c r="X38" s="1557"/>
      <c r="Y38" s="337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8" t="s">
        <v>601</v>
      </c>
      <c r="Q39" s="1559" t="str">
        <f t="shared" si="14"/>
        <v>工程地质条件</v>
      </c>
      <c r="R39" s="1560" t="s">
        <v>8</v>
      </c>
      <c r="S39" s="1561">
        <f t="shared" si="10"/>
        <v>100</v>
      </c>
      <c r="T39" s="1560" t="s">
        <v>8</v>
      </c>
      <c r="U39" s="1561">
        <f t="shared" si="11"/>
        <v>100</v>
      </c>
      <c r="V39" s="1560" t="s">
        <v>8</v>
      </c>
      <c r="W39" s="1561">
        <f t="shared" si="12"/>
        <v>100</v>
      </c>
      <c r="X39" s="1554"/>
      <c r="Y39" s="337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8"/>
      <c r="Q40" s="1559">
        <f t="shared" si="14"/>
        <v>111</v>
      </c>
      <c r="R40" s="1560" t="s">
        <v>8</v>
      </c>
      <c r="S40" s="1561">
        <f t="shared" si="10"/>
        <v>100</v>
      </c>
      <c r="T40" s="1560" t="s">
        <v>8</v>
      </c>
      <c r="U40" s="1561">
        <f t="shared" si="11"/>
        <v>100</v>
      </c>
      <c r="V40" s="1560" t="s">
        <v>8</v>
      </c>
      <c r="W40" s="1561">
        <f t="shared" si="12"/>
        <v>100</v>
      </c>
      <c r="X40" s="1554"/>
      <c r="Y40" s="337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8"/>
      <c r="Q41" s="1559">
        <f t="shared" si="14"/>
        <v>111</v>
      </c>
      <c r="R41" s="1560" t="s">
        <v>8</v>
      </c>
      <c r="S41" s="1561">
        <f t="shared" si="10"/>
        <v>100</v>
      </c>
      <c r="T41" s="1560" t="s">
        <v>8</v>
      </c>
      <c r="U41" s="1561">
        <f t="shared" si="11"/>
        <v>100</v>
      </c>
      <c r="V41" s="1560" t="s">
        <v>8</v>
      </c>
      <c r="W41" s="1561">
        <f t="shared" si="12"/>
        <v>100</v>
      </c>
      <c r="X41" s="1554"/>
      <c r="Y41" s="3378"/>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8"/>
      <c r="Q42" s="1559">
        <f t="shared" si="14"/>
        <v>111</v>
      </c>
      <c r="R42" s="1564" t="s">
        <v>8</v>
      </c>
      <c r="S42" s="1565">
        <f t="shared" si="10"/>
        <v>100</v>
      </c>
      <c r="T42" s="1564" t="s">
        <v>8</v>
      </c>
      <c r="U42" s="1565">
        <f t="shared" si="11"/>
        <v>100</v>
      </c>
      <c r="V42" s="1564" t="s">
        <v>8</v>
      </c>
      <c r="W42" s="1565">
        <f t="shared" si="12"/>
        <v>100</v>
      </c>
      <c r="X42" s="1566"/>
      <c r="Y42" s="3378"/>
      <c r="Z42" s="1567">
        <f t="shared" si="13"/>
        <v>111</v>
      </c>
      <c r="AA42" s="1563">
        <f t="shared" si="3"/>
        <v>1</v>
      </c>
      <c r="AB42" s="1563">
        <f t="shared" si="4"/>
        <v>1</v>
      </c>
      <c r="AC42" s="1563">
        <f t="shared" si="5"/>
        <v>1</v>
      </c>
    </row>
    <row r="43" spans="1:29" ht="14.4">
      <c r="A43" s="607" t="s">
        <v>556</v>
      </c>
      <c r="B43" s="608" t="s">
        <v>2936</v>
      </c>
      <c r="C43" s="609" t="s">
        <v>1</v>
      </c>
      <c r="D43" s="610"/>
      <c r="E43" s="611"/>
      <c r="F43" s="612"/>
      <c r="G43" s="613"/>
      <c r="H43" s="614"/>
      <c r="I43" s="611"/>
      <c r="J43" s="614"/>
      <c r="K43" s="1336"/>
      <c r="L43" s="2130"/>
      <c r="M43" s="2120"/>
      <c r="N43" s="2120"/>
      <c r="O43" s="2131"/>
      <c r="P43" s="3373" t="str">
        <f>A43</f>
        <v>成交单价</v>
      </c>
      <c r="Q43" s="3373"/>
      <c r="R43" s="3387">
        <f>E43</f>
        <v>0</v>
      </c>
      <c r="S43" s="3387"/>
      <c r="T43" s="3387">
        <f>G43</f>
        <v>0</v>
      </c>
      <c r="U43" s="3387"/>
      <c r="V43" s="3387">
        <f>I43</f>
        <v>0</v>
      </c>
      <c r="W43" s="3387"/>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3" t="str">
        <f>A44</f>
        <v>比较价格（元/平方米）</v>
      </c>
      <c r="Q44" s="3373"/>
      <c r="R44" s="3397" t="e">
        <f>ROUND(PRODUCT(R43,AA9:AA42),0)</f>
        <v>#DIV/0!</v>
      </c>
      <c r="S44" s="3397"/>
      <c r="T44" s="3397" t="e">
        <f>ROUND(PRODUCT(T43,AB9:AB42),0)</f>
        <v>#DIV/0!</v>
      </c>
      <c r="U44" s="3397"/>
      <c r="V44" s="3397" t="e">
        <f>ROUND(PRODUCT(V43,AC9:AC42),0)</f>
        <v>#DIV/0!</v>
      </c>
      <c r="W44" s="3397"/>
      <c r="X44" s="1546"/>
      <c r="Y44" s="1546"/>
      <c r="Z44" s="1546"/>
      <c r="AA44" s="1546"/>
      <c r="AB44" s="1546"/>
      <c r="AC44" s="1546"/>
    </row>
    <row r="45" spans="1:29" ht="15" thickBot="1">
      <c r="A45" s="621" t="s">
        <v>2937</v>
      </c>
      <c r="B45" s="622"/>
      <c r="C45" s="623" t="e">
        <f>R45</f>
        <v>#DIV/0!</v>
      </c>
      <c r="D45" s="623"/>
      <c r="E45" s="623"/>
      <c r="F45" s="623"/>
      <c r="G45" s="623"/>
      <c r="H45" s="623"/>
      <c r="I45" s="623"/>
      <c r="J45" s="623"/>
      <c r="K45" s="1338"/>
      <c r="L45" s="2130"/>
      <c r="M45" s="2120"/>
      <c r="N45" s="2120"/>
      <c r="O45" s="2131"/>
      <c r="P45" s="3394" t="str">
        <f>A45</f>
        <v>估价对象XX用房的比较价格（楼面单价，元/平方米）</v>
      </c>
      <c r="Q45" s="3395"/>
      <c r="R45" s="3396" t="e">
        <f>ROUND(AVERAGE(R44:V44),0)</f>
        <v>#DIV/0!</v>
      </c>
      <c r="S45" s="3396"/>
      <c r="T45" s="3396"/>
      <c r="U45" s="3396"/>
      <c r="V45" s="3396"/>
      <c r="W45" s="339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398" t="s">
        <v>2284</v>
      </c>
      <c r="H52" s="3399"/>
      <c r="I52" s="1938" t="s">
        <v>1945</v>
      </c>
      <c r="J52" s="1542" t="str">
        <f>项目基本情况!F41</f>
        <v>浙江省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183522.24</v>
      </c>
      <c r="F53" s="1936" t="e">
        <f t="shared" ref="F53:F62" si="15">ROUND(B53*E53/10000,0)</f>
        <v>#DIV/0!</v>
      </c>
      <c r="G53" s="3400"/>
      <c r="H53" s="340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0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0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0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0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153132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5" t="str">
        <f>YEAR(C9)&amp;"-"&amp;MONTH(C9)&amp;"-1"</f>
        <v>2019-7-1</v>
      </c>
      <c r="D65" s="2754">
        <f>EDATE(C65,-3)</f>
        <v>43556</v>
      </c>
      <c r="E65" s="2754">
        <f t="shared" ref="E65:N65" si="18">EDATE(D65,-3)</f>
        <v>43466</v>
      </c>
      <c r="F65" s="2754">
        <f t="shared" si="18"/>
        <v>43374</v>
      </c>
      <c r="G65" s="2754">
        <f t="shared" si="18"/>
        <v>43282</v>
      </c>
      <c r="H65" s="2754">
        <f t="shared" si="18"/>
        <v>43191</v>
      </c>
      <c r="I65" s="2754">
        <f t="shared" si="18"/>
        <v>43101</v>
      </c>
      <c r="J65" s="2754">
        <f t="shared" si="18"/>
        <v>43009</v>
      </c>
      <c r="K65" s="2754">
        <f t="shared" si="18"/>
        <v>42917</v>
      </c>
      <c r="L65" s="2754">
        <f t="shared" si="18"/>
        <v>42826</v>
      </c>
      <c r="M65" s="2754">
        <f t="shared" si="18"/>
        <v>42736</v>
      </c>
      <c r="N65" s="2754">
        <f t="shared" si="18"/>
        <v>42644</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2" t="s">
        <v>2533</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3" t="s">
        <v>2649</v>
      </c>
      <c r="B68" s="479" t="str">
        <f>"北京市平均增长率"&amp;TEXT(基准地价!P24,"0.00%")</f>
        <v>北京市平均增长率1.40%</v>
      </c>
      <c r="C68" s="894">
        <v>100</v>
      </c>
      <c r="D68" s="730"/>
      <c r="E68" s="730"/>
      <c r="F68" s="730"/>
      <c r="G68" s="730"/>
      <c r="H68" s="730"/>
      <c r="I68" s="730"/>
      <c r="J68" s="730"/>
      <c r="K68" s="730"/>
      <c r="L68" s="730"/>
      <c r="M68" s="2748"/>
      <c r="N68" s="2749"/>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6"/>
      <c r="D69" s="2747"/>
      <c r="E69" s="2747"/>
      <c r="F69" s="2747"/>
      <c r="G69" s="2747"/>
      <c r="H69" s="2747"/>
      <c r="I69" s="2747"/>
      <c r="J69" s="2747"/>
      <c r="K69" s="2747"/>
      <c r="L69" s="2747"/>
      <c r="M69" s="2747"/>
      <c r="N69" s="2747"/>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1" t="s">
        <v>2550</v>
      </c>
      <c r="C95" s="2562" t="s">
        <v>2551</v>
      </c>
      <c r="D95" s="2562" t="s">
        <v>2552</v>
      </c>
      <c r="E95" s="2562" t="s">
        <v>2553</v>
      </c>
      <c r="F95" s="2562" t="s">
        <v>2554</v>
      </c>
      <c r="G95" s="2562"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4"/>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6"/>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1" t="s">
        <v>2762</v>
      </c>
      <c r="S1" s="2891" t="s">
        <v>2763</v>
      </c>
      <c r="T1" s="2891" t="s">
        <v>2784</v>
      </c>
      <c r="U1" s="2891" t="s">
        <v>2785</v>
      </c>
      <c r="V1" s="2891"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31.2">
      <c r="A4" s="1877" t="s">
        <v>2280</v>
      </c>
      <c r="B4" s="2417"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1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2765</v>
      </c>
      <c r="X7" s="2882">
        <f>G2</f>
        <v>0</v>
      </c>
      <c r="Y7" s="2882" t="s">
        <v>2766</v>
      </c>
      <c r="Z7" s="2883">
        <f>G3</f>
        <v>0</v>
      </c>
      <c r="AA7" s="2178"/>
      <c r="AB7" s="2178"/>
      <c r="AC7" s="2179"/>
      <c r="AD7" s="2884"/>
      <c r="AE7" s="2884"/>
      <c r="AF7" s="2884"/>
      <c r="AG7" s="2884"/>
      <c r="AH7" s="2884"/>
      <c r="AI7" s="2884"/>
      <c r="AJ7" s="2885"/>
    </row>
    <row r="8" spans="1:39" ht="15">
      <c r="A8" s="341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21" t="s">
        <v>2783</v>
      </c>
      <c r="X8" s="342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20"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2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2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20"/>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2">
        <v>12</v>
      </c>
      <c r="S13" s="2881"/>
      <c r="T13" s="2892" t="e">
        <f t="shared" si="0"/>
        <v>#DIV/0!</v>
      </c>
      <c r="U13" s="2881"/>
      <c r="V13" s="2892" t="e">
        <f t="shared" si="1"/>
        <v>#DIV/0!</v>
      </c>
      <c r="W13" s="3420"/>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12"/>
      <c r="B14" s="1448"/>
      <c r="C14" s="1449"/>
      <c r="D14" s="1450"/>
      <c r="E14" s="1450"/>
      <c r="F14" s="1451"/>
      <c r="G14" s="1452" t="s">
        <v>949</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1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10" t="s">
        <v>1838</v>
      </c>
      <c r="B16" s="1424" t="s">
        <v>950</v>
      </c>
      <c r="C16" s="1052" t="e">
        <f>ROUND(IF(F17="与级别开发程度一致",0,(G17-E17)/C17),0)</f>
        <v>#DIV/0!</v>
      </c>
      <c r="D16" s="3428" t="s">
        <v>954</v>
      </c>
      <c r="E16" s="3429"/>
      <c r="F16" s="3428" t="s">
        <v>951</v>
      </c>
      <c r="G16" s="3429"/>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8" thickBot="1">
      <c r="A17" s="341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4"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43676</v>
      </c>
      <c r="H19" s="1464" t="s">
        <v>2997</v>
      </c>
      <c r="I19" s="2740" t="str">
        <f>IF(H19="季度增幅（自定义）",SUMIF(N21:N24,E2,O21:O24),"")</f>
        <v/>
      </c>
      <c r="J19" s="1460"/>
      <c r="K19" s="3149"/>
      <c r="L19" s="2992" t="s">
        <v>2841</v>
      </c>
      <c r="M19" s="2993">
        <f>ROUND(SUMIF(地价!B2:F2,E2,地价!B27:F27),0)</f>
        <v>0</v>
      </c>
      <c r="N19" s="2742" t="s">
        <v>1676</v>
      </c>
      <c r="O19" s="2741">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4" t="s">
        <v>1836</v>
      </c>
      <c r="B20" s="2735" t="s">
        <v>971</v>
      </c>
      <c r="C20" s="2736" t="e">
        <f>ROUND(POWER(1+G20,J20-I20)*(POWER(1+G20,I20)-1)/(POWER(1+G20,J20)-1),4)</f>
        <v>#DIV/0!</v>
      </c>
      <c r="D20" s="2737" t="s">
        <v>972</v>
      </c>
      <c r="E20" s="3047">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1"/>
      <c r="L20" s="2994" t="s">
        <v>2842</v>
      </c>
      <c r="M20" s="3158">
        <f>ROUND(SUMPRODUCT((地价!A4:A27=YEAR(G19)&amp;"-"&amp;ROUNDUP(MONTH(G19)/3,0))*(地价!B2:F2=E2)*(地价!B4:F27)),0)</f>
        <v>0</v>
      </c>
      <c r="N20" s="2745" t="s">
        <v>2645</v>
      </c>
      <c r="O20" s="2743" t="s">
        <v>2644</v>
      </c>
      <c r="P20" s="2744" t="s">
        <v>2650</v>
      </c>
      <c r="Q20" s="2880"/>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2">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2">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2">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2">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1">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17"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1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1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1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8" t="s">
        <v>1007</v>
      </c>
      <c r="B45" s="2389">
        <f>1+E47</f>
        <v>1</v>
      </c>
      <c r="C45" s="2390"/>
      <c r="D45" s="2391"/>
      <c r="E45" s="2392"/>
      <c r="F45" s="2393"/>
      <c r="G45" s="2387"/>
      <c r="H45" s="2387"/>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2250</v>
      </c>
      <c r="G46" s="2395" t="s">
        <v>1014</v>
      </c>
      <c r="H46" s="2378" t="s">
        <v>2418</v>
      </c>
      <c r="I46" s="2395" t="s">
        <v>1012</v>
      </c>
      <c r="J46" s="2398" t="s">
        <v>1015</v>
      </c>
      <c r="K46" s="2398" t="s">
        <v>1016</v>
      </c>
      <c r="L46" s="2398" t="s">
        <v>1017</v>
      </c>
      <c r="M46" s="2398" t="s">
        <v>1018</v>
      </c>
      <c r="N46" s="2398"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9" t="s">
        <v>2939</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8" t="s">
        <v>2938</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5" t="s">
        <v>1028</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8" t="s">
        <v>1029</v>
      </c>
      <c r="B56" s="2389">
        <f>1+E58</f>
        <v>1</v>
      </c>
      <c r="C56" s="2408"/>
      <c r="D56" s="2391"/>
      <c r="E56" s="2392"/>
      <c r="F56" s="2393"/>
      <c r="G56" s="2387"/>
      <c r="H56" s="2387"/>
      <c r="I56" s="2387"/>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2251</v>
      </c>
      <c r="G57" s="2395" t="s">
        <v>1014</v>
      </c>
      <c r="H57" s="2378" t="s">
        <v>2418</v>
      </c>
      <c r="I57" s="2395" t="s">
        <v>1012</v>
      </c>
      <c r="J57" s="2398" t="s">
        <v>1015</v>
      </c>
      <c r="K57" s="2398" t="s">
        <v>1016</v>
      </c>
      <c r="L57" s="2398" t="s">
        <v>1017</v>
      </c>
      <c r="M57" s="2398" t="s">
        <v>1018</v>
      </c>
      <c r="N57" s="2398"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9" t="s">
        <v>2940</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8" t="s">
        <v>2938</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5" t="s">
        <v>1028</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8" t="s">
        <v>1031</v>
      </c>
      <c r="B67" s="2389">
        <f>1+E69</f>
        <v>1</v>
      </c>
      <c r="C67" s="2408"/>
      <c r="D67" s="2391"/>
      <c r="E67" s="2392"/>
      <c r="F67" s="2393"/>
      <c r="G67" s="2387"/>
      <c r="H67" s="2387"/>
      <c r="I67" s="2387"/>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2252</v>
      </c>
      <c r="G68" s="2395" t="s">
        <v>1014</v>
      </c>
      <c r="H68" s="2378" t="s">
        <v>2418</v>
      </c>
      <c r="I68" s="2395" t="s">
        <v>1012</v>
      </c>
      <c r="J68" s="2398" t="s">
        <v>1015</v>
      </c>
      <c r="K68" s="2398" t="s">
        <v>1016</v>
      </c>
      <c r="L68" s="2398" t="s">
        <v>1017</v>
      </c>
      <c r="M68" s="2398" t="s">
        <v>1018</v>
      </c>
      <c r="N68" s="2398"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8" t="s">
        <v>2938</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5" t="s">
        <v>1035</v>
      </c>
      <c r="B77" s="1836"/>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4.4">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2253</v>
      </c>
      <c r="G79" s="2395" t="s">
        <v>1014</v>
      </c>
      <c r="H79" s="2378" t="s">
        <v>2418</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3.8">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36">
      <c r="A86" s="1063" t="s">
        <v>1025</v>
      </c>
      <c r="B86" s="3048" t="s">
        <v>2938</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48.6"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15" t="s">
        <v>1633</v>
      </c>
      <c r="B90" s="3415"/>
      <c r="C90" s="3415"/>
      <c r="D90" s="3415"/>
      <c r="E90" s="3415"/>
      <c r="F90" s="3415"/>
      <c r="G90" s="3415"/>
      <c r="H90" s="3415"/>
      <c r="I90" s="3415"/>
      <c r="J90" s="3415"/>
      <c r="K90" s="2414"/>
      <c r="L90" s="2414"/>
      <c r="M90" s="2414"/>
      <c r="N90" s="2414"/>
    </row>
    <row r="91" spans="1:40">
      <c r="A91" s="3416" t="s">
        <v>1443</v>
      </c>
      <c r="B91" s="3416" t="s">
        <v>1634</v>
      </c>
      <c r="C91" s="1136" t="s">
        <v>1635</v>
      </c>
      <c r="D91" s="1137"/>
      <c r="E91" s="1137"/>
      <c r="F91" s="1137"/>
      <c r="G91" s="1137"/>
      <c r="H91" s="1137"/>
      <c r="I91" s="1137"/>
      <c r="J91" s="1138"/>
      <c r="K91" s="1130"/>
      <c r="L91" s="1130"/>
      <c r="M91" s="1130"/>
      <c r="N91" s="1130"/>
    </row>
    <row r="92" spans="1:40">
      <c r="A92" s="3416"/>
      <c r="B92" s="3416"/>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4"/>
      <c r="B108" s="342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5"/>
      <c r="B109" s="342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09" t="s">
        <v>1639</v>
      </c>
      <c r="B110" s="3409"/>
      <c r="C110" s="3409"/>
      <c r="D110" s="3409"/>
      <c r="E110" s="3409"/>
      <c r="F110" s="3409"/>
      <c r="G110" s="3409"/>
      <c r="H110" s="3409"/>
      <c r="I110" s="3409"/>
      <c r="J110" s="3409"/>
      <c r="K110" s="2412"/>
      <c r="L110" s="2412"/>
      <c r="M110" s="2412"/>
      <c r="N110" s="2412"/>
    </row>
    <row r="112" spans="1:14" ht="12.6" thickBot="1"/>
    <row r="113" spans="1:13" ht="25.8" thickBot="1">
      <c r="A113" s="1016" t="s">
        <v>896</v>
      </c>
      <c r="B113" s="2415">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6" t="s">
        <v>1007</v>
      </c>
      <c r="B18" s="1150" t="s">
        <v>1446</v>
      </c>
      <c r="C18" s="1127" t="s">
        <v>1447</v>
      </c>
      <c r="D18" s="1128"/>
      <c r="E18" s="1150">
        <v>1</v>
      </c>
      <c r="F18" s="1129" t="s">
        <v>1448</v>
      </c>
      <c r="G18" s="1130"/>
      <c r="H18" s="1101"/>
      <c r="I18" s="1101"/>
    </row>
    <row r="19" spans="1:9" s="1585" customFormat="1" ht="19.5" customHeight="1">
      <c r="A19" s="3416"/>
      <c r="B19" s="3416" t="s">
        <v>1449</v>
      </c>
      <c r="C19" s="1127" t="s">
        <v>1450</v>
      </c>
      <c r="D19" s="1128"/>
      <c r="E19" s="1150">
        <v>0.9</v>
      </c>
      <c r="F19" s="1129" t="s">
        <v>1451</v>
      </c>
      <c r="G19" s="1130"/>
      <c r="H19" s="1101"/>
      <c r="I19" s="1101"/>
    </row>
    <row r="20" spans="1:9" s="1585" customFormat="1" ht="19.5" customHeight="1">
      <c r="A20" s="3416"/>
      <c r="B20" s="3416"/>
      <c r="C20" s="1127" t="s">
        <v>1452</v>
      </c>
      <c r="D20" s="1128"/>
      <c r="E20" s="1150">
        <v>1.1000000000000001</v>
      </c>
      <c r="F20" s="1129" t="s">
        <v>1453</v>
      </c>
      <c r="G20" s="1130"/>
      <c r="H20" s="1101"/>
      <c r="I20" s="1101"/>
    </row>
    <row r="21" spans="1:9" s="1585" customFormat="1" ht="19.5" customHeight="1">
      <c r="A21" s="3416"/>
      <c r="B21" s="3416"/>
      <c r="C21" s="1127" t="s">
        <v>1454</v>
      </c>
      <c r="D21" s="1128"/>
      <c r="E21" s="1150">
        <v>0.8</v>
      </c>
      <c r="F21" s="1129" t="s">
        <v>1455</v>
      </c>
      <c r="G21" s="1130"/>
      <c r="H21" s="1101"/>
      <c r="I21" s="1101"/>
    </row>
    <row r="22" spans="1:9" s="1585" customFormat="1" ht="19.5" customHeight="1">
      <c r="A22" s="3416"/>
      <c r="B22" s="3416"/>
      <c r="C22" s="1127" t="s">
        <v>1456</v>
      </c>
      <c r="D22" s="1128"/>
      <c r="E22" s="1150">
        <v>0.5</v>
      </c>
      <c r="F22" s="1129"/>
      <c r="G22" s="1130"/>
      <c r="H22" s="1101"/>
      <c r="I22" s="1101"/>
    </row>
    <row r="23" spans="1:9" s="1585" customFormat="1" ht="19.5" customHeight="1">
      <c r="A23" s="3416" t="s">
        <v>1029</v>
      </c>
      <c r="B23" s="1150" t="s">
        <v>1446</v>
      </c>
      <c r="C23" s="1127" t="s">
        <v>1457</v>
      </c>
      <c r="D23" s="1128"/>
      <c r="E23" s="1150">
        <v>1</v>
      </c>
      <c r="F23" s="1129" t="s">
        <v>1458</v>
      </c>
      <c r="G23" s="1130"/>
      <c r="H23" s="1101"/>
      <c r="I23" s="1101"/>
    </row>
    <row r="24" spans="1:9" s="1585" customFormat="1" ht="19.5" customHeight="1">
      <c r="A24" s="3416"/>
      <c r="B24" s="3416" t="s">
        <v>1449</v>
      </c>
      <c r="C24" s="1127" t="s">
        <v>1459</v>
      </c>
      <c r="D24" s="1128"/>
      <c r="E24" s="1150">
        <v>0.5</v>
      </c>
      <c r="F24" s="1129"/>
      <c r="G24" s="1130"/>
      <c r="H24" s="1101"/>
      <c r="I24" s="1101"/>
    </row>
    <row r="25" spans="1:9" s="1585" customFormat="1" ht="19.5" customHeight="1">
      <c r="A25" s="3416"/>
      <c r="B25" s="3416"/>
      <c r="C25" s="1127" t="s">
        <v>1460</v>
      </c>
      <c r="D25" s="1128"/>
      <c r="E25" s="1150">
        <v>1.1000000000000001</v>
      </c>
      <c r="F25" s="1129"/>
      <c r="G25" s="1130"/>
      <c r="H25" s="1101"/>
      <c r="I25" s="1101"/>
    </row>
    <row r="26" spans="1:9" s="1585" customFormat="1" ht="19.5" customHeight="1">
      <c r="A26" s="3416"/>
      <c r="B26" s="3416"/>
      <c r="C26" s="1127" t="s">
        <v>1461</v>
      </c>
      <c r="D26" s="1128"/>
      <c r="E26" s="1150">
        <v>1.1000000000000001</v>
      </c>
      <c r="F26" s="1129"/>
      <c r="G26" s="1130"/>
      <c r="H26" s="1101"/>
      <c r="I26" s="1101"/>
    </row>
    <row r="27" spans="1:9" s="1585" customFormat="1" ht="19.5" customHeight="1">
      <c r="A27" s="3416"/>
      <c r="B27" s="3416"/>
      <c r="C27" s="1127" t="s">
        <v>1462</v>
      </c>
      <c r="D27" s="1128"/>
      <c r="E27" s="1150">
        <v>0.9</v>
      </c>
      <c r="F27" s="1129" t="s">
        <v>1463</v>
      </c>
      <c r="G27" s="1130"/>
      <c r="H27" s="1101"/>
      <c r="I27" s="1101"/>
    </row>
    <row r="28" spans="1:9" s="1585" customFormat="1" ht="19.5" customHeight="1">
      <c r="A28" s="3416"/>
      <c r="B28" s="3416"/>
      <c r="C28" s="1127" t="s">
        <v>1464</v>
      </c>
      <c r="D28" s="1128"/>
      <c r="E28" s="1150">
        <v>0.9</v>
      </c>
      <c r="F28" s="1129" t="s">
        <v>1465</v>
      </c>
      <c r="G28" s="1130"/>
      <c r="H28" s="1101"/>
      <c r="I28" s="1101"/>
    </row>
    <row r="29" spans="1:9" s="1585" customFormat="1" ht="19.5" customHeight="1">
      <c r="A29" s="3416"/>
      <c r="B29" s="3416"/>
      <c r="C29" s="1127" t="s">
        <v>1466</v>
      </c>
      <c r="D29" s="1128"/>
      <c r="E29" s="1150">
        <v>0.9</v>
      </c>
      <c r="F29" s="1129" t="s">
        <v>1467</v>
      </c>
      <c r="G29" s="1130"/>
      <c r="H29" s="1101"/>
      <c r="I29" s="1101"/>
    </row>
    <row r="30" spans="1:9" s="1585" customFormat="1" ht="19.5" customHeight="1">
      <c r="A30" s="3416"/>
      <c r="B30" s="3416"/>
      <c r="C30" s="1127" t="s">
        <v>1468</v>
      </c>
      <c r="D30" s="1128"/>
      <c r="E30" s="1150">
        <v>0.9</v>
      </c>
      <c r="F30" s="1129" t="s">
        <v>1469</v>
      </c>
      <c r="G30" s="1130"/>
      <c r="H30" s="1101"/>
      <c r="I30" s="1101"/>
    </row>
    <row r="31" spans="1:9" s="1585" customFormat="1" ht="19.5" customHeight="1">
      <c r="A31" s="3416"/>
      <c r="B31" s="3416"/>
      <c r="C31" s="1127" t="s">
        <v>1470</v>
      </c>
      <c r="D31" s="1128"/>
      <c r="E31" s="1150">
        <v>0.8</v>
      </c>
      <c r="F31" s="1129" t="s">
        <v>1471</v>
      </c>
      <c r="G31" s="1130"/>
      <c r="H31" s="1101"/>
      <c r="I31" s="1101"/>
    </row>
    <row r="32" spans="1:9" s="1585" customFormat="1" ht="19.5" customHeight="1">
      <c r="A32" s="3416"/>
      <c r="B32" s="3416"/>
      <c r="C32" s="1127" t="s">
        <v>1472</v>
      </c>
      <c r="D32" s="1128"/>
      <c r="E32" s="1150">
        <v>0.8</v>
      </c>
      <c r="F32" s="1129" t="s">
        <v>1473</v>
      </c>
      <c r="G32" s="1130"/>
      <c r="H32" s="1101"/>
      <c r="I32" s="1101"/>
    </row>
    <row r="33" spans="1:9" s="1585" customFormat="1" ht="19.5" customHeight="1">
      <c r="A33" s="3416" t="s">
        <v>1474</v>
      </c>
      <c r="B33" s="1150" t="s">
        <v>1446</v>
      </c>
      <c r="C33" s="1127" t="s">
        <v>1475</v>
      </c>
      <c r="D33" s="1128"/>
      <c r="E33" s="1150">
        <v>1</v>
      </c>
      <c r="F33" s="1129" t="s">
        <v>1476</v>
      </c>
      <c r="G33" s="1130"/>
      <c r="H33" s="1101"/>
      <c r="I33" s="1101"/>
    </row>
    <row r="34" spans="1:9" s="1585" customFormat="1" ht="19.5" customHeight="1">
      <c r="A34" s="3416"/>
      <c r="B34" s="1150" t="s">
        <v>1449</v>
      </c>
      <c r="C34" s="1127" t="s">
        <v>1477</v>
      </c>
      <c r="D34" s="1128"/>
      <c r="E34" s="1150">
        <v>1.5</v>
      </c>
      <c r="F34" s="1129" t="s">
        <v>1478</v>
      </c>
      <c r="G34" s="1130"/>
      <c r="H34" s="1101"/>
      <c r="I34" s="1101"/>
    </row>
    <row r="35" spans="1:9" s="1585" customFormat="1" ht="19.5" customHeight="1">
      <c r="A35" s="3416" t="s">
        <v>1432</v>
      </c>
      <c r="B35" s="1150" t="s">
        <v>1446</v>
      </c>
      <c r="C35" s="1127" t="s">
        <v>1479</v>
      </c>
      <c r="D35" s="1128"/>
      <c r="E35" s="1150">
        <v>1</v>
      </c>
      <c r="F35" s="1129" t="s">
        <v>1480</v>
      </c>
      <c r="G35" s="1130"/>
      <c r="H35" s="1101"/>
      <c r="I35" s="1101"/>
    </row>
    <row r="36" spans="1:9" s="1585" customFormat="1" ht="19.5" customHeight="1">
      <c r="A36" s="3416"/>
      <c r="B36" s="3416" t="s">
        <v>1449</v>
      </c>
      <c r="C36" s="1127" t="s">
        <v>1481</v>
      </c>
      <c r="D36" s="1128"/>
      <c r="E36" s="1150">
        <v>1</v>
      </c>
      <c r="F36" s="1129" t="s">
        <v>1482</v>
      </c>
      <c r="G36" s="1130"/>
      <c r="H36" s="1101"/>
      <c r="I36" s="1101"/>
    </row>
    <row r="37" spans="1:9" s="1585" customFormat="1" ht="19.5" customHeight="1">
      <c r="A37" s="3416"/>
      <c r="B37" s="3416"/>
      <c r="C37" s="1127" t="s">
        <v>1483</v>
      </c>
      <c r="D37" s="1128"/>
      <c r="E37" s="1150">
        <v>1.5</v>
      </c>
      <c r="F37" s="1129" t="s">
        <v>1484</v>
      </c>
      <c r="G37" s="1130"/>
      <c r="H37" s="1101"/>
      <c r="I37" s="1101"/>
    </row>
    <row r="38" spans="1:9" s="1585" customFormat="1" ht="19.5" customHeight="1">
      <c r="A38" s="3416"/>
      <c r="B38" s="3416"/>
      <c r="C38" s="1127" t="s">
        <v>1485</v>
      </c>
      <c r="D38" s="1128"/>
      <c r="E38" s="1150">
        <v>1</v>
      </c>
      <c r="F38" s="1129" t="s">
        <v>1486</v>
      </c>
      <c r="G38" s="1130"/>
      <c r="H38" s="1101"/>
      <c r="I38" s="1101"/>
    </row>
    <row r="39" spans="1:9" s="1585" customFormat="1" ht="19.5" customHeight="1">
      <c r="A39" s="3416"/>
      <c r="B39" s="341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6" t="s">
        <v>1501</v>
      </c>
      <c r="C61" s="1064" t="s">
        <v>1502</v>
      </c>
      <c r="D61" s="1064" t="s">
        <v>1503</v>
      </c>
      <c r="E61" s="1135">
        <v>0.5</v>
      </c>
      <c r="F61" s="1150">
        <v>80</v>
      </c>
      <c r="H61" s="1101">
        <f>SUMIF(C59:C119,基准地价!C8,E59:E119)</f>
        <v>0</v>
      </c>
    </row>
    <row r="62" spans="1:8" s="1101" customFormat="1" ht="36">
      <c r="A62" s="1150">
        <v>2</v>
      </c>
      <c r="B62" s="3416"/>
      <c r="C62" s="1064" t="s">
        <v>1504</v>
      </c>
      <c r="D62" s="1064" t="s">
        <v>1505</v>
      </c>
      <c r="E62" s="1135">
        <v>0.5</v>
      </c>
      <c r="F62" s="1150">
        <v>80</v>
      </c>
    </row>
    <row r="63" spans="1:8" s="1101" customFormat="1" ht="48">
      <c r="A63" s="1150">
        <v>3</v>
      </c>
      <c r="B63" s="3416"/>
      <c r="C63" s="1064" t="s">
        <v>1506</v>
      </c>
      <c r="D63" s="1064" t="s">
        <v>1507</v>
      </c>
      <c r="E63" s="1135">
        <v>0.5</v>
      </c>
      <c r="F63" s="1150">
        <v>80</v>
      </c>
    </row>
    <row r="64" spans="1:8" s="1101" customFormat="1" ht="48">
      <c r="A64" s="1150">
        <v>4</v>
      </c>
      <c r="B64" s="3416"/>
      <c r="C64" s="1064" t="s">
        <v>1508</v>
      </c>
      <c r="D64" s="1064" t="s">
        <v>1509</v>
      </c>
      <c r="E64" s="1135">
        <v>0.4</v>
      </c>
      <c r="F64" s="1150">
        <v>60</v>
      </c>
    </row>
    <row r="65" spans="1:6" s="1101" customFormat="1" ht="48">
      <c r="A65" s="1150">
        <v>5</v>
      </c>
      <c r="B65" s="3416"/>
      <c r="C65" s="1064" t="s">
        <v>1510</v>
      </c>
      <c r="D65" s="1064" t="s">
        <v>1511</v>
      </c>
      <c r="E65" s="1135">
        <v>0.2</v>
      </c>
      <c r="F65" s="1150">
        <v>30</v>
      </c>
    </row>
    <row r="66" spans="1:6" s="1101" customFormat="1" ht="48">
      <c r="A66" s="1150">
        <v>6</v>
      </c>
      <c r="B66" s="3416"/>
      <c r="C66" s="1064" t="s">
        <v>1512</v>
      </c>
      <c r="D66" s="1064" t="s">
        <v>1513</v>
      </c>
      <c r="E66" s="1135">
        <v>0.3</v>
      </c>
      <c r="F66" s="1150">
        <v>50</v>
      </c>
    </row>
    <row r="67" spans="1:6" s="1101" customFormat="1" ht="48">
      <c r="A67" s="1150">
        <v>7</v>
      </c>
      <c r="B67" s="3416"/>
      <c r="C67" s="1064" t="s">
        <v>1514</v>
      </c>
      <c r="D67" s="1064" t="s">
        <v>1515</v>
      </c>
      <c r="E67" s="1135">
        <v>0.2</v>
      </c>
      <c r="F67" s="1150">
        <v>30</v>
      </c>
    </row>
    <row r="68" spans="1:6" s="1101" customFormat="1" ht="48">
      <c r="A68" s="1150">
        <v>8</v>
      </c>
      <c r="B68" s="3416"/>
      <c r="C68" s="1064" t="s">
        <v>1516</v>
      </c>
      <c r="D68" s="1064" t="s">
        <v>1517</v>
      </c>
      <c r="E68" s="1135">
        <v>0.2</v>
      </c>
      <c r="F68" s="1150">
        <v>30</v>
      </c>
    </row>
    <row r="69" spans="1:6" s="1101" customFormat="1" ht="48">
      <c r="A69" s="1150">
        <v>9</v>
      </c>
      <c r="B69" s="3416"/>
      <c r="C69" s="1064" t="s">
        <v>1518</v>
      </c>
      <c r="D69" s="1064" t="s">
        <v>1519</v>
      </c>
      <c r="E69" s="1135">
        <v>0.2</v>
      </c>
      <c r="F69" s="1150">
        <v>30</v>
      </c>
    </row>
    <row r="70" spans="1:6" s="1101" customFormat="1" ht="60">
      <c r="A70" s="1150">
        <v>10</v>
      </c>
      <c r="B70" s="3416"/>
      <c r="C70" s="1064" t="s">
        <v>1520</v>
      </c>
      <c r="D70" s="1064" t="s">
        <v>1521</v>
      </c>
      <c r="E70" s="1135">
        <v>0.2</v>
      </c>
      <c r="F70" s="1150">
        <v>30</v>
      </c>
    </row>
    <row r="71" spans="1:6" s="1101" customFormat="1" ht="60">
      <c r="A71" s="1150">
        <v>11</v>
      </c>
      <c r="B71" s="3416"/>
      <c r="C71" s="1064" t="s">
        <v>1522</v>
      </c>
      <c r="D71" s="1064" t="s">
        <v>1523</v>
      </c>
      <c r="E71" s="1135">
        <v>0.2</v>
      </c>
      <c r="F71" s="1150">
        <v>30</v>
      </c>
    </row>
    <row r="72" spans="1:6" s="1101" customFormat="1" ht="36">
      <c r="A72" s="1150">
        <v>12</v>
      </c>
      <c r="B72" s="3416"/>
      <c r="C72" s="1064" t="s">
        <v>1524</v>
      </c>
      <c r="D72" s="1064" t="s">
        <v>1525</v>
      </c>
      <c r="E72" s="1135">
        <v>0.5</v>
      </c>
      <c r="F72" s="1150">
        <v>80</v>
      </c>
    </row>
    <row r="73" spans="1:6" s="1101" customFormat="1" ht="36">
      <c r="A73" s="1150">
        <v>13</v>
      </c>
      <c r="B73" s="3416"/>
      <c r="C73" s="1064" t="s">
        <v>1526</v>
      </c>
      <c r="D73" s="1064" t="s">
        <v>1527</v>
      </c>
      <c r="E73" s="1135">
        <v>0.4</v>
      </c>
      <c r="F73" s="1150">
        <v>60</v>
      </c>
    </row>
    <row r="74" spans="1:6" s="1101" customFormat="1" ht="36">
      <c r="A74" s="1150">
        <v>14</v>
      </c>
      <c r="B74" s="3416"/>
      <c r="C74" s="1064" t="s">
        <v>1528</v>
      </c>
      <c r="D74" s="1064" t="s">
        <v>1529</v>
      </c>
      <c r="E74" s="1135">
        <v>0.2</v>
      </c>
      <c r="F74" s="1150">
        <v>30</v>
      </c>
    </row>
    <row r="75" spans="1:6" s="1101" customFormat="1" ht="36">
      <c r="A75" s="1150">
        <v>15</v>
      </c>
      <c r="B75" s="3416"/>
      <c r="C75" s="1064" t="s">
        <v>1530</v>
      </c>
      <c r="D75" s="1064" t="s">
        <v>1531</v>
      </c>
      <c r="E75" s="1135">
        <v>0.2</v>
      </c>
      <c r="F75" s="1150">
        <v>30</v>
      </c>
    </row>
    <row r="76" spans="1:6" s="1101" customFormat="1" ht="36">
      <c r="A76" s="1150">
        <v>16</v>
      </c>
      <c r="B76" s="3416" t="s">
        <v>1532</v>
      </c>
      <c r="C76" s="1064" t="s">
        <v>1533</v>
      </c>
      <c r="D76" s="1064" t="s">
        <v>1534</v>
      </c>
      <c r="E76" s="1135">
        <v>0.5</v>
      </c>
      <c r="F76" s="1150">
        <v>80</v>
      </c>
    </row>
    <row r="77" spans="1:6" s="1101" customFormat="1" ht="36">
      <c r="A77" s="1150">
        <v>17</v>
      </c>
      <c r="B77" s="3416"/>
      <c r="C77" s="1064" t="s">
        <v>1535</v>
      </c>
      <c r="D77" s="1064" t="s">
        <v>1536</v>
      </c>
      <c r="E77" s="1135">
        <v>0.5</v>
      </c>
      <c r="F77" s="1150">
        <v>80</v>
      </c>
    </row>
    <row r="78" spans="1:6" s="1101" customFormat="1" ht="36">
      <c r="A78" s="1150">
        <v>18</v>
      </c>
      <c r="B78" s="3416"/>
      <c r="C78" s="1064" t="s">
        <v>1537</v>
      </c>
      <c r="D78" s="1064" t="s">
        <v>1538</v>
      </c>
      <c r="E78" s="1135">
        <v>0.2</v>
      </c>
      <c r="F78" s="1150">
        <v>30</v>
      </c>
    </row>
    <row r="79" spans="1:6" s="1101" customFormat="1" ht="36">
      <c r="A79" s="1150">
        <v>19</v>
      </c>
      <c r="B79" s="3416"/>
      <c r="C79" s="1064" t="s">
        <v>1539</v>
      </c>
      <c r="D79" s="1064" t="s">
        <v>1540</v>
      </c>
      <c r="E79" s="1135">
        <v>0.5</v>
      </c>
      <c r="F79" s="1150">
        <v>80</v>
      </c>
    </row>
    <row r="80" spans="1:6" s="1101" customFormat="1" ht="36">
      <c r="A80" s="1150">
        <v>20</v>
      </c>
      <c r="B80" s="3416"/>
      <c r="C80" s="1064" t="s">
        <v>1541</v>
      </c>
      <c r="D80" s="1064" t="s">
        <v>1542</v>
      </c>
      <c r="E80" s="1135">
        <v>0.2</v>
      </c>
      <c r="F80" s="1150">
        <v>30</v>
      </c>
    </row>
    <row r="81" spans="1:6" s="1101" customFormat="1" ht="36">
      <c r="A81" s="1150">
        <v>21</v>
      </c>
      <c r="B81" s="3416"/>
      <c r="C81" s="1064" t="s">
        <v>1543</v>
      </c>
      <c r="D81" s="1064" t="s">
        <v>1544</v>
      </c>
      <c r="E81" s="1135">
        <v>0.2</v>
      </c>
      <c r="F81" s="1150">
        <v>30</v>
      </c>
    </row>
    <row r="82" spans="1:6" s="1101" customFormat="1" ht="60">
      <c r="A82" s="1150">
        <v>22</v>
      </c>
      <c r="B82" s="3416"/>
      <c r="C82" s="1064" t="s">
        <v>1545</v>
      </c>
      <c r="D82" s="1064" t="s">
        <v>1546</v>
      </c>
      <c r="E82" s="1135">
        <v>0.2</v>
      </c>
      <c r="F82" s="1150">
        <v>30</v>
      </c>
    </row>
    <row r="83" spans="1:6" s="1101" customFormat="1" ht="60">
      <c r="A83" s="1150">
        <v>23</v>
      </c>
      <c r="B83" s="3416"/>
      <c r="C83" s="1064" t="s">
        <v>1547</v>
      </c>
      <c r="D83" s="1064" t="s">
        <v>1548</v>
      </c>
      <c r="E83" s="1135">
        <v>0.2</v>
      </c>
      <c r="F83" s="1150">
        <v>30</v>
      </c>
    </row>
    <row r="84" spans="1:6" s="1101" customFormat="1" ht="48">
      <c r="A84" s="1150">
        <v>24</v>
      </c>
      <c r="B84" s="3416"/>
      <c r="C84" s="1064" t="s">
        <v>1549</v>
      </c>
      <c r="D84" s="1064" t="s">
        <v>1550</v>
      </c>
      <c r="E84" s="1135">
        <v>0.2</v>
      </c>
      <c r="F84" s="1150">
        <v>30</v>
      </c>
    </row>
    <row r="85" spans="1:6" s="1101" customFormat="1" ht="36">
      <c r="A85" s="1150">
        <v>25</v>
      </c>
      <c r="B85" s="3416"/>
      <c r="C85" s="1064" t="s">
        <v>1551</v>
      </c>
      <c r="D85" s="1064" t="s">
        <v>1552</v>
      </c>
      <c r="E85" s="1135">
        <v>0.5</v>
      </c>
      <c r="F85" s="1150">
        <v>80</v>
      </c>
    </row>
    <row r="86" spans="1:6" s="1101" customFormat="1" ht="36">
      <c r="A86" s="1150">
        <v>26</v>
      </c>
      <c r="B86" s="3416"/>
      <c r="C86" s="1064" t="s">
        <v>1553</v>
      </c>
      <c r="D86" s="1064" t="s">
        <v>1554</v>
      </c>
      <c r="E86" s="1135">
        <v>0.2</v>
      </c>
      <c r="F86" s="1150">
        <v>30</v>
      </c>
    </row>
    <row r="87" spans="1:6" s="1101" customFormat="1" ht="36">
      <c r="A87" s="1150">
        <v>27</v>
      </c>
      <c r="B87" s="3416"/>
      <c r="C87" s="1064" t="s">
        <v>1555</v>
      </c>
      <c r="D87" s="1064" t="s">
        <v>1556</v>
      </c>
      <c r="E87" s="1135">
        <v>0.2</v>
      </c>
      <c r="F87" s="1150">
        <v>30</v>
      </c>
    </row>
    <row r="88" spans="1:6" s="1101" customFormat="1" ht="36">
      <c r="A88" s="1150">
        <v>28</v>
      </c>
      <c r="B88" s="3416"/>
      <c r="C88" s="1064" t="s">
        <v>1557</v>
      </c>
      <c r="D88" s="1064" t="s">
        <v>1558</v>
      </c>
      <c r="E88" s="1135">
        <v>0.2</v>
      </c>
      <c r="F88" s="1150">
        <v>30</v>
      </c>
    </row>
    <row r="89" spans="1:6" s="1101" customFormat="1" ht="36">
      <c r="A89" s="1150">
        <v>29</v>
      </c>
      <c r="B89" s="3416"/>
      <c r="C89" s="1064" t="s">
        <v>1559</v>
      </c>
      <c r="D89" s="1064" t="s">
        <v>1560</v>
      </c>
      <c r="E89" s="1135">
        <v>0.2</v>
      </c>
      <c r="F89" s="1150">
        <v>30</v>
      </c>
    </row>
    <row r="90" spans="1:6" s="1101" customFormat="1" ht="36">
      <c r="A90" s="1150">
        <v>30</v>
      </c>
      <c r="B90" s="3416"/>
      <c r="C90" s="1064" t="s">
        <v>1561</v>
      </c>
      <c r="D90" s="1064" t="s">
        <v>1562</v>
      </c>
      <c r="E90" s="1135">
        <v>0.2</v>
      </c>
      <c r="F90" s="1150">
        <v>30</v>
      </c>
    </row>
    <row r="91" spans="1:6" s="1101" customFormat="1" ht="48">
      <c r="A91" s="1150">
        <v>31</v>
      </c>
      <c r="B91" s="3416"/>
      <c r="C91" s="1064" t="s">
        <v>1563</v>
      </c>
      <c r="D91" s="1064" t="s">
        <v>1564</v>
      </c>
      <c r="E91" s="1135">
        <v>0.2</v>
      </c>
      <c r="F91" s="1150">
        <v>30</v>
      </c>
    </row>
    <row r="92" spans="1:6" s="1101" customFormat="1" ht="36">
      <c r="A92" s="1150">
        <v>32</v>
      </c>
      <c r="B92" s="3416" t="s">
        <v>1565</v>
      </c>
      <c r="C92" s="1150" t="s">
        <v>1566</v>
      </c>
      <c r="D92" s="1064" t="s">
        <v>1567</v>
      </c>
      <c r="E92" s="1135">
        <v>0.2</v>
      </c>
      <c r="F92" s="1150">
        <v>30</v>
      </c>
    </row>
    <row r="93" spans="1:6" s="1101" customFormat="1" ht="36">
      <c r="A93" s="1150">
        <v>33</v>
      </c>
      <c r="B93" s="3416"/>
      <c r="C93" s="1150" t="s">
        <v>1568</v>
      </c>
      <c r="D93" s="1064" t="s">
        <v>1569</v>
      </c>
      <c r="E93" s="1135">
        <v>0.2</v>
      </c>
      <c r="F93" s="1150">
        <v>30</v>
      </c>
    </row>
    <row r="94" spans="1:6" s="1101" customFormat="1" ht="60">
      <c r="A94" s="1150">
        <v>34</v>
      </c>
      <c r="B94" s="3416"/>
      <c r="C94" s="1150" t="s">
        <v>1570</v>
      </c>
      <c r="D94" s="1064" t="s">
        <v>1571</v>
      </c>
      <c r="E94" s="1135">
        <v>0.2</v>
      </c>
      <c r="F94" s="1150">
        <v>30</v>
      </c>
    </row>
    <row r="95" spans="1:6" s="1101" customFormat="1" ht="48">
      <c r="A95" s="1150">
        <v>35</v>
      </c>
      <c r="B95" s="3416"/>
      <c r="C95" s="1150" t="s">
        <v>1572</v>
      </c>
      <c r="D95" s="1064" t="s">
        <v>1573</v>
      </c>
      <c r="E95" s="1135">
        <v>0.2</v>
      </c>
      <c r="F95" s="1150">
        <v>30</v>
      </c>
    </row>
    <row r="96" spans="1:6" s="1101" customFormat="1" ht="72">
      <c r="A96" s="1150">
        <v>36</v>
      </c>
      <c r="B96" s="3416"/>
      <c r="C96" s="1064" t="s">
        <v>1574</v>
      </c>
      <c r="D96" s="1064" t="s">
        <v>1575</v>
      </c>
      <c r="E96" s="1135">
        <v>0.2</v>
      </c>
      <c r="F96" s="1150">
        <v>30</v>
      </c>
    </row>
    <row r="97" spans="1:6" s="1101" customFormat="1" ht="36">
      <c r="A97" s="1150">
        <v>37</v>
      </c>
      <c r="B97" s="3416"/>
      <c r="C97" s="1150" t="s">
        <v>1576</v>
      </c>
      <c r="D97" s="1064" t="s">
        <v>1577</v>
      </c>
      <c r="E97" s="1135">
        <v>0.2</v>
      </c>
      <c r="F97" s="1150">
        <v>30</v>
      </c>
    </row>
    <row r="98" spans="1:6" s="1101" customFormat="1" ht="36">
      <c r="A98" s="1150">
        <v>38</v>
      </c>
      <c r="B98" s="3416"/>
      <c r="C98" s="1150" t="s">
        <v>1578</v>
      </c>
      <c r="D98" s="1064" t="s">
        <v>1579</v>
      </c>
      <c r="E98" s="1135">
        <v>0.2</v>
      </c>
      <c r="F98" s="1150">
        <v>30</v>
      </c>
    </row>
    <row r="99" spans="1:6" s="1101" customFormat="1" ht="36">
      <c r="A99" s="1150">
        <v>39</v>
      </c>
      <c r="B99" s="3416" t="s">
        <v>1580</v>
      </c>
      <c r="C99" s="1150" t="s">
        <v>1581</v>
      </c>
      <c r="D99" s="1064" t="s">
        <v>1582</v>
      </c>
      <c r="E99" s="1135">
        <v>0.3</v>
      </c>
      <c r="F99" s="1150">
        <v>50</v>
      </c>
    </row>
    <row r="100" spans="1:6" s="1101" customFormat="1" ht="36">
      <c r="A100" s="1150">
        <v>40</v>
      </c>
      <c r="B100" s="3416"/>
      <c r="C100" s="1150" t="s">
        <v>1583</v>
      </c>
      <c r="D100" s="1064" t="s">
        <v>1584</v>
      </c>
      <c r="E100" s="1135">
        <v>0.2</v>
      </c>
      <c r="F100" s="1150">
        <v>30</v>
      </c>
    </row>
    <row r="101" spans="1:6" s="1101" customFormat="1" ht="36">
      <c r="A101" s="1150">
        <v>41</v>
      </c>
      <c r="B101" s="341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6" t="s">
        <v>1595</v>
      </c>
      <c r="C105" s="1150" t="s">
        <v>1596</v>
      </c>
      <c r="D105" s="1064" t="s">
        <v>1597</v>
      </c>
      <c r="E105" s="1135">
        <v>0.2</v>
      </c>
      <c r="F105" s="1150">
        <v>30</v>
      </c>
    </row>
    <row r="106" spans="1:6" s="1101" customFormat="1" ht="48">
      <c r="A106" s="1150">
        <v>46</v>
      </c>
      <c r="B106" s="3416"/>
      <c r="C106" s="1150" t="s">
        <v>1598</v>
      </c>
      <c r="D106" s="1064" t="s">
        <v>1599</v>
      </c>
      <c r="E106" s="1135">
        <v>0.2</v>
      </c>
      <c r="F106" s="1150">
        <v>30</v>
      </c>
    </row>
    <row r="107" spans="1:6" s="1101" customFormat="1" ht="36">
      <c r="A107" s="1150">
        <v>47</v>
      </c>
      <c r="B107" s="3416" t="s">
        <v>1600</v>
      </c>
      <c r="C107" s="1150" t="s">
        <v>1601</v>
      </c>
      <c r="D107" s="1064" t="s">
        <v>1602</v>
      </c>
      <c r="E107" s="1135">
        <v>0.3</v>
      </c>
      <c r="F107" s="1150">
        <v>50</v>
      </c>
    </row>
    <row r="108" spans="1:6" s="1101" customFormat="1" ht="48">
      <c r="A108" s="1150">
        <v>48</v>
      </c>
      <c r="B108" s="341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6" t="s">
        <v>1611</v>
      </c>
      <c r="C111" s="1150" t="s">
        <v>1612</v>
      </c>
      <c r="D111" s="1064" t="s">
        <v>1613</v>
      </c>
      <c r="E111" s="1135">
        <v>0.2</v>
      </c>
      <c r="F111" s="1150">
        <v>30</v>
      </c>
    </row>
    <row r="112" spans="1:6" s="1101" customFormat="1" ht="36">
      <c r="A112" s="1150">
        <v>52</v>
      </c>
      <c r="B112" s="3416"/>
      <c r="C112" s="1150" t="s">
        <v>1614</v>
      </c>
      <c r="D112" s="1064" t="s">
        <v>1615</v>
      </c>
      <c r="E112" s="1135">
        <v>0.2</v>
      </c>
      <c r="F112" s="1150">
        <v>30</v>
      </c>
    </row>
    <row r="113" spans="1:14" s="1101" customFormat="1" ht="36">
      <c r="A113" s="1150">
        <v>53</v>
      </c>
      <c r="B113" s="341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6" t="s">
        <v>1624</v>
      </c>
      <c r="C116" s="1150" t="s">
        <v>1625</v>
      </c>
      <c r="D116" s="1064" t="s">
        <v>1626</v>
      </c>
      <c r="E116" s="1135">
        <v>0.2</v>
      </c>
      <c r="F116" s="1150">
        <v>30</v>
      </c>
    </row>
    <row r="117" spans="1:14" ht="36">
      <c r="A117" s="1150">
        <v>57</v>
      </c>
      <c r="B117" s="341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5" t="s">
        <v>1633</v>
      </c>
      <c r="B121" s="3415"/>
      <c r="C121" s="3415"/>
      <c r="D121" s="3415"/>
      <c r="E121" s="3415"/>
      <c r="F121" s="3415"/>
      <c r="G121" s="3415"/>
      <c r="H121" s="3415"/>
      <c r="I121" s="3415"/>
      <c r="J121" s="341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4" t="s">
        <v>2079</v>
      </c>
      <c r="B1" s="343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37" t="s">
        <v>2576</v>
      </c>
      <c r="C1" s="3437"/>
      <c r="D1" s="3437"/>
      <c r="E1" s="3437"/>
      <c r="F1" s="3437"/>
      <c r="G1" s="3436" t="s">
        <v>2577</v>
      </c>
      <c r="H1" s="3436"/>
      <c r="I1" s="3436"/>
      <c r="J1" s="3436"/>
      <c r="K1" s="3436"/>
      <c r="L1" s="3436"/>
      <c r="N1" s="3436" t="s">
        <v>2578</v>
      </c>
      <c r="O1" s="3436"/>
      <c r="P1" s="3436"/>
      <c r="Q1" s="3436"/>
      <c r="R1" s="2618"/>
      <c r="S1" s="3436" t="s">
        <v>2579</v>
      </c>
      <c r="T1" s="3436"/>
      <c r="U1" s="3436"/>
      <c r="V1" s="3436"/>
      <c r="X1" s="3435" t="s">
        <v>2639</v>
      </c>
      <c r="Y1" s="3436"/>
      <c r="Z1" s="3436"/>
      <c r="AA1" s="3436"/>
      <c r="AB1" s="3436"/>
      <c r="AD1" s="3435" t="s">
        <v>2643</v>
      </c>
      <c r="AE1" s="3436"/>
      <c r="AF1" s="3436"/>
      <c r="AG1" s="3436"/>
      <c r="AH1" s="3436"/>
    </row>
    <row r="2" spans="1:34" s="2719" customFormat="1" ht="15" thickBot="1">
      <c r="B2" s="2727" t="s">
        <v>2580</v>
      </c>
      <c r="C2" s="2727" t="s">
        <v>2641</v>
      </c>
      <c r="D2" s="2720" t="s">
        <v>1644</v>
      </c>
      <c r="E2" s="2720" t="s">
        <v>1949</v>
      </c>
      <c r="F2" s="2727" t="s">
        <v>2642</v>
      </c>
      <c r="G2" s="2723"/>
      <c r="H2" s="2722"/>
      <c r="I2" s="2727" t="s">
        <v>2957</v>
      </c>
      <c r="J2" s="2720" t="s">
        <v>2959</v>
      </c>
      <c r="K2" s="2720" t="s">
        <v>2960</v>
      </c>
      <c r="L2" s="2727" t="s">
        <v>2961</v>
      </c>
      <c r="N2" s="2727" t="s">
        <v>2580</v>
      </c>
      <c r="O2" s="2720" t="s">
        <v>2958</v>
      </c>
      <c r="P2" s="2720" t="s">
        <v>1949</v>
      </c>
      <c r="Q2" s="2727" t="s">
        <v>2642</v>
      </c>
      <c r="R2" s="2721"/>
      <c r="S2" s="2727" t="s">
        <v>2580</v>
      </c>
      <c r="T2" s="2720" t="s">
        <v>2958</v>
      </c>
      <c r="U2" s="2720" t="s">
        <v>1949</v>
      </c>
      <c r="V2" s="2727" t="s">
        <v>2642</v>
      </c>
      <c r="X2" s="2727" t="s">
        <v>2580</v>
      </c>
      <c r="Y2" s="2727" t="s">
        <v>2641</v>
      </c>
      <c r="Z2" s="2720" t="s">
        <v>1644</v>
      </c>
      <c r="AA2" s="2720" t="s">
        <v>1949</v>
      </c>
      <c r="AB2" s="2727" t="s">
        <v>2642</v>
      </c>
      <c r="AD2" s="2727" t="s">
        <v>2580</v>
      </c>
      <c r="AE2" s="2727" t="s">
        <v>2641</v>
      </c>
      <c r="AF2" s="2720" t="s">
        <v>1644</v>
      </c>
      <c r="AG2" s="2720" t="s">
        <v>1949</v>
      </c>
      <c r="AH2" s="2727" t="s">
        <v>2642</v>
      </c>
    </row>
    <row r="3" spans="1:34" s="3083" customFormat="1" ht="14.4">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4">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8" thickBot="1">
      <c r="A5" s="3065" t="s">
        <v>2996</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2995</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2">
        <v>1.53</v>
      </c>
      <c r="J6" s="3182">
        <v>1.01</v>
      </c>
      <c r="K6" s="3182">
        <v>1.62</v>
      </c>
      <c r="L6" s="3183">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8" thickBot="1">
      <c r="A7" s="2619" t="s">
        <v>2993</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39">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 customHeight="1">
      <c r="A9" s="2619" t="s">
        <v>2980</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39"/>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 customHeight="1">
      <c r="A10" s="2619" t="s">
        <v>2981</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39"/>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2977</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45"/>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2968</v>
      </c>
      <c r="B12" s="3097">
        <v>439</v>
      </c>
      <c r="C12" s="3097">
        <v>327</v>
      </c>
      <c r="D12" s="3097">
        <f t="shared" si="65"/>
        <v>327</v>
      </c>
      <c r="E12" s="3097">
        <v>627</v>
      </c>
      <c r="F12" s="3098">
        <v>283</v>
      </c>
      <c r="G12" s="3444">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 customHeight="1">
      <c r="A13" s="2619" t="s">
        <v>2972</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39"/>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 customHeight="1">
      <c r="A14" s="2619" t="s">
        <v>2581</v>
      </c>
      <c r="B14" s="2632">
        <f t="shared" si="77"/>
        <v>419.31181600000002</v>
      </c>
      <c r="C14" s="2632">
        <f t="shared" si="77"/>
        <v>313.95436800000004</v>
      </c>
      <c r="D14" s="2632">
        <f t="shared" si="65"/>
        <v>313.95436800000004</v>
      </c>
      <c r="E14" s="2632">
        <f t="shared" si="78"/>
        <v>596.63028431999999</v>
      </c>
      <c r="F14" s="2632">
        <f t="shared" si="78"/>
        <v>274.74220703999998</v>
      </c>
      <c r="G14" s="3439"/>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2582</v>
      </c>
      <c r="B15" s="2632">
        <f t="shared" si="77"/>
        <v>405.524</v>
      </c>
      <c r="C15" s="2632">
        <f t="shared" si="77"/>
        <v>307.79840000000002</v>
      </c>
      <c r="D15" s="2632">
        <f t="shared" si="65"/>
        <v>307.79840000000002</v>
      </c>
      <c r="E15" s="2632">
        <f t="shared" si="78"/>
        <v>574.67759999999998</v>
      </c>
      <c r="F15" s="2632">
        <f t="shared" si="78"/>
        <v>270.20280000000002</v>
      </c>
      <c r="G15" s="3445"/>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970</v>
      </c>
      <c r="B16" s="2624">
        <v>392</v>
      </c>
      <c r="C16" s="2624">
        <v>302</v>
      </c>
      <c r="D16" s="2624">
        <f t="shared" si="65"/>
        <v>302</v>
      </c>
      <c r="E16" s="2624">
        <v>553</v>
      </c>
      <c r="F16" s="2625">
        <v>266</v>
      </c>
      <c r="G16" s="3444">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969</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39"/>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959</v>
      </c>
      <c r="B18" s="2632">
        <f t="shared" si="86"/>
        <v>360.06949782209392</v>
      </c>
      <c r="C18" s="2632">
        <f t="shared" si="86"/>
        <v>289.84672674747821</v>
      </c>
      <c r="D18" s="2632">
        <f t="shared" si="87"/>
        <v>289.84672674747821</v>
      </c>
      <c r="E18" s="2632">
        <f t="shared" si="88"/>
        <v>501.06543001181495</v>
      </c>
      <c r="F18" s="2632">
        <f t="shared" si="88"/>
        <v>256.82882500744967</v>
      </c>
      <c r="G18" s="3439"/>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8" thickBot="1">
      <c r="A19" s="2619" t="s">
        <v>968</v>
      </c>
      <c r="B19" s="2632">
        <f t="shared" si="86"/>
        <v>346.720748986128</v>
      </c>
      <c r="C19" s="2632">
        <f t="shared" si="86"/>
        <v>284.30282172386285</v>
      </c>
      <c r="D19" s="2632">
        <f t="shared" si="87"/>
        <v>284.30282172386285</v>
      </c>
      <c r="E19" s="2632">
        <f t="shared" si="88"/>
        <v>479.58023546306947</v>
      </c>
      <c r="F19" s="2632">
        <f t="shared" si="88"/>
        <v>253.25788877571213</v>
      </c>
      <c r="G19" s="344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8" thickBot="1">
      <c r="A20" s="2619" t="s">
        <v>967</v>
      </c>
      <c r="B20" s="2624">
        <v>333</v>
      </c>
      <c r="C20" s="2624">
        <v>277</v>
      </c>
      <c r="D20" s="2624">
        <f t="shared" si="87"/>
        <v>277</v>
      </c>
      <c r="E20" s="2624">
        <v>459</v>
      </c>
      <c r="F20" s="2625">
        <v>249</v>
      </c>
      <c r="G20" s="3438">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966</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39"/>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965</v>
      </c>
      <c r="B22" s="2632">
        <f t="shared" si="90"/>
        <v>322.34053690220776</v>
      </c>
      <c r="C22" s="2632">
        <f t="shared" si="90"/>
        <v>271.46160770422546</v>
      </c>
      <c r="D22" s="2632">
        <f t="shared" si="87"/>
        <v>271.46160770422546</v>
      </c>
      <c r="E22" s="2632">
        <f t="shared" si="91"/>
        <v>442.69434542172456</v>
      </c>
      <c r="F22" s="2632">
        <f t="shared" si="91"/>
        <v>241.34030753190925</v>
      </c>
      <c r="G22" s="3439"/>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964</v>
      </c>
      <c r="B23" s="2632">
        <f t="shared" si="90"/>
        <v>319.87748030386797</v>
      </c>
      <c r="C23" s="2632">
        <f t="shared" si="90"/>
        <v>269.60135833173649</v>
      </c>
      <c r="D23" s="2632">
        <f t="shared" si="87"/>
        <v>269.60135833173649</v>
      </c>
      <c r="E23" s="2632">
        <f t="shared" si="91"/>
        <v>439.18089823583784</v>
      </c>
      <c r="F23" s="2632">
        <f t="shared" si="91"/>
        <v>239.23503918706311</v>
      </c>
      <c r="G23" s="344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8" thickBot="1">
      <c r="A24" s="2619" t="s">
        <v>963</v>
      </c>
      <c r="B24" s="2646">
        <v>318</v>
      </c>
      <c r="C24" s="2646">
        <v>268</v>
      </c>
      <c r="D24" s="2646">
        <f t="shared" si="87"/>
        <v>268</v>
      </c>
      <c r="E24" s="2646">
        <v>437</v>
      </c>
      <c r="F24" s="2647">
        <v>237</v>
      </c>
      <c r="G24" s="3438">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962</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39"/>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8" thickBot="1">
      <c r="A26" s="2619" t="s">
        <v>961</v>
      </c>
      <c r="B26" s="2632">
        <f t="shared" si="92"/>
        <v>314.72141172386546</v>
      </c>
      <c r="C26" s="2632">
        <f t="shared" si="92"/>
        <v>263.03901319069001</v>
      </c>
      <c r="D26" s="2632">
        <f t="shared" si="87"/>
        <v>263.03901319069001</v>
      </c>
      <c r="E26" s="2632">
        <f t="shared" si="93"/>
        <v>433.65745506782821</v>
      </c>
      <c r="F26" s="2632">
        <f t="shared" si="93"/>
        <v>233.23005080045735</v>
      </c>
      <c r="G26" s="3439"/>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8" thickBot="1">
      <c r="A27" s="2650" t="s">
        <v>960</v>
      </c>
      <c r="B27" s="2651">
        <f t="shared" si="92"/>
        <v>307.34512863658733</v>
      </c>
      <c r="C27" s="2651">
        <f t="shared" si="92"/>
        <v>257.80556031626975</v>
      </c>
      <c r="D27" s="2651">
        <f t="shared" si="87"/>
        <v>257.80556031626975</v>
      </c>
      <c r="E27" s="2651">
        <f t="shared" si="93"/>
        <v>422.70928459677179</v>
      </c>
      <c r="F27" s="2651">
        <f t="shared" si="93"/>
        <v>229.73803270336617</v>
      </c>
      <c r="G27" s="344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2640</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19" t="s">
        <v>2583</v>
      </c>
      <c r="B28" s="2624">
        <v>299</v>
      </c>
      <c r="C28" s="2624">
        <v>252</v>
      </c>
      <c r="D28" s="2624">
        <f t="shared" si="87"/>
        <v>252</v>
      </c>
      <c r="E28" s="2624">
        <v>409</v>
      </c>
      <c r="F28" s="2625">
        <v>227</v>
      </c>
      <c r="G28" s="3441">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2584</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42"/>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2585</v>
      </c>
      <c r="B30" s="2632">
        <f t="shared" si="96"/>
        <v>288.2649053828776</v>
      </c>
      <c r="C30" s="2632">
        <f t="shared" si="96"/>
        <v>243.64564425013293</v>
      </c>
      <c r="D30" s="2632">
        <f t="shared" si="87"/>
        <v>243.64564425013293</v>
      </c>
      <c r="E30" s="2632">
        <f t="shared" si="97"/>
        <v>393.31080825986544</v>
      </c>
      <c r="F30" s="2632">
        <f t="shared" si="97"/>
        <v>223.07903790551154</v>
      </c>
      <c r="G30" s="3442"/>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2586</v>
      </c>
      <c r="B31" s="2632">
        <f t="shared" si="96"/>
        <v>282.50186729015837</v>
      </c>
      <c r="C31" s="2632">
        <f t="shared" si="96"/>
        <v>238.09796174155468</v>
      </c>
      <c r="D31" s="2632">
        <f t="shared" si="87"/>
        <v>238.09796174155468</v>
      </c>
      <c r="E31" s="2632">
        <f t="shared" si="97"/>
        <v>385.33438646014054</v>
      </c>
      <c r="F31" s="2632">
        <f t="shared" si="97"/>
        <v>221.55034055567739</v>
      </c>
      <c r="G31" s="3443"/>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8" thickBot="1">
      <c r="A32" s="2619" t="s">
        <v>2587</v>
      </c>
      <c r="B32" s="2662">
        <v>278</v>
      </c>
      <c r="C32" s="2662">
        <v>234</v>
      </c>
      <c r="D32" s="2662">
        <f t="shared" si="87"/>
        <v>234</v>
      </c>
      <c r="E32" s="2662">
        <v>379</v>
      </c>
      <c r="F32" s="2663">
        <v>220</v>
      </c>
      <c r="G32" s="3438">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2588</v>
      </c>
      <c r="B33" s="2632">
        <f>B32/(1+N32)</f>
        <v>275.49301357645425</v>
      </c>
      <c r="C33" s="2632">
        <f>C32/(1+O32)</f>
        <v>232.41954707985698</v>
      </c>
      <c r="D33" s="2632">
        <f t="shared" si="87"/>
        <v>232.41954707985698</v>
      </c>
      <c r="E33" s="2632">
        <f t="shared" ref="E33:F35" si="98">E32/(1+P32)</f>
        <v>375.32184591008121</v>
      </c>
      <c r="F33" s="2632">
        <f t="shared" si="98"/>
        <v>218.03766105054513</v>
      </c>
      <c r="G33" s="3439"/>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2589</v>
      </c>
      <c r="B34" s="2632">
        <f>B33/(1+N33)</f>
        <v>275.24529281292263</v>
      </c>
      <c r="C34" s="2632">
        <f>C33/(1+O33)</f>
        <v>231.74747938962707</v>
      </c>
      <c r="D34" s="2632">
        <f t="shared" si="87"/>
        <v>231.74747938962707</v>
      </c>
      <c r="E34" s="2632">
        <f t="shared" si="98"/>
        <v>375.35938184826603</v>
      </c>
      <c r="F34" s="2632">
        <f t="shared" si="98"/>
        <v>216.78033510692495</v>
      </c>
      <c r="G34" s="3439"/>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8" thickBot="1">
      <c r="A35" s="2619" t="s">
        <v>2590</v>
      </c>
      <c r="B35" s="2632">
        <f>B34/(1+N34)</f>
        <v>275.19025476197027</v>
      </c>
      <c r="C35" s="2664">
        <v>232</v>
      </c>
      <c r="D35" s="2664">
        <f t="shared" si="87"/>
        <v>232</v>
      </c>
      <c r="E35" s="2632">
        <f t="shared" si="98"/>
        <v>375.65990977608692</v>
      </c>
      <c r="F35" s="2632">
        <f t="shared" si="98"/>
        <v>214.12518283971252</v>
      </c>
      <c r="G35" s="344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8" thickBot="1">
      <c r="A36" s="2619" t="s">
        <v>2591</v>
      </c>
      <c r="B36" s="2624">
        <v>275</v>
      </c>
      <c r="C36" s="2624">
        <v>232</v>
      </c>
      <c r="D36" s="2624">
        <f t="shared" si="87"/>
        <v>232</v>
      </c>
      <c r="E36" s="2624">
        <v>376</v>
      </c>
      <c r="F36" s="2625">
        <v>213</v>
      </c>
      <c r="G36" s="3438">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2592</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39">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2593</v>
      </c>
      <c r="B38" s="2632">
        <f t="shared" si="99"/>
        <v>275.19335084830601</v>
      </c>
      <c r="C38" s="2632">
        <f t="shared" si="99"/>
        <v>230.18088050139744</v>
      </c>
      <c r="D38" s="2632">
        <f t="shared" si="87"/>
        <v>230.18088050139744</v>
      </c>
      <c r="E38" s="2632">
        <f t="shared" si="100"/>
        <v>377.58482925212331</v>
      </c>
      <c r="F38" s="2632">
        <f t="shared" si="100"/>
        <v>210.90687997847917</v>
      </c>
      <c r="G38" s="3439">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8" thickBot="1">
      <c r="A39" s="2619" t="s">
        <v>2594</v>
      </c>
      <c r="B39" s="2632">
        <f t="shared" si="99"/>
        <v>276.29854502841971</v>
      </c>
      <c r="C39" s="2632">
        <f t="shared" si="99"/>
        <v>229.79023709833027</v>
      </c>
      <c r="D39" s="2632">
        <f t="shared" si="87"/>
        <v>229.79023709833027</v>
      </c>
      <c r="E39" s="2632">
        <f t="shared" si="100"/>
        <v>379.78759731655936</v>
      </c>
      <c r="F39" s="2632">
        <f t="shared" si="100"/>
        <v>211.32953905659235</v>
      </c>
      <c r="G39" s="344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8" thickBot="1">
      <c r="A40" s="2619" t="s">
        <v>2595</v>
      </c>
      <c r="B40" s="2624">
        <v>269</v>
      </c>
      <c r="C40" s="2624">
        <v>221</v>
      </c>
      <c r="D40" s="2624">
        <f t="shared" si="87"/>
        <v>221</v>
      </c>
      <c r="E40" s="2624">
        <v>373</v>
      </c>
      <c r="F40" s="2625">
        <v>196</v>
      </c>
      <c r="G40" s="3438">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2596</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39">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2597</v>
      </c>
      <c r="B42" s="2632">
        <f t="shared" si="101"/>
        <v>242.95398227588385</v>
      </c>
      <c r="C42" s="2632">
        <f t="shared" si="101"/>
        <v>199.59137053614126</v>
      </c>
      <c r="D42" s="2632">
        <f t="shared" si="87"/>
        <v>199.59137053614126</v>
      </c>
      <c r="E42" s="2632">
        <f t="shared" si="102"/>
        <v>335.92189522342125</v>
      </c>
      <c r="F42" s="2632">
        <f t="shared" si="102"/>
        <v>183.10139991109489</v>
      </c>
      <c r="G42" s="3439">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8" thickBot="1">
      <c r="A43" s="2619" t="s">
        <v>2598</v>
      </c>
      <c r="B43" s="2632">
        <f t="shared" si="101"/>
        <v>232.06990378821649</v>
      </c>
      <c r="C43" s="2632">
        <f t="shared" si="101"/>
        <v>192.74878854286936</v>
      </c>
      <c r="D43" s="2632">
        <f t="shared" si="87"/>
        <v>192.74878854286936</v>
      </c>
      <c r="E43" s="2632">
        <f t="shared" si="102"/>
        <v>319.71247284992984</v>
      </c>
      <c r="F43" s="2632">
        <f t="shared" si="102"/>
        <v>175.67053622862409</v>
      </c>
      <c r="G43" s="344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8" thickBot="1">
      <c r="A44" s="2619" t="s">
        <v>2599</v>
      </c>
      <c r="B44" s="2624">
        <v>220</v>
      </c>
      <c r="C44" s="2624">
        <v>187</v>
      </c>
      <c r="D44" s="2624">
        <f t="shared" si="87"/>
        <v>187</v>
      </c>
      <c r="E44" s="2624">
        <v>301</v>
      </c>
      <c r="F44" s="2625">
        <v>168</v>
      </c>
      <c r="G44" s="3438">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2600</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39">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2601</v>
      </c>
      <c r="B46" s="2632">
        <f t="shared" si="103"/>
        <v>210.630522469011</v>
      </c>
      <c r="C46" s="2632">
        <f t="shared" si="103"/>
        <v>181.69567812247232</v>
      </c>
      <c r="D46" s="2632">
        <f t="shared" si="87"/>
        <v>181.69567812247232</v>
      </c>
      <c r="E46" s="2632">
        <f t="shared" si="104"/>
        <v>286.13517466736738</v>
      </c>
      <c r="F46" s="2632">
        <f t="shared" si="104"/>
        <v>165.47535084591149</v>
      </c>
      <c r="G46" s="3439">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2602</v>
      </c>
      <c r="B47" s="2632">
        <f t="shared" si="103"/>
        <v>208.83454537875372</v>
      </c>
      <c r="C47" s="2632">
        <f t="shared" si="103"/>
        <v>183.77230517090351</v>
      </c>
      <c r="D47" s="2632">
        <f t="shared" si="87"/>
        <v>183.77230517090351</v>
      </c>
      <c r="E47" s="2632">
        <f t="shared" si="104"/>
        <v>281.10342338870947</v>
      </c>
      <c r="F47" s="2632">
        <f t="shared" si="104"/>
        <v>168.97309388942256</v>
      </c>
      <c r="G47" s="344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8" thickBot="1">
      <c r="A48" s="2619" t="s">
        <v>2603</v>
      </c>
      <c r="B48" s="2662">
        <v>214</v>
      </c>
      <c r="C48" s="2662">
        <v>188</v>
      </c>
      <c r="D48" s="2662">
        <f t="shared" si="87"/>
        <v>188</v>
      </c>
      <c r="E48" s="2662">
        <v>289</v>
      </c>
      <c r="F48" s="2663">
        <v>166</v>
      </c>
      <c r="G48" s="3438">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2604</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39">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2605</v>
      </c>
      <c r="B50" s="2632">
        <f t="shared" si="105"/>
        <v>206.31694671589116</v>
      </c>
      <c r="C50" s="2632">
        <f t="shared" si="105"/>
        <v>183.61041121036101</v>
      </c>
      <c r="D50" s="2632">
        <f t="shared" si="87"/>
        <v>183.61041121036101</v>
      </c>
      <c r="E50" s="2632">
        <f t="shared" si="106"/>
        <v>276.66850301795557</v>
      </c>
      <c r="F50" s="2632">
        <f t="shared" si="106"/>
        <v>165.1360938278614</v>
      </c>
      <c r="G50" s="3439">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8" thickBot="1">
      <c r="A51" s="2619" t="s">
        <v>2606</v>
      </c>
      <c r="B51" s="2665">
        <f t="shared" si="105"/>
        <v>196.62341248059772</v>
      </c>
      <c r="C51" s="2665">
        <f t="shared" si="105"/>
        <v>170.99125648199012</v>
      </c>
      <c r="D51" s="2665">
        <f t="shared" si="87"/>
        <v>170.99125648199012</v>
      </c>
      <c r="E51" s="2665">
        <f t="shared" si="106"/>
        <v>266.07857570490052</v>
      </c>
      <c r="F51" s="2665">
        <f t="shared" si="106"/>
        <v>154.53499328828505</v>
      </c>
      <c r="G51" s="344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8" thickBot="1">
      <c r="A52" s="2619" t="s">
        <v>2607</v>
      </c>
      <c r="B52" s="2624">
        <v>188</v>
      </c>
      <c r="C52" s="2624">
        <v>165</v>
      </c>
      <c r="D52" s="2624">
        <f t="shared" si="87"/>
        <v>165</v>
      </c>
      <c r="E52" s="2624">
        <v>254</v>
      </c>
      <c r="F52" s="2625">
        <v>148</v>
      </c>
      <c r="G52" s="3438">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2608</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39">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2609</v>
      </c>
      <c r="B54" s="2632">
        <f t="shared" si="109"/>
        <v>168.82017748715555</v>
      </c>
      <c r="C54" s="2632">
        <f t="shared" si="109"/>
        <v>148.06267029972753</v>
      </c>
      <c r="D54" s="2632">
        <f t="shared" si="87"/>
        <v>148.06267029972753</v>
      </c>
      <c r="E54" s="2632">
        <f t="shared" si="110"/>
        <v>216.46288379323747</v>
      </c>
      <c r="F54" s="2632">
        <f t="shared" si="110"/>
        <v>134.23529411764704</v>
      </c>
      <c r="G54" s="3439">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2610</v>
      </c>
      <c r="B55" s="2632">
        <f t="shared" si="109"/>
        <v>163.84913591779542</v>
      </c>
      <c r="C55" s="2632">
        <f t="shared" si="109"/>
        <v>145.0283378746594</v>
      </c>
      <c r="D55" s="2632">
        <f t="shared" si="87"/>
        <v>145.0283378746594</v>
      </c>
      <c r="E55" s="2632">
        <f t="shared" si="110"/>
        <v>204.95180722891567</v>
      </c>
      <c r="F55" s="2632">
        <f t="shared" si="110"/>
        <v>125.95920303605313</v>
      </c>
      <c r="G55" s="344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8" thickBot="1">
      <c r="A56" s="2619" t="s">
        <v>2611</v>
      </c>
      <c r="B56" s="2646">
        <v>159</v>
      </c>
      <c r="C56" s="2646">
        <v>141</v>
      </c>
      <c r="D56" s="2646">
        <f t="shared" si="87"/>
        <v>141</v>
      </c>
      <c r="E56" s="2646">
        <v>195</v>
      </c>
      <c r="F56" s="2647">
        <v>122</v>
      </c>
      <c r="G56" s="3438">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2612</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39">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2613</v>
      </c>
      <c r="B58" s="2632">
        <f t="shared" si="113"/>
        <v>146.57412060301507</v>
      </c>
      <c r="C58" s="2632">
        <f t="shared" si="113"/>
        <v>136.46831955922866</v>
      </c>
      <c r="D58" s="2632">
        <f t="shared" si="87"/>
        <v>136.46831955922866</v>
      </c>
      <c r="E58" s="2632">
        <f t="shared" si="114"/>
        <v>166.73864894795128</v>
      </c>
      <c r="F58" s="2632">
        <f t="shared" si="114"/>
        <v>115.05882352941177</v>
      </c>
      <c r="G58" s="3439">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2614</v>
      </c>
      <c r="B59" s="2632">
        <f t="shared" si="113"/>
        <v>144.04145728643215</v>
      </c>
      <c r="C59" s="2632">
        <f t="shared" si="113"/>
        <v>136.12396694214877</v>
      </c>
      <c r="D59" s="2632">
        <f t="shared" si="87"/>
        <v>136.12396694214877</v>
      </c>
      <c r="E59" s="2632">
        <f t="shared" si="114"/>
        <v>158.32225913621264</v>
      </c>
      <c r="F59" s="2632">
        <f t="shared" si="114"/>
        <v>114.04278074866311</v>
      </c>
      <c r="G59" s="344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8" thickBot="1">
      <c r="A60" s="2619" t="s">
        <v>2615</v>
      </c>
      <c r="B60" s="2646">
        <v>138</v>
      </c>
      <c r="C60" s="2646">
        <v>131</v>
      </c>
      <c r="D60" s="2646">
        <f t="shared" si="87"/>
        <v>131</v>
      </c>
      <c r="E60" s="2646">
        <v>155</v>
      </c>
      <c r="F60" s="2647">
        <v>114</v>
      </c>
      <c r="G60" s="3438">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2616</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39">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2617</v>
      </c>
      <c r="B62" s="2632">
        <f t="shared" si="117"/>
        <v>124.29032258064517</v>
      </c>
      <c r="C62" s="2632">
        <f t="shared" si="117"/>
        <v>123.8968609865471</v>
      </c>
      <c r="D62" s="2632">
        <f t="shared" si="87"/>
        <v>123.8968609865471</v>
      </c>
      <c r="E62" s="2632">
        <f t="shared" si="118"/>
        <v>138.00507614213197</v>
      </c>
      <c r="F62" s="2632">
        <f t="shared" si="118"/>
        <v>107.96106557377048</v>
      </c>
      <c r="G62" s="3439">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2618</v>
      </c>
      <c r="B63" s="2632">
        <f t="shared" si="117"/>
        <v>122.57204301075269</v>
      </c>
      <c r="C63" s="2632">
        <f t="shared" si="117"/>
        <v>123.4932735426009</v>
      </c>
      <c r="D63" s="2632">
        <f t="shared" si="87"/>
        <v>123.4932735426009</v>
      </c>
      <c r="E63" s="2632">
        <f t="shared" si="118"/>
        <v>129.82233502538071</v>
      </c>
      <c r="F63" s="2632">
        <f t="shared" si="118"/>
        <v>107.39446721311475</v>
      </c>
      <c r="G63" s="344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8" thickBot="1">
      <c r="A64" s="2619" t="s">
        <v>2619</v>
      </c>
      <c r="B64" s="2662">
        <v>121</v>
      </c>
      <c r="C64" s="2662">
        <v>122</v>
      </c>
      <c r="D64" s="2662">
        <f t="shared" si="87"/>
        <v>122</v>
      </c>
      <c r="E64" s="2662">
        <v>124</v>
      </c>
      <c r="F64" s="2663">
        <v>107</v>
      </c>
      <c r="G64" s="3438">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2620</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39">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2621</v>
      </c>
      <c r="B66" s="2632">
        <f t="shared" si="121"/>
        <v>116.99099099099099</v>
      </c>
      <c r="C66" s="2632">
        <f t="shared" si="121"/>
        <v>118.84848484848486</v>
      </c>
      <c r="D66" s="2632">
        <f t="shared" si="87"/>
        <v>118.84848484848486</v>
      </c>
      <c r="E66" s="2632">
        <f t="shared" si="122"/>
        <v>117.60960960960961</v>
      </c>
      <c r="F66" s="2632">
        <f t="shared" si="122"/>
        <v>104</v>
      </c>
      <c r="G66" s="3439">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8" thickBot="1">
      <c r="A67" s="2619" t="s">
        <v>2622</v>
      </c>
      <c r="B67" s="2665">
        <f t="shared" si="121"/>
        <v>112.48648648648648</v>
      </c>
      <c r="C67" s="2665">
        <f t="shared" si="121"/>
        <v>115.21212121212122</v>
      </c>
      <c r="D67" s="2665">
        <f t="shared" si="87"/>
        <v>115.21212121212122</v>
      </c>
      <c r="E67" s="2665">
        <f t="shared" si="122"/>
        <v>110.4024024024024</v>
      </c>
      <c r="F67" s="2665">
        <f t="shared" si="122"/>
        <v>104</v>
      </c>
      <c r="G67" s="344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8" thickBot="1">
      <c r="A68" s="2619" t="s">
        <v>2623</v>
      </c>
      <c r="B68" s="2683">
        <v>111</v>
      </c>
      <c r="C68" s="2683">
        <v>114</v>
      </c>
      <c r="D68" s="2683">
        <f t="shared" si="87"/>
        <v>114</v>
      </c>
      <c r="E68" s="2683">
        <v>108</v>
      </c>
      <c r="F68" s="2684">
        <v>104</v>
      </c>
      <c r="G68" s="3438">
        <v>2003</v>
      </c>
      <c r="H68" s="2673">
        <v>4</v>
      </c>
      <c r="I68" s="2685"/>
      <c r="J68" s="2685"/>
      <c r="K68" s="2685"/>
      <c r="L68" s="2685"/>
      <c r="N68" s="2686"/>
      <c r="O68" s="2685"/>
      <c r="P68" s="2685"/>
      <c r="Q68" s="2685"/>
      <c r="S68" s="2686"/>
      <c r="T68" s="2685"/>
      <c r="U68" s="2685"/>
      <c r="V68" s="2685"/>
      <c r="X68" s="2677"/>
      <c r="Y68" s="2677"/>
      <c r="Z68" s="2677"/>
    </row>
    <row r="69" spans="1:26">
      <c r="A69" s="2619" t="s">
        <v>2624</v>
      </c>
      <c r="B69" s="2687">
        <f t="shared" ref="B69:C71" si="123">B70+(B$68-B$72)/4</f>
        <v>109.75</v>
      </c>
      <c r="C69" s="2687">
        <f t="shared" si="123"/>
        <v>112.25</v>
      </c>
      <c r="D69" s="2687">
        <f t="shared" si="87"/>
        <v>112.25</v>
      </c>
      <c r="E69" s="2687">
        <f t="shared" ref="E69:F71" si="124">E70+(E$68-E$72)/4</f>
        <v>107.25</v>
      </c>
      <c r="F69" s="2687">
        <f t="shared" si="124"/>
        <v>103.5</v>
      </c>
      <c r="G69" s="3439">
        <v>2003</v>
      </c>
      <c r="H69" s="2643">
        <v>3</v>
      </c>
      <c r="I69" s="2685"/>
      <c r="J69" s="2685"/>
      <c r="K69" s="2685"/>
      <c r="L69" s="2685"/>
      <c r="X69" s="2677"/>
      <c r="Y69" s="2677"/>
      <c r="Z69" s="2677"/>
    </row>
    <row r="70" spans="1:26">
      <c r="A70" s="2619" t="s">
        <v>2625</v>
      </c>
      <c r="B70" s="2687">
        <f t="shared" si="123"/>
        <v>108.5</v>
      </c>
      <c r="C70" s="2687">
        <f t="shared" si="123"/>
        <v>110.5</v>
      </c>
      <c r="D70" s="2687">
        <f t="shared" si="87"/>
        <v>110.5</v>
      </c>
      <c r="E70" s="2687">
        <f t="shared" si="124"/>
        <v>106.5</v>
      </c>
      <c r="F70" s="2687">
        <f t="shared" si="124"/>
        <v>103</v>
      </c>
      <c r="G70" s="3439">
        <v>2003</v>
      </c>
      <c r="H70" s="2623">
        <v>2</v>
      </c>
      <c r="I70" s="2685"/>
      <c r="J70" s="2685"/>
      <c r="K70" s="2685"/>
      <c r="L70" s="2685"/>
      <c r="X70" s="2677"/>
      <c r="Y70" s="2677"/>
      <c r="Z70" s="2677"/>
    </row>
    <row r="71" spans="1:26" ht="13.8" thickBot="1">
      <c r="A71" s="2619" t="s">
        <v>2626</v>
      </c>
      <c r="B71" s="2687">
        <f t="shared" si="123"/>
        <v>107.25</v>
      </c>
      <c r="C71" s="2687">
        <f t="shared" si="123"/>
        <v>108.75</v>
      </c>
      <c r="D71" s="2687">
        <f t="shared" si="87"/>
        <v>108.75</v>
      </c>
      <c r="E71" s="2687">
        <f t="shared" si="124"/>
        <v>105.75</v>
      </c>
      <c r="F71" s="2687">
        <f t="shared" si="124"/>
        <v>102.5</v>
      </c>
      <c r="G71" s="3440">
        <v>2003</v>
      </c>
      <c r="H71" s="2688">
        <v>1</v>
      </c>
      <c r="I71" s="2685"/>
      <c r="J71" s="2685"/>
      <c r="K71" s="2685"/>
      <c r="L71" s="2685"/>
      <c r="S71" s="2627"/>
      <c r="T71" s="2628"/>
      <c r="U71" s="2628"/>
      <c r="X71" s="2677"/>
      <c r="Y71" s="2677"/>
      <c r="Z71" s="2677"/>
    </row>
    <row r="72" spans="1:26" ht="13.8" thickBot="1">
      <c r="A72" s="2619" t="s">
        <v>2627</v>
      </c>
      <c r="B72" s="2689">
        <v>106</v>
      </c>
      <c r="C72" s="2689">
        <v>107</v>
      </c>
      <c r="D72" s="2689">
        <f t="shared" si="87"/>
        <v>107</v>
      </c>
      <c r="E72" s="2689">
        <v>105</v>
      </c>
      <c r="F72" s="2690">
        <v>102</v>
      </c>
      <c r="G72" s="3438">
        <v>2002</v>
      </c>
      <c r="H72" s="2638">
        <v>4</v>
      </c>
      <c r="I72" s="2685"/>
      <c r="J72" s="2685"/>
      <c r="K72" s="2685"/>
      <c r="L72" s="2685"/>
      <c r="N72" s="2686"/>
      <c r="O72" s="2685"/>
      <c r="P72" s="2685"/>
      <c r="Q72" s="2685"/>
      <c r="S72" s="2686"/>
      <c r="T72" s="2685"/>
      <c r="U72" s="2685"/>
      <c r="V72" s="2685"/>
      <c r="X72" s="2677"/>
      <c r="Y72" s="2677"/>
      <c r="Z72" s="2677"/>
    </row>
    <row r="73" spans="1:26">
      <c r="A73" s="2619" t="s">
        <v>2628</v>
      </c>
      <c r="B73" s="2687">
        <f t="shared" ref="B73:C75" si="125">B74+(B$72-B$76)/4</f>
        <v>105</v>
      </c>
      <c r="C73" s="2687">
        <f t="shared" si="125"/>
        <v>106</v>
      </c>
      <c r="D73" s="2687">
        <f t="shared" si="87"/>
        <v>106</v>
      </c>
      <c r="E73" s="2687">
        <f t="shared" ref="E73:F75" si="126">E74+(E$72-E$76)/4</f>
        <v>104.5</v>
      </c>
      <c r="F73" s="2687">
        <f t="shared" si="126"/>
        <v>101.5</v>
      </c>
      <c r="G73" s="3439">
        <v>2002</v>
      </c>
      <c r="H73" s="2643">
        <v>3</v>
      </c>
      <c r="I73" s="2685"/>
      <c r="J73" s="2685"/>
      <c r="K73" s="2685"/>
      <c r="L73" s="2685"/>
      <c r="X73" s="2677"/>
      <c r="Y73" s="2677"/>
      <c r="Z73" s="2677"/>
    </row>
    <row r="74" spans="1:26">
      <c r="A74" s="2619" t="s">
        <v>2629</v>
      </c>
      <c r="B74" s="2687">
        <f t="shared" si="125"/>
        <v>104</v>
      </c>
      <c r="C74" s="2687">
        <f t="shared" si="125"/>
        <v>105</v>
      </c>
      <c r="D74" s="2687">
        <f t="shared" si="87"/>
        <v>105</v>
      </c>
      <c r="E74" s="2687">
        <f t="shared" si="126"/>
        <v>104</v>
      </c>
      <c r="F74" s="2687">
        <f t="shared" si="126"/>
        <v>101</v>
      </c>
      <c r="G74" s="3439">
        <v>2002</v>
      </c>
      <c r="H74" s="2623">
        <v>2</v>
      </c>
      <c r="I74" s="2685"/>
      <c r="J74" s="2685"/>
      <c r="K74" s="2685"/>
      <c r="L74" s="2685"/>
      <c r="X74" s="2677"/>
      <c r="Y74" s="2677"/>
      <c r="Z74" s="2677"/>
    </row>
    <row r="75" spans="1:26" s="2654" customFormat="1" ht="13.8" thickBot="1">
      <c r="A75" s="2650" t="s">
        <v>2630</v>
      </c>
      <c r="B75" s="2691">
        <f t="shared" si="125"/>
        <v>103</v>
      </c>
      <c r="C75" s="2691">
        <f t="shared" si="125"/>
        <v>104</v>
      </c>
      <c r="D75" s="2691">
        <f t="shared" si="87"/>
        <v>104</v>
      </c>
      <c r="E75" s="2691">
        <f t="shared" si="126"/>
        <v>103.5</v>
      </c>
      <c r="F75" s="2691">
        <f t="shared" si="126"/>
        <v>100.5</v>
      </c>
      <c r="G75" s="3440">
        <v>2002</v>
      </c>
      <c r="H75" s="2692">
        <v>1</v>
      </c>
      <c r="I75" s="2693"/>
      <c r="J75" s="2693"/>
      <c r="K75" s="2693"/>
      <c r="L75" s="2693"/>
      <c r="N75" s="2694"/>
      <c r="S75" s="2694"/>
      <c r="X75" s="2695"/>
      <c r="Y75" s="2695"/>
      <c r="Z75" s="2695"/>
    </row>
    <row r="76" spans="1:26" ht="13.8"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2631</v>
      </c>
      <c r="G78" s="2701"/>
      <c r="N78" s="2701"/>
      <c r="S78" s="2701"/>
    </row>
    <row r="79" spans="1:26" s="2700" customFormat="1">
      <c r="A79" s="2700" t="s">
        <v>2632</v>
      </c>
      <c r="G79" s="2701"/>
      <c r="N79" s="2701"/>
      <c r="S79" s="2701"/>
    </row>
    <row r="80" spans="1:26" s="2700" customFormat="1">
      <c r="A80" s="2700" t="s">
        <v>2633</v>
      </c>
      <c r="G80" s="2701"/>
      <c r="I80" s="2702"/>
      <c r="J80" s="2702"/>
      <c r="K80" s="2702"/>
      <c r="L80" s="2702"/>
      <c r="N80" s="2703"/>
      <c r="O80" s="2702"/>
      <c r="P80" s="2702"/>
      <c r="Q80" s="2702"/>
      <c r="S80" s="2703"/>
      <c r="T80" s="2702"/>
      <c r="U80" s="2702"/>
      <c r="V80" s="2702"/>
    </row>
    <row r="81" spans="1:22" s="2700" customFormat="1">
      <c r="A81" s="2700" t="s">
        <v>2634</v>
      </c>
      <c r="G81" s="2701"/>
      <c r="N81" s="2701"/>
      <c r="S81" s="2701"/>
    </row>
    <row r="88" spans="1:22" ht="13.8" thickBot="1"/>
    <row r="89" spans="1:22">
      <c r="G89" s="2626"/>
      <c r="S89" s="2704" t="s">
        <v>2635</v>
      </c>
      <c r="T89" s="2705" t="s">
        <v>2636</v>
      </c>
      <c r="U89" s="2705" t="s">
        <v>2637</v>
      </c>
      <c r="V89" s="2705" t="s">
        <v>2638</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8"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5" t="s">
        <v>2950</v>
      </c>
      <c r="B1" s="3057"/>
      <c r="C1" s="3057"/>
      <c r="D1" s="3057"/>
      <c r="E1" s="3057"/>
      <c r="F1" s="3057"/>
    </row>
    <row r="2" spans="1:6" ht="15.6">
      <c r="A2" s="3058" t="s">
        <v>2945</v>
      </c>
      <c r="B2" s="3059" t="e">
        <f ca="1">SUMIF(B7:B14,"&lt;&gt;#ref!",B7:B14)</f>
        <v>#DIV/0!</v>
      </c>
      <c r="C2" s="3058" t="s">
        <v>2946</v>
      </c>
      <c r="D2" s="3057"/>
      <c r="E2" s="3057"/>
      <c r="F2" s="3057"/>
    </row>
    <row r="3" spans="1:6" ht="15.6">
      <c r="A3" s="3058" t="s">
        <v>2978</v>
      </c>
      <c r="B3" s="3059" t="e">
        <f ca="1">ROUND(B2*10000/E3,0)</f>
        <v>#DIV/0!</v>
      </c>
      <c r="C3" s="3058" t="s">
        <v>2078</v>
      </c>
      <c r="D3" s="3058" t="s">
        <v>2947</v>
      </c>
      <c r="E3" s="3059">
        <f ca="1">SUMIF(E7:E14,"&lt;&gt;#ref!",E7:E14)</f>
        <v>0</v>
      </c>
      <c r="F3" s="3057"/>
    </row>
    <row r="4" spans="1:6" ht="15.6">
      <c r="A4" s="3058" t="s">
        <v>2954</v>
      </c>
      <c r="B4" s="3059" t="e">
        <f ca="1">ROUND(B2*10000/E4,0)</f>
        <v>#DIV/0!</v>
      </c>
      <c r="C4" s="3058" t="s">
        <v>2078</v>
      </c>
      <c r="D4" s="3058" t="s">
        <v>2955</v>
      </c>
      <c r="E4" s="3059">
        <f ca="1">SUMIF(F7:F14,"&lt;&gt;#ref!",F7:F14)</f>
        <v>0</v>
      </c>
      <c r="F4" s="3057"/>
    </row>
    <row r="5" spans="1:6" ht="15.6">
      <c r="A5" s="3060"/>
      <c r="B5" s="1867"/>
      <c r="C5" s="1867"/>
      <c r="D5" s="1867"/>
      <c r="E5" s="1867"/>
      <c r="F5" s="3057"/>
    </row>
    <row r="6" spans="1:6" ht="31.2">
      <c r="A6" s="3061" t="s">
        <v>2951</v>
      </c>
      <c r="B6" s="3058" t="s">
        <v>2948</v>
      </c>
      <c r="C6" s="3059"/>
      <c r="D6" s="1867"/>
      <c r="E6" s="3058" t="s">
        <v>2949</v>
      </c>
      <c r="F6" s="3058" t="s">
        <v>2953</v>
      </c>
    </row>
    <row r="7" spans="1:6" ht="15.6">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5.6">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5.6">
      <c r="A9" s="260"/>
      <c r="B9" s="3062" t="e">
        <f t="shared" ca="1" si="0"/>
        <v>#REF!</v>
      </c>
      <c r="C9" s="3058" t="s">
        <v>2946</v>
      </c>
      <c r="D9" s="1867"/>
      <c r="E9" s="3063" t="e">
        <f t="shared" ca="1" si="1"/>
        <v>#REF!</v>
      </c>
      <c r="F9" s="3063" t="e">
        <f t="shared" ca="1" si="2"/>
        <v>#REF!</v>
      </c>
    </row>
    <row r="10" spans="1:6" ht="15.6">
      <c r="A10" s="260"/>
      <c r="B10" s="3062" t="e">
        <f t="shared" ca="1" si="0"/>
        <v>#REF!</v>
      </c>
      <c r="C10" s="3058" t="s">
        <v>2946</v>
      </c>
      <c r="D10" s="1867"/>
      <c r="E10" s="3063" t="e">
        <f t="shared" ca="1" si="1"/>
        <v>#REF!</v>
      </c>
      <c r="F10" s="3063" t="e">
        <f t="shared" ca="1" si="2"/>
        <v>#REF!</v>
      </c>
    </row>
    <row r="11" spans="1:6" ht="15.6">
      <c r="A11" s="260"/>
      <c r="B11" s="3062" t="e">
        <f t="shared" ca="1" si="0"/>
        <v>#REF!</v>
      </c>
      <c r="C11" s="3058" t="s">
        <v>2946</v>
      </c>
      <c r="D11" s="1867"/>
      <c r="E11" s="3063" t="e">
        <f t="shared" ca="1" si="1"/>
        <v>#REF!</v>
      </c>
      <c r="F11" s="3063" t="e">
        <f t="shared" ca="1" si="2"/>
        <v>#REF!</v>
      </c>
    </row>
    <row r="12" spans="1:6" ht="15.6">
      <c r="A12" s="260"/>
      <c r="B12" s="3062" t="e">
        <f t="shared" ca="1" si="0"/>
        <v>#REF!</v>
      </c>
      <c r="C12" s="3058" t="s">
        <v>2946</v>
      </c>
      <c r="D12" s="1867"/>
      <c r="E12" s="3063" t="e">
        <f t="shared" ca="1" si="1"/>
        <v>#REF!</v>
      </c>
      <c r="F12" s="3063" t="e">
        <f t="shared" ca="1" si="2"/>
        <v>#REF!</v>
      </c>
    </row>
    <row r="13" spans="1:6" ht="15.6">
      <c r="A13" s="260"/>
      <c r="B13" s="3062" t="e">
        <f t="shared" ca="1" si="0"/>
        <v>#REF!</v>
      </c>
      <c r="C13" s="3058" t="s">
        <v>2946</v>
      </c>
      <c r="D13" s="1867"/>
      <c r="E13" s="3063" t="e">
        <f t="shared" ca="1" si="1"/>
        <v>#REF!</v>
      </c>
      <c r="F13" s="3063" t="e">
        <f t="shared" ca="1" si="2"/>
        <v>#REF!</v>
      </c>
    </row>
    <row r="14" spans="1:6" ht="15.6">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191218.2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2019年7月30日（评估专业人员勘察现场之日）</v>
      </c>
    </row>
    <row r="12" spans="1:4" ht="17.399999999999999">
      <c r="A12" s="1783" t="s">
        <v>2025</v>
      </c>
    </row>
    <row r="13" spans="1:4" ht="17.399999999999999">
      <c r="A13" s="1777" t="s">
        <v>2943</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77"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根据《国有土地使用证》[]，估价对象（分摊）出让国有建设用地使用权面积为153132平方米。根据《建设工程规划许可证》[]、《出让合同》[]，估价对象规划建筑面积为191218.2平方米。</v>
      </c>
    </row>
    <row r="21" spans="1:1" ht="17.399999999999999">
      <c r="A21" s="1777" t="s">
        <v>2074</v>
      </c>
    </row>
    <row r="22" spans="1:1" ht="52.2">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本次估价对象为出让国有建设用地使用权，《国有土地使用证》[]证载土地终止日期为住宅2080年6月29日、商业2050年6月29日。截至估价期日，出让国有建设用地使用权剩余土地使用年限为。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未平整，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1" t="s">
        <v>2374</v>
      </c>
      <c r="F1" s="2352">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0" t="s">
        <v>2461</v>
      </c>
      <c r="E7" s="2454"/>
      <c r="F7" s="2455"/>
      <c r="G7" s="1579"/>
      <c r="H7" s="781">
        <v>1</v>
      </c>
      <c r="I7" s="782" t="s">
        <v>2458</v>
      </c>
      <c r="J7" s="53">
        <f ca="1">J8+J12+J14</f>
        <v>0</v>
      </c>
      <c r="K7" s="2460" t="s">
        <v>2461</v>
      </c>
      <c r="L7" s="2454"/>
      <c r="M7" s="2455"/>
    </row>
    <row r="8" spans="1:25" ht="18" customHeight="1">
      <c r="A8" s="1816" t="s">
        <v>1824</v>
      </c>
      <c r="B8" s="3447" t="s">
        <v>2463</v>
      </c>
      <c r="C8" s="1811">
        <f ca="1">ROUND(F8*F10*F9*(1-F11)/10000,0)</f>
        <v>0</v>
      </c>
      <c r="D8" s="1808" t="s">
        <v>2534</v>
      </c>
      <c r="E8" s="61" t="s">
        <v>637</v>
      </c>
      <c r="F8" s="785">
        <f ca="1">INDIRECT("'数据-取费表'!u"&amp;$G$1)</f>
        <v>0</v>
      </c>
      <c r="G8" s="1579"/>
      <c r="H8" s="2468" t="s">
        <v>1824</v>
      </c>
      <c r="I8" s="3447" t="s">
        <v>2463</v>
      </c>
      <c r="J8" s="783">
        <f ca="1">ROUND(M8*M10*M9*(1-M11)/10000,0)</f>
        <v>0</v>
      </c>
      <c r="K8" s="341" t="s">
        <v>2534</v>
      </c>
      <c r="L8" s="784" t="s">
        <v>1738</v>
      </c>
      <c r="M8" s="785">
        <f ca="1">INDIRECT("'数据-取费表'!z"&amp;$G$1)</f>
        <v>0</v>
      </c>
    </row>
    <row r="9" spans="1:25" ht="18" customHeight="1">
      <c r="A9" s="2464"/>
      <c r="B9" s="3448"/>
      <c r="C9" s="1812"/>
      <c r="D9" s="1809"/>
      <c r="E9" s="61" t="s">
        <v>638</v>
      </c>
      <c r="F9" s="785">
        <f ca="1">IF(INDIRECT("'数据-取费表'!ah"&amp;$G$1)="",INDIRECT("'数据-取费表'!k"&amp;$G$1),INDIRECT("'数据-取费表'!ah"&amp;$G$1))</f>
        <v>0</v>
      </c>
      <c r="G9" s="1579"/>
      <c r="H9" s="2453"/>
      <c r="I9" s="3448"/>
      <c r="J9" s="788"/>
      <c r="K9" s="789"/>
      <c r="L9" s="784" t="s">
        <v>1739</v>
      </c>
      <c r="M9" s="785">
        <f ca="1">F9</f>
        <v>0</v>
      </c>
    </row>
    <row r="10" spans="1:25" ht="18" customHeight="1">
      <c r="A10" s="2457"/>
      <c r="B10" s="3449"/>
      <c r="C10" s="1812"/>
      <c r="D10" s="1809"/>
      <c r="E10" s="61" t="s">
        <v>639</v>
      </c>
      <c r="F10" s="785">
        <f ca="1">INDIRECT("'数据-取费表'!ai"&amp;$G$1)</f>
        <v>0</v>
      </c>
      <c r="G10" s="1579"/>
      <c r="H10" s="2453"/>
      <c r="I10" s="3449"/>
      <c r="J10" s="788"/>
      <c r="K10" s="789"/>
      <c r="L10" s="784" t="s">
        <v>1740</v>
      </c>
      <c r="M10" s="785">
        <f ca="1">INDIRECT("'数据-取费表'!ai"&amp;$G$1)</f>
        <v>0</v>
      </c>
    </row>
    <row r="11" spans="1:25" ht="18" customHeight="1">
      <c r="A11" s="786"/>
      <c r="B11" s="3450"/>
      <c r="C11" s="1812"/>
      <c r="D11" s="1809"/>
      <c r="E11" s="61" t="s">
        <v>640</v>
      </c>
      <c r="F11" s="794">
        <f ca="1">INDIRECT("'数据-取费表'!w"&amp;$G$1)</f>
        <v>0</v>
      </c>
      <c r="G11" s="1579"/>
      <c r="H11" s="2469"/>
      <c r="I11" s="3449"/>
      <c r="J11" s="788"/>
      <c r="K11" s="789"/>
      <c r="L11" s="795" t="s">
        <v>1741</v>
      </c>
      <c r="M11" s="796">
        <f ca="1">INDIRECT("'数据-取费表'!ab"&amp;$G$1)</f>
        <v>0</v>
      </c>
    </row>
    <row r="12" spans="1:25" ht="18" customHeight="1">
      <c r="A12" s="1816" t="s">
        <v>1825</v>
      </c>
      <c r="B12" s="2458" t="s">
        <v>2459</v>
      </c>
      <c r="C12" s="799">
        <f ca="1">ROUND(IF(F12="押一",C8/12*F13,IF(F12="押二",C8/12*2*F13,IF(F12="押三",C8/12*3*F13,C13*F13))),0)</f>
        <v>0</v>
      </c>
      <c r="D12" s="2465" t="s">
        <v>2975</v>
      </c>
      <c r="E12" s="2462" t="s">
        <v>2464</v>
      </c>
      <c r="F12" s="2585"/>
      <c r="G12" s="1579"/>
      <c r="H12" s="2525" t="s">
        <v>1825</v>
      </c>
      <c r="I12" s="2530" t="s">
        <v>2459</v>
      </c>
      <c r="J12" s="783">
        <f ca="1">ROUND(IF(M12="押一",J8/12*M13,IF(M12="押二",J8/12*2*M13,IF(M12="押三",J8/12*3*M13,J13*M13))),0)</f>
        <v>0</v>
      </c>
      <c r="K12" s="2465" t="s">
        <v>2975</v>
      </c>
      <c r="L12" s="2462" t="s">
        <v>2464</v>
      </c>
      <c r="M12" s="2585"/>
    </row>
    <row r="13" spans="1:25" ht="18" customHeight="1">
      <c r="A13" s="790"/>
      <c r="B13" s="2459" t="s">
        <v>2573</v>
      </c>
      <c r="C13" s="2463"/>
      <c r="D13" s="789"/>
      <c r="E13" s="2462" t="s">
        <v>2456</v>
      </c>
      <c r="F13" s="796">
        <f ca="1">'数据-取费表'!B39</f>
        <v>1.4999999999999999E-2</v>
      </c>
      <c r="G13" s="1579"/>
      <c r="H13" s="2526"/>
      <c r="I13" s="2459" t="s">
        <v>2573</v>
      </c>
      <c r="J13" s="2463"/>
      <c r="K13" s="2527"/>
      <c r="L13" s="2462" t="s">
        <v>2456</v>
      </c>
      <c r="M13" s="2456">
        <f ca="1">'数据-取费表'!B39</f>
        <v>1.4999999999999999E-2</v>
      </c>
    </row>
    <row r="14" spans="1:25" ht="18" customHeight="1" thickBot="1">
      <c r="A14" s="2501" t="s">
        <v>2467</v>
      </c>
      <c r="B14" s="2502" t="s">
        <v>2460</v>
      </c>
      <c r="C14" s="2503"/>
      <c r="D14" s="2504"/>
      <c r="E14" s="2505"/>
      <c r="F14" s="2506"/>
      <c r="G14" s="1579"/>
      <c r="H14" s="2515" t="s">
        <v>2467</v>
      </c>
      <c r="I14" s="2528" t="s">
        <v>2460</v>
      </c>
      <c r="J14" s="2529"/>
      <c r="K14" s="2504"/>
      <c r="L14" s="2505"/>
      <c r="M14" s="2518"/>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5</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3"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4" t="s">
        <v>1883</v>
      </c>
      <c r="B31" s="2505" t="s">
        <v>2823</v>
      </c>
      <c r="C31" s="2508">
        <f ca="1">ROUND((C21+C22+C25+C28)/(1-F23-C26-C29-C30),0)</f>
        <v>0</v>
      </c>
      <c r="D31" s="2509"/>
      <c r="E31" s="2510"/>
      <c r="F31" s="2511"/>
      <c r="G31" s="1580"/>
      <c r="H31" s="823" t="s">
        <v>1872</v>
      </c>
      <c r="I31" s="2964"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1"/>
      <c r="F32" s="2455"/>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5</v>
      </c>
      <c r="G36" s="2048"/>
      <c r="H36" s="2051"/>
      <c r="I36" s="3446"/>
      <c r="J36" s="2065"/>
      <c r="K36" s="2066"/>
      <c r="L36" s="2065"/>
      <c r="M36" s="2065"/>
    </row>
    <row r="37" spans="1:18" ht="18" customHeight="1">
      <c r="A37" s="815"/>
      <c r="B37" s="793"/>
      <c r="C37" s="69"/>
      <c r="D37" s="816"/>
      <c r="E37" s="784" t="s">
        <v>674</v>
      </c>
      <c r="F37" s="785">
        <f ca="1">INDIRECT("'数据-取费表'!r"&amp;$G$1)</f>
        <v>0</v>
      </c>
      <c r="G37" s="2048"/>
      <c r="H37" s="2051"/>
      <c r="I37" s="344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4" t="s">
        <v>1879</v>
      </c>
      <c r="B40" s="2510" t="s">
        <v>666</v>
      </c>
      <c r="C40" s="2508">
        <f ca="1">ROUND(C7*F40,1)</f>
        <v>0</v>
      </c>
      <c r="D40" s="2509" t="s">
        <v>683</v>
      </c>
      <c r="E40" s="2510" t="s">
        <v>649</v>
      </c>
      <c r="F40" s="2506">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0">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2" t="s">
        <v>2343</v>
      </c>
      <c r="J47" s="2343"/>
      <c r="K47" s="2344"/>
      <c r="L47" s="3108" t="str">
        <f ca="1">IF(M48="住宅",0,IF(L49&gt;J52,L61,J61))</f>
        <v>0</v>
      </c>
      <c r="O47" s="2358" t="s">
        <v>2410</v>
      </c>
      <c r="P47" s="1579"/>
      <c r="Q47" s="1590"/>
      <c r="R47" s="1579"/>
    </row>
    <row r="48" spans="1:18" s="2045" customFormat="1" ht="18" customHeight="1" thickBot="1">
      <c r="A48" s="2070"/>
      <c r="C48" s="2073"/>
      <c r="D48" s="2074"/>
      <c r="E48" s="2074"/>
      <c r="F48" s="2075"/>
      <c r="G48" s="2076"/>
      <c r="I48" s="3099" t="s">
        <v>2344</v>
      </c>
      <c r="J48" s="2345"/>
      <c r="K48" s="3105" t="s">
        <v>2349</v>
      </c>
      <c r="L48" s="3109">
        <f ca="1">INDIRECT("'数据-取费表'!d"&amp;$G$1)</f>
        <v>0</v>
      </c>
      <c r="M48" s="3073" t="str">
        <f>IF(ISNUMBER(FIND("住宅",C1)),"住宅","非住宅")</f>
        <v>非住宅</v>
      </c>
      <c r="O48" s="2359" t="s">
        <v>2375</v>
      </c>
      <c r="P48" s="2360" t="s">
        <v>2376</v>
      </c>
      <c r="Q48" s="2361" t="s">
        <v>2377</v>
      </c>
      <c r="R48" s="2360" t="s">
        <v>2378</v>
      </c>
    </row>
    <row r="49" spans="1:18" s="2045" customFormat="1" ht="18" customHeight="1" thickBot="1">
      <c r="A49" s="2070"/>
      <c r="D49" s="2077"/>
      <c r="E49" s="2078"/>
      <c r="F49" s="2075"/>
      <c r="G49" s="2076"/>
      <c r="H49" s="2079"/>
      <c r="I49" s="3078" t="s">
        <v>2345</v>
      </c>
      <c r="J49" s="2346"/>
      <c r="K49" s="3106" t="s">
        <v>2351</v>
      </c>
      <c r="L49" s="1894">
        <f ca="1">INDIRECT("'数据-取费表'!f"&amp;$G$1)</f>
        <v>0</v>
      </c>
      <c r="O49" s="2362" t="s">
        <v>2379</v>
      </c>
      <c r="P49" s="2363" t="s">
        <v>2405</v>
      </c>
      <c r="Q49" s="2364">
        <f ca="1">C41+J31</f>
        <v>0</v>
      </c>
      <c r="R49" s="2363" t="s">
        <v>2380</v>
      </c>
    </row>
    <row r="50" spans="1:18" s="2045" customFormat="1" ht="18" customHeight="1" thickBot="1">
      <c r="A50" s="2070"/>
      <c r="D50" s="2080"/>
      <c r="E50" s="2080"/>
      <c r="F50" s="2074"/>
      <c r="G50" s="2081"/>
      <c r="H50" s="2079"/>
      <c r="I50" s="3078" t="s">
        <v>2346</v>
      </c>
      <c r="J50" s="2347"/>
      <c r="K50" s="3107" t="s">
        <v>2352</v>
      </c>
      <c r="L50" s="2348"/>
      <c r="O50" s="2362" t="s">
        <v>2381</v>
      </c>
      <c r="P50" s="2363" t="s">
        <v>2406</v>
      </c>
      <c r="Q50" s="2364" t="str">
        <f ca="1">J61</f>
        <v>0</v>
      </c>
      <c r="R50" s="2363" t="s">
        <v>2382</v>
      </c>
    </row>
    <row r="51" spans="1:18" s="2045" customFormat="1" ht="18" customHeight="1" thickBot="1">
      <c r="A51" s="2082"/>
      <c r="D51" s="2080"/>
      <c r="E51" s="2080"/>
      <c r="F51" s="2071"/>
      <c r="H51" s="2079"/>
      <c r="I51" s="3078" t="s">
        <v>2347</v>
      </c>
      <c r="J51" s="3103">
        <f>SUMPRODUCT((I64:I66=J48)*(J63:L63=J49)*(J64:L66))</f>
        <v>0</v>
      </c>
      <c r="K51" s="3107" t="s">
        <v>2353</v>
      </c>
      <c r="L51" s="2348"/>
      <c r="O51" s="2365" t="s">
        <v>2383</v>
      </c>
      <c r="P51" s="2363" t="s">
        <v>2407</v>
      </c>
      <c r="Q51" s="2364">
        <f ca="1">C31</f>
        <v>0</v>
      </c>
      <c r="R51" s="2363"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5" t="s">
        <v>2384</v>
      </c>
      <c r="P52" s="2363" t="s">
        <v>2385</v>
      </c>
      <c r="Q52" s="2366" t="e">
        <f ca="1">J59</f>
        <v>#VALUE!</v>
      </c>
      <c r="R52" s="2367"/>
    </row>
    <row r="53" spans="1:18" s="2045" customFormat="1" ht="18" customHeight="1" thickBot="1">
      <c r="A53" s="2082"/>
      <c r="F53" s="2071"/>
      <c r="I53" s="3101" t="s">
        <v>2421</v>
      </c>
      <c r="J53" s="2349"/>
      <c r="K53" s="3101" t="s">
        <v>2420</v>
      </c>
      <c r="L53" s="2349"/>
      <c r="O53" s="2365" t="s">
        <v>2386</v>
      </c>
      <c r="P53" s="2363" t="s">
        <v>2387</v>
      </c>
      <c r="Q53" s="2366">
        <f>J53</f>
        <v>0</v>
      </c>
      <c r="R53" s="2367"/>
    </row>
    <row r="54" spans="1:18" s="2045" customFormat="1" ht="31.8" thickBot="1">
      <c r="A54" s="2082"/>
      <c r="I54" s="3102" t="s">
        <v>2979</v>
      </c>
      <c r="J54" s="3181">
        <f ca="1">IF(M48="住宅",MAX(J52,L49-'数据-取费表'!B20),MIN(J52,L49-'数据-取费表'!B20))</f>
        <v>-3</v>
      </c>
      <c r="K54" s="3451"/>
      <c r="L54" s="3452"/>
      <c r="O54" s="2365" t="s">
        <v>2388</v>
      </c>
      <c r="P54" s="2363" t="s">
        <v>2389</v>
      </c>
      <c r="Q54" s="2364">
        <f ca="1">J54</f>
        <v>-3</v>
      </c>
      <c r="R54" s="2363"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2391</v>
      </c>
      <c r="P55" s="2363" t="s">
        <v>2408</v>
      </c>
      <c r="Q55" s="2364">
        <f ca="1">Q49+Q50</f>
        <v>0</v>
      </c>
      <c r="R55" s="2367" t="s">
        <v>2392</v>
      </c>
    </row>
    <row r="56" spans="1:18" s="2045" customFormat="1" ht="16.2" thickBot="1">
      <c r="A56" s="2082"/>
      <c r="B56" s="2083"/>
      <c r="C56" s="2083"/>
      <c r="I56" s="3113" t="s">
        <v>2355</v>
      </c>
      <c r="J56" s="3053" t="e">
        <f ca="1">ROUND(IF(J48="钢混",J58/J51,1-(1-2%)*(J51-J58)/J51),3)</f>
        <v>#VALUE!</v>
      </c>
      <c r="K56" s="3114" t="s">
        <v>2356</v>
      </c>
      <c r="L56" s="2350"/>
      <c r="O56" s="2368" t="s">
        <v>2411</v>
      </c>
      <c r="P56" s="1579"/>
      <c r="Q56" s="1590"/>
      <c r="R56" s="1579"/>
    </row>
    <row r="57" spans="1:18" s="2045" customFormat="1" ht="47.4" thickBot="1">
      <c r="A57" s="2082"/>
      <c r="B57" s="2083"/>
      <c r="C57" s="2083"/>
      <c r="I57" s="3115" t="s">
        <v>2357</v>
      </c>
      <c r="J57" s="3125" t="s">
        <v>1678</v>
      </c>
      <c r="K57" s="3078" t="s">
        <v>2362</v>
      </c>
      <c r="L57" s="1894">
        <f ca="1">IF(L49&lt;J52,"——",L49-J52)</f>
        <v>0</v>
      </c>
      <c r="O57" s="2359" t="s">
        <v>2375</v>
      </c>
      <c r="P57" s="2360" t="s">
        <v>2376</v>
      </c>
      <c r="Q57" s="2361" t="s">
        <v>2377</v>
      </c>
      <c r="R57" s="2360" t="s">
        <v>2378</v>
      </c>
    </row>
    <row r="58" spans="1:18" s="2045" customFormat="1" ht="31.8" thickBot="1">
      <c r="A58" s="2082"/>
      <c r="B58" s="2083"/>
      <c r="C58" s="2083"/>
      <c r="I58" s="3116" t="s">
        <v>2358</v>
      </c>
      <c r="J58" s="3117" t="str">
        <f ca="1">IF(OR(M48="住宅",J52&lt;L49,J57="是"),"——",J52-L49)</f>
        <v>——</v>
      </c>
      <c r="K58" s="3078" t="s">
        <v>2363</v>
      </c>
      <c r="L58" s="1894">
        <f ca="1">IF(L49&lt;J52,"——",IF(L56="比较法",L50,IF(L56="基准地价",L51,L52)))</f>
        <v>0</v>
      </c>
      <c r="O58" s="2362" t="s">
        <v>2379</v>
      </c>
      <c r="P58" s="2363" t="s">
        <v>2405</v>
      </c>
      <c r="Q58" s="2364">
        <f ca="1">C41+J31</f>
        <v>0</v>
      </c>
      <c r="R58" s="2363" t="s">
        <v>2380</v>
      </c>
    </row>
    <row r="59" spans="1:18" s="2045" customFormat="1" ht="31.8" thickBot="1">
      <c r="A59" s="2082"/>
      <c r="B59" s="2083"/>
      <c r="C59" s="2083"/>
      <c r="I59" s="3116" t="s">
        <v>2359</v>
      </c>
      <c r="J59" s="3054" t="e">
        <f ca="1">IF(J56&lt;0.4,0.4,J56)</f>
        <v>#VALUE!</v>
      </c>
      <c r="K59" s="3078" t="s">
        <v>2364</v>
      </c>
      <c r="L59" s="1894">
        <f ca="1">IF(ISERROR(POWER(1+L53,L48-L49)*(POWER(1+L53,L49)-1)/(POWER(1+L53,L48)-1)),0,POWER(1+L53,L48-L49)*(POWER(1+L53,L49)-1)/(POWER(1+L53,L48)-1))</f>
        <v>0</v>
      </c>
      <c r="O59" s="2362" t="s">
        <v>2381</v>
      </c>
      <c r="P59" s="2363" t="s">
        <v>2412</v>
      </c>
      <c r="Q59" s="2364" t="e">
        <f ca="1">L61</f>
        <v>#DIV/0!</v>
      </c>
      <c r="R59" s="2367" t="s">
        <v>2414</v>
      </c>
    </row>
    <row r="60" spans="1:18" s="2045" customFormat="1" ht="31.8"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5" t="s">
        <v>2383</v>
      </c>
      <c r="P60" s="2363" t="s">
        <v>2413</v>
      </c>
      <c r="Q60" s="2364">
        <f>IF(L56="比较法",L50,IF(L56="基准地价",L51,0))</f>
        <v>0</v>
      </c>
      <c r="R60" s="2363" t="s">
        <v>2380</v>
      </c>
    </row>
    <row r="61" spans="1:18" s="2045" customFormat="1" ht="16.2" thickBot="1">
      <c r="A61" s="2082"/>
      <c r="B61" s="2083"/>
      <c r="C61" s="2083"/>
      <c r="I61" s="3118" t="s">
        <v>2361</v>
      </c>
      <c r="J61" s="3119" t="str">
        <f ca="1">IF(OR(M48="住宅",J52&lt;L49,J57="是"),"0",ROUND(J60/(1+J53)^J54,0))</f>
        <v>0</v>
      </c>
      <c r="K61" s="3120" t="s">
        <v>2366</v>
      </c>
      <c r="L61" s="3119" t="e">
        <f ca="1">IF(OR(M48="住宅",L49&lt;J52),0,ROUND(L58*(L59/L60-1),0))</f>
        <v>#DIV/0!</v>
      </c>
      <c r="O61" s="2365" t="s">
        <v>2384</v>
      </c>
      <c r="P61" s="2363" t="s">
        <v>2393</v>
      </c>
      <c r="Q61" s="2366">
        <f>L53</f>
        <v>0</v>
      </c>
      <c r="R61" s="2367"/>
    </row>
    <row r="62" spans="1:18" s="2045" customFormat="1" ht="19.2" thickBot="1">
      <c r="A62" s="2082"/>
      <c r="B62" s="2083"/>
      <c r="C62" s="2083"/>
      <c r="K62" s="2072"/>
      <c r="O62" s="2365" t="s">
        <v>2386</v>
      </c>
      <c r="P62" s="2363" t="s">
        <v>2394</v>
      </c>
      <c r="Q62" s="2364">
        <f ca="1">L59</f>
        <v>0</v>
      </c>
      <c r="R62" s="2367" t="s">
        <v>2395</v>
      </c>
    </row>
    <row r="63" spans="1:18" s="2045" customFormat="1" ht="19.2" thickBot="1">
      <c r="A63" s="2082"/>
      <c r="B63" s="2083"/>
      <c r="C63" s="2083"/>
      <c r="I63" s="3121" t="s">
        <v>2367</v>
      </c>
      <c r="J63" s="3122" t="s">
        <v>2368</v>
      </c>
      <c r="K63" s="3122" t="s">
        <v>2369</v>
      </c>
      <c r="L63" s="3122" t="s">
        <v>2350</v>
      </c>
      <c r="M63" s="3123" t="s">
        <v>2944</v>
      </c>
      <c r="O63" s="2365" t="s">
        <v>2388</v>
      </c>
      <c r="P63" s="2363" t="s">
        <v>2396</v>
      </c>
      <c r="Q63" s="2364">
        <f ca="1">L60</f>
        <v>0</v>
      </c>
      <c r="R63" s="2367" t="s">
        <v>2397</v>
      </c>
    </row>
    <row r="64" spans="1:18" s="2045" customFormat="1" ht="16.2" thickBot="1">
      <c r="A64" s="2082"/>
      <c r="B64" s="2083"/>
      <c r="C64" s="2083"/>
      <c r="I64" s="3121" t="s">
        <v>2370</v>
      </c>
      <c r="J64" s="3122">
        <v>70</v>
      </c>
      <c r="K64" s="3122">
        <v>50</v>
      </c>
      <c r="L64" s="3122">
        <v>80</v>
      </c>
      <c r="M64" s="3124">
        <v>0.02</v>
      </c>
      <c r="O64" s="2362" t="s">
        <v>2391</v>
      </c>
      <c r="P64" s="2363" t="s">
        <v>2408</v>
      </c>
      <c r="Q64" s="2364" t="e">
        <f ca="1">Q58+Q59</f>
        <v>#DIV/0!</v>
      </c>
      <c r="R64" s="2367" t="s">
        <v>2392</v>
      </c>
    </row>
    <row r="65" spans="1:18" s="2045" customFormat="1" ht="16.2" thickBot="1">
      <c r="A65" s="2082"/>
      <c r="B65" s="2083"/>
      <c r="C65" s="2083"/>
      <c r="I65" s="3121" t="s">
        <v>2371</v>
      </c>
      <c r="J65" s="3122">
        <v>50</v>
      </c>
      <c r="K65" s="3122">
        <v>35</v>
      </c>
      <c r="L65" s="3122">
        <v>60</v>
      </c>
      <c r="M65" s="846">
        <v>0</v>
      </c>
      <c r="O65" s="2368" t="s">
        <v>2415</v>
      </c>
      <c r="P65" s="1579"/>
      <c r="Q65" s="1590"/>
      <c r="R65" s="1579"/>
    </row>
    <row r="66" spans="1:18" s="2045" customFormat="1" ht="16.2" thickBot="1">
      <c r="A66" s="2082"/>
      <c r="B66" s="2083"/>
      <c r="C66" s="2083"/>
      <c r="I66" s="3121" t="s">
        <v>2372</v>
      </c>
      <c r="J66" s="3122">
        <v>40</v>
      </c>
      <c r="K66" s="3122">
        <v>30</v>
      </c>
      <c r="L66" s="3122">
        <v>50</v>
      </c>
      <c r="M66" s="3124">
        <v>0.02</v>
      </c>
      <c r="O66" s="2359" t="s">
        <v>2375</v>
      </c>
      <c r="P66" s="2360" t="s">
        <v>2376</v>
      </c>
      <c r="Q66" s="2361" t="s">
        <v>2377</v>
      </c>
      <c r="R66" s="2360" t="s">
        <v>2378</v>
      </c>
    </row>
    <row r="67" spans="1:18" s="2045" customFormat="1" ht="16.2" thickBot="1">
      <c r="A67" s="2082"/>
      <c r="B67" s="2083"/>
      <c r="C67" s="2083"/>
      <c r="K67" s="2072"/>
      <c r="O67" s="2362" t="s">
        <v>2379</v>
      </c>
      <c r="P67" s="2363" t="s">
        <v>2405</v>
      </c>
      <c r="Q67" s="2364">
        <f ca="1">C41+J31</f>
        <v>0</v>
      </c>
      <c r="R67" s="2363" t="s">
        <v>2380</v>
      </c>
    </row>
    <row r="68" spans="1:18" s="2045" customFormat="1" ht="19.2" thickBot="1">
      <c r="A68" s="2082"/>
      <c r="B68" s="2083"/>
      <c r="C68" s="2083"/>
      <c r="K68" s="2072"/>
      <c r="O68" s="2362" t="s">
        <v>2381</v>
      </c>
      <c r="P68" s="2363" t="s">
        <v>2412</v>
      </c>
      <c r="Q68" s="2364" t="e">
        <f ca="1">L61</f>
        <v>#DIV/0!</v>
      </c>
      <c r="R68" s="2367" t="s">
        <v>2414</v>
      </c>
    </row>
    <row r="69" spans="1:18" s="2045" customFormat="1" ht="20.399999999999999" thickBot="1">
      <c r="A69" s="2082"/>
      <c r="B69" s="2083"/>
      <c r="C69" s="2083"/>
      <c r="K69" s="2072"/>
      <c r="O69" s="2365" t="s">
        <v>2383</v>
      </c>
      <c r="P69" s="2363" t="s">
        <v>2413</v>
      </c>
      <c r="Q69" s="2369">
        <f ca="1">L52</f>
        <v>0</v>
      </c>
      <c r="R69" s="2370" t="s">
        <v>2416</v>
      </c>
    </row>
    <row r="70" spans="1:18" s="2045" customFormat="1" ht="19.2" thickBot="1">
      <c r="A70" s="2082"/>
      <c r="B70" s="2083"/>
      <c r="C70" s="2083"/>
      <c r="K70" s="2072"/>
      <c r="O70" s="2365" t="s">
        <v>2384</v>
      </c>
      <c r="P70" s="2371" t="s">
        <v>2398</v>
      </c>
      <c r="Q70" s="2364">
        <f ca="1">ROUND(Q71-Q72*Q73,0)</f>
        <v>0</v>
      </c>
      <c r="R70" s="2367"/>
    </row>
    <row r="71" spans="1:18" s="2045" customFormat="1" ht="16.2" thickBot="1">
      <c r="A71" s="2082"/>
      <c r="B71" s="2083"/>
      <c r="C71" s="2083"/>
      <c r="K71" s="2072"/>
      <c r="O71" s="2365" t="s">
        <v>2399</v>
      </c>
      <c r="P71" s="2371" t="s">
        <v>2400</v>
      </c>
      <c r="Q71" s="2364">
        <f ca="1">C42</f>
        <v>0</v>
      </c>
      <c r="R71" s="2363" t="s">
        <v>2380</v>
      </c>
    </row>
    <row r="72" spans="1:18" s="2045" customFormat="1" ht="16.2" thickBot="1">
      <c r="A72" s="2082"/>
      <c r="B72" s="2083"/>
      <c r="C72" s="2083"/>
      <c r="K72" s="2072"/>
      <c r="O72" s="2365" t="s">
        <v>2401</v>
      </c>
      <c r="P72" s="2371" t="s">
        <v>2402</v>
      </c>
      <c r="Q72" s="2364">
        <f ca="1">C15</f>
        <v>0</v>
      </c>
      <c r="R72" s="2363" t="s">
        <v>2380</v>
      </c>
    </row>
    <row r="73" spans="1:18" s="2045" customFormat="1" ht="16.2" thickBot="1">
      <c r="A73" s="2082"/>
      <c r="B73" s="2083"/>
      <c r="C73" s="2083"/>
      <c r="K73" s="2072"/>
      <c r="O73" s="2365" t="s">
        <v>2403</v>
      </c>
      <c r="P73" s="2371" t="s">
        <v>2404</v>
      </c>
      <c r="Q73" s="2366">
        <f ca="1">F43</f>
        <v>0</v>
      </c>
      <c r="R73" s="2367"/>
    </row>
    <row r="74" spans="1:18" s="2045" customFormat="1" ht="16.2" thickBot="1">
      <c r="A74" s="2082"/>
      <c r="B74" s="2083"/>
      <c r="C74" s="2083"/>
      <c r="K74" s="2072"/>
      <c r="O74" s="2365" t="s">
        <v>2386</v>
      </c>
      <c r="P74" s="2363" t="s">
        <v>2393</v>
      </c>
      <c r="Q74" s="2366">
        <f>L53</f>
        <v>0</v>
      </c>
      <c r="R74" s="2367"/>
    </row>
    <row r="75" spans="1:18" s="2045" customFormat="1" ht="19.2" thickBot="1">
      <c r="A75" s="2082"/>
      <c r="B75" s="2083"/>
      <c r="C75" s="2083"/>
      <c r="K75" s="2072"/>
      <c r="O75" s="2365" t="s">
        <v>2388</v>
      </c>
      <c r="P75" s="2363" t="s">
        <v>2394</v>
      </c>
      <c r="Q75" s="2364">
        <f ca="1">L59</f>
        <v>0</v>
      </c>
      <c r="R75" s="2367" t="s">
        <v>2395</v>
      </c>
    </row>
    <row r="76" spans="1:18" s="2045" customFormat="1" ht="19.2" thickBot="1">
      <c r="A76" s="2082"/>
      <c r="B76" s="2083"/>
      <c r="C76" s="2083"/>
      <c r="K76" s="2072"/>
      <c r="O76" s="2365" t="s">
        <v>2417</v>
      </c>
      <c r="P76" s="2363" t="s">
        <v>2396</v>
      </c>
      <c r="Q76" s="2364">
        <f ca="1">L60</f>
        <v>0</v>
      </c>
      <c r="R76" s="2367" t="s">
        <v>2397</v>
      </c>
    </row>
    <row r="77" spans="1:18" s="2045" customFormat="1" ht="16.2" thickBot="1">
      <c r="A77" s="2082"/>
      <c r="B77" s="2083"/>
      <c r="C77" s="2083"/>
      <c r="K77" s="2072"/>
      <c r="O77" s="2362" t="s">
        <v>2391</v>
      </c>
      <c r="P77" s="2363" t="s">
        <v>2408</v>
      </c>
      <c r="Q77" s="2364" t="e">
        <f ca="1">Q67+Q68</f>
        <v>#DIV/0!</v>
      </c>
      <c r="R77" s="2367"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N38" sqref="N38"/>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3006</v>
      </c>
      <c r="D1" s="3077" t="s">
        <v>952</v>
      </c>
      <c r="E1" s="2351" t="s">
        <v>2374</v>
      </c>
      <c r="F1" s="2352">
        <f ca="1">J53</f>
        <v>30.93</v>
      </c>
      <c r="G1" s="774">
        <f>MATCH(C1,'数据-取费表'!A6:A16,0)+5</f>
        <v>7</v>
      </c>
      <c r="H1" s="2036"/>
      <c r="I1" s="2037"/>
      <c r="J1" s="2037"/>
      <c r="K1" s="2038"/>
      <c r="L1" s="2037"/>
      <c r="M1" s="2037"/>
      <c r="N1" s="2039"/>
      <c r="O1" s="2039"/>
      <c r="P1" s="2039"/>
      <c r="Q1" s="2356"/>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13928</v>
      </c>
      <c r="C2" s="2043"/>
      <c r="D2" s="2041"/>
      <c r="E2" s="2042"/>
      <c r="F2" s="2042"/>
      <c r="G2" s="1577"/>
      <c r="H2" s="2043"/>
      <c r="I2" s="2043"/>
      <c r="J2" s="2043"/>
      <c r="K2" s="2044"/>
      <c r="L2" s="2043"/>
      <c r="M2" s="2043"/>
    </row>
    <row r="3" spans="1:33" ht="18" customHeight="1" thickBot="1">
      <c r="A3" s="833" t="s">
        <v>1727</v>
      </c>
      <c r="B3" s="834">
        <f ca="1">IF(ISERROR(B2*10000/F43),0,ROUND(B2*10000/F43,0))</f>
        <v>3745</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1224</v>
      </c>
      <c r="D5" s="2460" t="s">
        <v>2461</v>
      </c>
      <c r="E5" s="2454"/>
      <c r="F5" s="2455"/>
      <c r="G5" s="1579"/>
      <c r="H5" s="781">
        <v>1</v>
      </c>
      <c r="I5" s="782" t="s">
        <v>2458</v>
      </c>
      <c r="J5" s="55">
        <f ca="1">J6+J10+J12</f>
        <v>0</v>
      </c>
      <c r="K5" s="2460" t="s">
        <v>2461</v>
      </c>
      <c r="L5" s="2454"/>
      <c r="M5" s="2455"/>
    </row>
    <row r="6" spans="1:33" ht="18" customHeight="1">
      <c r="A6" s="1816" t="s">
        <v>1824</v>
      </c>
      <c r="B6" s="3447" t="s">
        <v>2463</v>
      </c>
      <c r="C6" s="783">
        <f ca="1">ROUND(F6*F8*F7*(1-F9)/10000,0)</f>
        <v>1222</v>
      </c>
      <c r="D6" s="2461" t="s">
        <v>2462</v>
      </c>
      <c r="E6" s="784" t="s">
        <v>1738</v>
      </c>
      <c r="F6" s="785">
        <f ca="1">INDIRECT("'数据-取费表'!u"&amp;$G$1)</f>
        <v>1</v>
      </c>
      <c r="G6" s="1579"/>
      <c r="H6" s="2468" t="s">
        <v>2468</v>
      </c>
      <c r="I6" s="3447" t="s">
        <v>2463</v>
      </c>
      <c r="J6" s="783">
        <f ca="1">ROUND(M6*M8*M7*(1-M9)/10000,0)</f>
        <v>0</v>
      </c>
      <c r="K6" s="341" t="s">
        <v>1737</v>
      </c>
      <c r="L6" s="784" t="s">
        <v>1738</v>
      </c>
      <c r="M6" s="785">
        <f ca="1">INDIRECT("'数据-取费表'!z"&amp;$G$1)</f>
        <v>0</v>
      </c>
    </row>
    <row r="7" spans="1:33" ht="18" customHeight="1">
      <c r="A7" s="2464"/>
      <c r="B7" s="3448"/>
      <c r="C7" s="788"/>
      <c r="D7" s="789"/>
      <c r="E7" s="784" t="s">
        <v>1739</v>
      </c>
      <c r="F7" s="785">
        <f ca="1">IF(INDIRECT("'数据-取费表'!ah"&amp;$G$1)="",INDIRECT("'数据-取费表'!k"&amp;$G$1),INDIRECT("'数据-取费表'!ah"&amp;$G$1))</f>
        <v>37187.1</v>
      </c>
      <c r="G7" s="1579"/>
      <c r="H7" s="2453"/>
      <c r="I7" s="3448"/>
      <c r="J7" s="788"/>
      <c r="K7" s="789"/>
      <c r="L7" s="784" t="s">
        <v>1739</v>
      </c>
      <c r="M7" s="785">
        <f ca="1">F7</f>
        <v>37187.1</v>
      </c>
    </row>
    <row r="8" spans="1:33" ht="18" customHeight="1">
      <c r="A8" s="2457"/>
      <c r="B8" s="3449"/>
      <c r="C8" s="788"/>
      <c r="D8" s="789"/>
      <c r="E8" s="784" t="s">
        <v>1740</v>
      </c>
      <c r="F8" s="785">
        <f ca="1">INDIRECT("'数据-取费表'!ai"&amp;$G$1)</f>
        <v>365</v>
      </c>
      <c r="G8" s="1579"/>
      <c r="H8" s="2453"/>
      <c r="I8" s="3449"/>
      <c r="J8" s="788"/>
      <c r="K8" s="789"/>
      <c r="L8" s="784" t="s">
        <v>1740</v>
      </c>
      <c r="M8" s="785">
        <f ca="1">INDIRECT("'数据-取费表'!ai"&amp;$G$1)</f>
        <v>365</v>
      </c>
    </row>
    <row r="9" spans="1:33" ht="18" customHeight="1">
      <c r="A9" s="786"/>
      <c r="B9" s="3450"/>
      <c r="C9" s="788"/>
      <c r="D9" s="789"/>
      <c r="E9" s="784" t="s">
        <v>1741</v>
      </c>
      <c r="F9" s="794">
        <f ca="1">INDIRECT("'数据-取费表'!w"&amp;$G$1)</f>
        <v>0.1</v>
      </c>
      <c r="G9" s="1579"/>
      <c r="H9" s="2469"/>
      <c r="I9" s="3449"/>
      <c r="J9" s="788"/>
      <c r="K9" s="789"/>
      <c r="L9" s="795" t="s">
        <v>1741</v>
      </c>
      <c r="M9" s="796">
        <f ca="1">INDIRECT("'数据-取费表'!ab"&amp;$G$1)</f>
        <v>0</v>
      </c>
    </row>
    <row r="10" spans="1:33" ht="18" customHeight="1">
      <c r="A10" s="1816" t="s">
        <v>2466</v>
      </c>
      <c r="B10" s="2458" t="s">
        <v>2459</v>
      </c>
      <c r="C10" s="799">
        <f ca="1">ROUND(IF(F10="押一",C6/12*F11,IF(F10="押二",C6/12*2*F11,IF(F10="押三",C6/12*3*F11,C11*F11))),0)</f>
        <v>2</v>
      </c>
      <c r="D10" s="2465" t="s">
        <v>2975</v>
      </c>
      <c r="E10" s="2462" t="s">
        <v>2464</v>
      </c>
      <c r="F10" s="2585" t="s">
        <v>3045</v>
      </c>
      <c r="G10" s="1579"/>
      <c r="H10" s="2525" t="s">
        <v>2469</v>
      </c>
      <c r="I10" s="2530" t="s">
        <v>2459</v>
      </c>
      <c r="J10" s="783">
        <f ca="1">ROUND(IF(M10="押一",J6/12*M11,IF(M10="押二",J6/12*2*M11,IF(M10="押三",J6/12*3*M11,J11*M11))),0)</f>
        <v>0</v>
      </c>
      <c r="K10" s="2465" t="s">
        <v>2975</v>
      </c>
      <c r="L10" s="2462" t="s">
        <v>2464</v>
      </c>
      <c r="M10" s="2585"/>
    </row>
    <row r="11" spans="1:33" ht="18" customHeight="1">
      <c r="A11" s="790"/>
      <c r="B11" s="2459" t="s">
        <v>2573</v>
      </c>
      <c r="C11" s="2463"/>
      <c r="D11" s="789"/>
      <c r="E11" s="2462" t="s">
        <v>2465</v>
      </c>
      <c r="F11" s="796">
        <f ca="1">'数据-取费表'!B39</f>
        <v>1.4999999999999999E-2</v>
      </c>
      <c r="G11" s="1579"/>
      <c r="H11" s="2526"/>
      <c r="I11" s="2459" t="s">
        <v>2573</v>
      </c>
      <c r="J11" s="2463"/>
      <c r="K11" s="2527"/>
      <c r="L11" s="2462" t="s">
        <v>2465</v>
      </c>
      <c r="M11" s="2456">
        <f ca="1">'数据-取费表'!B39</f>
        <v>1.4999999999999999E-2</v>
      </c>
    </row>
    <row r="12" spans="1:33" ht="18" customHeight="1" thickBot="1">
      <c r="A12" s="2501" t="s">
        <v>2467</v>
      </c>
      <c r="B12" s="2502" t="s">
        <v>2460</v>
      </c>
      <c r="C12" s="2503"/>
      <c r="D12" s="2504"/>
      <c r="E12" s="2505"/>
      <c r="F12" s="2506"/>
      <c r="G12" s="1579"/>
      <c r="H12" s="2515" t="s">
        <v>2470</v>
      </c>
      <c r="I12" s="2528" t="s">
        <v>2460</v>
      </c>
      <c r="J12" s="2529"/>
      <c r="K12" s="2504"/>
      <c r="L12" s="2505"/>
      <c r="M12" s="2518"/>
    </row>
    <row r="13" spans="1:33" ht="18" customHeight="1" thickTop="1">
      <c r="A13" s="1815">
        <v>2</v>
      </c>
      <c r="B13" s="1813" t="s">
        <v>1742</v>
      </c>
      <c r="C13" s="792">
        <f ca="1">ROUND(C29*F13,0)</f>
        <v>17036</v>
      </c>
      <c r="D13" s="1820" t="s">
        <v>2297</v>
      </c>
      <c r="E13" s="1820" t="s">
        <v>1744</v>
      </c>
      <c r="F13" s="2500">
        <f ca="1">INDIRECT("'数据-取费表'!y"&amp;$G$1)</f>
        <v>1</v>
      </c>
      <c r="G13" s="1579"/>
      <c r="H13" s="1815">
        <v>2</v>
      </c>
      <c r="I13" s="1813" t="s">
        <v>1742</v>
      </c>
      <c r="J13" s="1805">
        <f ca="1">ROUND(J14*J15,0)</f>
        <v>0</v>
      </c>
      <c r="K13" s="1807" t="s">
        <v>1743</v>
      </c>
      <c r="L13" s="2516"/>
      <c r="M13" s="2517"/>
    </row>
    <row r="14" spans="1:33" ht="18" customHeight="1">
      <c r="A14" s="1634" t="s">
        <v>1884</v>
      </c>
      <c r="B14" s="784" t="s">
        <v>645</v>
      </c>
      <c r="C14" s="804">
        <f ca="1">INDIRECT("'数据-取费表'!m"&amp;$G$1)+INDIRECT("'数据-取费表'!t"&amp;$G$1)</f>
        <v>11627</v>
      </c>
      <c r="D14" s="1965" t="s">
        <v>1745</v>
      </c>
      <c r="E14" s="1966"/>
      <c r="F14" s="805"/>
      <c r="G14" s="1579"/>
      <c r="H14" s="1635" t="s">
        <v>1830</v>
      </c>
      <c r="I14" s="2217" t="s">
        <v>2826</v>
      </c>
      <c r="J14" s="53">
        <f ca="1">C29</f>
        <v>17036</v>
      </c>
      <c r="K14" s="26"/>
      <c r="L14" s="801"/>
      <c r="M14" s="802"/>
    </row>
    <row r="15" spans="1:33" s="2050" customFormat="1" ht="18" customHeight="1" thickBot="1">
      <c r="A15" s="1634" t="s">
        <v>1885</v>
      </c>
      <c r="B15" s="784" t="s">
        <v>647</v>
      </c>
      <c r="C15" s="53">
        <f ca="1">ROUND(C14*F15,0)</f>
        <v>581</v>
      </c>
      <c r="D15" s="806" t="s">
        <v>1746</v>
      </c>
      <c r="E15" s="806" t="s">
        <v>1747</v>
      </c>
      <c r="F15" s="807">
        <f>'数据-取费表'!B33</f>
        <v>0.05</v>
      </c>
      <c r="G15" s="1580"/>
      <c r="H15" s="2515" t="s">
        <v>1889</v>
      </c>
      <c r="I15" s="2510" t="s">
        <v>1744</v>
      </c>
      <c r="J15" s="2519">
        <f ca="1">INDIRECT("'数据-取费表'!ad"&amp;$G$1)</f>
        <v>0</v>
      </c>
      <c r="K15" s="2520"/>
      <c r="L15" s="2521"/>
      <c r="M15" s="2522"/>
      <c r="N15" s="2049"/>
      <c r="O15" s="2049"/>
      <c r="P15" s="2049"/>
      <c r="Q15" s="2357"/>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1703</v>
      </c>
      <c r="K16" s="1807" t="s">
        <v>1750</v>
      </c>
      <c r="L16" s="2450"/>
      <c r="M16" s="2455"/>
    </row>
    <row r="17" spans="1:33" s="2050" customFormat="1" ht="18" customHeight="1">
      <c r="A17" s="1634" t="s">
        <v>1887</v>
      </c>
      <c r="B17" s="784" t="s">
        <v>653</v>
      </c>
      <c r="C17" s="53">
        <f ca="1">ROUND(F17*(F43+INDIRECT("'数据-取费表'!S"&amp;$G$1))/10000,0)</f>
        <v>775</v>
      </c>
      <c r="D17" s="784" t="s">
        <v>1751</v>
      </c>
      <c r="E17" s="784" t="s">
        <v>1752</v>
      </c>
      <c r="F17" s="56">
        <f>'数据-取费表'!B35</f>
        <v>200</v>
      </c>
      <c r="G17" s="1580"/>
      <c r="H17" s="1635" t="s">
        <v>1830</v>
      </c>
      <c r="I17" s="784" t="s">
        <v>656</v>
      </c>
      <c r="J17" s="53">
        <f ca="1">ROUND(IF(项目基本情况!B11="自然人",J6*M17/(1+'数据-取费表'!C42),J18+J19+J20),0)</f>
        <v>1447</v>
      </c>
      <c r="K17" s="2449" t="s">
        <v>1753</v>
      </c>
      <c r="L17" s="2448" t="s">
        <v>1754</v>
      </c>
      <c r="M17" s="810" t="str">
        <f ca="1">IF(项目基本情况!B11="企业","",IF(INDIRECT("'数据-取费表'!c"&amp;$G$1)="住宅",5%,IF(M6*M7*M8/12/(1+'数据-取费表'!C42)&gt;20000,12%,7%)))</f>
        <v/>
      </c>
      <c r="N17" s="2049"/>
      <c r="O17" s="2049"/>
      <c r="P17" s="2049"/>
      <c r="Q17" s="2357"/>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174</v>
      </c>
      <c r="D18" s="784" t="s">
        <v>1746</v>
      </c>
      <c r="E18" s="784" t="s">
        <v>1747</v>
      </c>
      <c r="F18" s="809">
        <f>'数据-取费表'!B36</f>
        <v>1.4999999999999999E-2</v>
      </c>
      <c r="G18" s="1580"/>
      <c r="H18" s="1634" t="s">
        <v>1884</v>
      </c>
      <c r="I18" s="784" t="s">
        <v>1755</v>
      </c>
      <c r="J18" s="53">
        <f ca="1">ROUND(J6*M18/(1+'数据-取费表'!C42),1)</f>
        <v>0</v>
      </c>
      <c r="K18" s="2448" t="s">
        <v>1756</v>
      </c>
      <c r="L18" s="784" t="s">
        <v>1747</v>
      </c>
      <c r="M18" s="809">
        <f>'数据-取费表'!B41</f>
        <v>5.6000000000000001E-2</v>
      </c>
      <c r="N18" s="2049"/>
      <c r="O18" s="2049"/>
      <c r="P18" s="2049"/>
      <c r="Q18" s="2357"/>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13157</v>
      </c>
      <c r="D19" s="261" t="s">
        <v>1757</v>
      </c>
      <c r="E19" s="1968"/>
      <c r="F19" s="56"/>
      <c r="G19" s="1579"/>
      <c r="H19" s="1634" t="s">
        <v>1885</v>
      </c>
      <c r="I19" s="784" t="s">
        <v>1758</v>
      </c>
      <c r="J19" s="53">
        <f ca="1">IF(K19="按租金收入计税",ROUND(J6*M19/(1+'数据-取费表'!C42),1),ROUND(C29*F33*0.7,1))</f>
        <v>1431</v>
      </c>
      <c r="K19" s="811" t="s">
        <v>665</v>
      </c>
      <c r="L19" s="784" t="s">
        <v>1747</v>
      </c>
      <c r="M19" s="809">
        <f>IF(K19="按租金收入计税",'数据-取费表'!B51,'数据-取费表'!B50)</f>
        <v>1.2E-2</v>
      </c>
    </row>
    <row r="20" spans="1:33" s="2050" customFormat="1" ht="18" customHeight="1">
      <c r="A20" s="1635" t="s">
        <v>1889</v>
      </c>
      <c r="B20" s="784" t="s">
        <v>666</v>
      </c>
      <c r="C20" s="53">
        <f ca="1">ROUND(C19*F20,0)</f>
        <v>263</v>
      </c>
      <c r="D20" s="812" t="s">
        <v>1759</v>
      </c>
      <c r="E20" s="784" t="s">
        <v>1747</v>
      </c>
      <c r="F20" s="809">
        <f>'数据-取费表'!B37</f>
        <v>0.02</v>
      </c>
      <c r="G20" s="1580"/>
      <c r="H20" s="1637" t="s">
        <v>1880</v>
      </c>
      <c r="I20" s="341" t="s">
        <v>1760</v>
      </c>
      <c r="J20" s="54">
        <f ca="1">ROUND(M20*M21/10000,0)</f>
        <v>16</v>
      </c>
      <c r="K20" s="814" t="s">
        <v>1761</v>
      </c>
      <c r="L20" s="784" t="s">
        <v>1762</v>
      </c>
      <c r="M20" s="640">
        <f>'数据-取费表'!B52</f>
        <v>5</v>
      </c>
      <c r="N20" s="2049"/>
      <c r="O20" s="2049"/>
      <c r="P20" s="2049"/>
      <c r="Q20" s="2357"/>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0"/>
      <c r="I21" s="793"/>
      <c r="J21" s="69"/>
      <c r="K21" s="816"/>
      <c r="L21" s="784" t="s">
        <v>1766</v>
      </c>
      <c r="M21" s="785">
        <f ca="1">INDIRECT("'数据-取费表'!r"&amp;$G$1)</f>
        <v>31037.27</v>
      </c>
      <c r="N21" s="2049"/>
      <c r="O21" s="2049"/>
      <c r="P21" s="2049"/>
      <c r="Q21" s="2357"/>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256</v>
      </c>
      <c r="K22" s="2448"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967</v>
      </c>
      <c r="D23" s="2535"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8" t="s">
        <v>1771</v>
      </c>
      <c r="L23" s="784" t="s">
        <v>1747</v>
      </c>
      <c r="M23" s="818">
        <f ca="1">INDIRECT("'数据-取费表'!Al"&amp;$G$1)</f>
        <v>1.5E-3</v>
      </c>
      <c r="N23" s="2049"/>
      <c r="O23" s="2049"/>
      <c r="P23" s="2049"/>
      <c r="Q23" s="2357"/>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9"/>
      <c r="O24" s="2049"/>
      <c r="P24" s="2049"/>
      <c r="Q24" s="2357"/>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2" t="s">
        <v>2822</v>
      </c>
      <c r="J25" s="792">
        <f ca="1">J5-J16</f>
        <v>-1703</v>
      </c>
      <c r="K25" s="2512" t="s">
        <v>1777</v>
      </c>
      <c r="L25" s="2513"/>
      <c r="M25" s="2514"/>
    </row>
    <row r="26" spans="1:33" ht="18" customHeight="1">
      <c r="A26" s="1634" t="s">
        <v>1831</v>
      </c>
      <c r="B26" s="784" t="s">
        <v>2438</v>
      </c>
      <c r="C26" s="53">
        <f ca="1">ROUND((C19+C20)*F26,0)</f>
        <v>1342</v>
      </c>
      <c r="D26" s="812" t="s">
        <v>1778</v>
      </c>
      <c r="E26" s="795" t="s">
        <v>1779</v>
      </c>
      <c r="F26" s="794">
        <f ca="1">INDIRECT("'数据-取费表'!q"&amp;$G$1)</f>
        <v>0.1</v>
      </c>
      <c r="G26" s="1579"/>
      <c r="H26" s="2466"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2E-3</v>
      </c>
      <c r="D27" s="812" t="s">
        <v>1782</v>
      </c>
      <c r="E27" s="806"/>
      <c r="F27" s="807"/>
      <c r="G27" s="1579"/>
      <c r="H27" s="2467"/>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7"/>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7" t="s">
        <v>1892</v>
      </c>
      <c r="B29" s="2505" t="s">
        <v>2300</v>
      </c>
      <c r="C29" s="2508">
        <f ca="1">ROUND((C19+C20+C23+C26)/(1-F21-C24-C27-C28),0)</f>
        <v>17036</v>
      </c>
      <c r="D29" s="2509"/>
      <c r="E29" s="2510"/>
      <c r="F29" s="2511"/>
      <c r="G29" s="1580"/>
      <c r="H29" s="823" t="s">
        <v>1787</v>
      </c>
      <c r="I29" s="824" t="s">
        <v>1788</v>
      </c>
      <c r="J29" s="825">
        <f ca="1">ROUND(J26/(1+F40)^F41,0)</f>
        <v>0</v>
      </c>
      <c r="K29" s="826" t="s">
        <v>1789</v>
      </c>
      <c r="L29" s="827"/>
      <c r="M29" s="828">
        <f ca="1">INDIRECT("'数据-取费表'!k"&amp;$G$1)</f>
        <v>37187.1</v>
      </c>
      <c r="N29" s="2049"/>
      <c r="O29" s="2049"/>
      <c r="P29" s="2049"/>
      <c r="Q29" s="2357"/>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514</v>
      </c>
      <c r="D30" s="1807" t="s">
        <v>1791</v>
      </c>
      <c r="E30" s="2450"/>
      <c r="F30" s="2455"/>
      <c r="G30" s="2048"/>
      <c r="H30" s="2051"/>
      <c r="I30" s="2052"/>
      <c r="J30" s="2053"/>
      <c r="K30" s="2054"/>
      <c r="L30" s="2055"/>
      <c r="M30" s="2056"/>
    </row>
    <row r="31" spans="1:33" ht="18" customHeight="1">
      <c r="A31" s="1635" t="s">
        <v>1830</v>
      </c>
      <c r="B31" s="784" t="s">
        <v>656</v>
      </c>
      <c r="C31" s="53">
        <f ca="1">ROUND(IF(项目基本情况!B11="自然人",C6*F31/(1+'数据-取费表'!C42),C32+C33+C34),1)</f>
        <v>220.4</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65.2</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139.69999999999999</v>
      </c>
      <c r="D33" s="811" t="s">
        <v>3046</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15.5</v>
      </c>
      <c r="D34" s="814" t="s">
        <v>1799</v>
      </c>
      <c r="E34" s="784" t="s">
        <v>1800</v>
      </c>
      <c r="F34" s="640">
        <f>'数据-取费表'!B52</f>
        <v>5</v>
      </c>
      <c r="G34" s="2048"/>
      <c r="H34" s="2051"/>
      <c r="I34" s="835" t="s">
        <v>1813</v>
      </c>
      <c r="J34" s="836"/>
      <c r="K34" s="2066"/>
      <c r="L34" s="2065"/>
      <c r="M34" s="2065"/>
    </row>
    <row r="35" spans="1:18" ht="18" customHeight="1">
      <c r="A35" s="815"/>
      <c r="B35" s="793"/>
      <c r="C35" s="69"/>
      <c r="D35" s="816"/>
      <c r="E35" s="784" t="s">
        <v>1801</v>
      </c>
      <c r="F35" s="785">
        <f ca="1">INDIRECT("'数据-取费表'!r"&amp;$G$1)</f>
        <v>31037.27</v>
      </c>
      <c r="G35" s="2048"/>
      <c r="H35" s="2051"/>
      <c r="I35" s="837" t="s">
        <v>1814</v>
      </c>
      <c r="J35" s="838">
        <f ca="1">ROUND(C13*J36,0)</f>
        <v>1448</v>
      </c>
      <c r="K35" s="2064"/>
      <c r="L35" s="2063"/>
      <c r="M35" s="2063"/>
    </row>
    <row r="36" spans="1:18" ht="18" customHeight="1">
      <c r="A36" s="1635" t="s">
        <v>1889</v>
      </c>
      <c r="B36" s="784" t="s">
        <v>1802</v>
      </c>
      <c r="C36" s="53">
        <f ca="1">ROUND(C29*F36,1)</f>
        <v>255.5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25.6</v>
      </c>
      <c r="D37" s="1963" t="s">
        <v>1804</v>
      </c>
      <c r="E37" s="784" t="s">
        <v>1796</v>
      </c>
      <c r="F37" s="818">
        <f ca="1">INDIRECT("'数据-取费表'!Al"&amp;$G$1)</f>
        <v>1.5E-3</v>
      </c>
      <c r="G37" s="2048"/>
      <c r="H37" s="2063"/>
      <c r="I37" s="841" t="s">
        <v>1816</v>
      </c>
      <c r="J37" s="842"/>
      <c r="K37" s="2068"/>
      <c r="L37" s="2063"/>
      <c r="M37" s="2063"/>
    </row>
    <row r="38" spans="1:18" ht="18" customHeight="1" thickBot="1">
      <c r="A38" s="2515" t="s">
        <v>1891</v>
      </c>
      <c r="B38" s="2510" t="s">
        <v>666</v>
      </c>
      <c r="C38" s="2508">
        <f ca="1">ROUND(C5*F38,1)</f>
        <v>12.2</v>
      </c>
      <c r="D38" s="2509" t="s">
        <v>1805</v>
      </c>
      <c r="E38" s="2510" t="s">
        <v>1796</v>
      </c>
      <c r="F38" s="2506">
        <f ca="1">INDIRECT("'数据-取费表'!Am"&amp;$G$1)</f>
        <v>0.01</v>
      </c>
      <c r="G38" s="2048"/>
      <c r="H38" s="2063"/>
      <c r="I38" s="843" t="s">
        <v>1817</v>
      </c>
      <c r="J38" s="844"/>
      <c r="K38" s="2069"/>
      <c r="L38" s="2063"/>
      <c r="M38" s="2063"/>
    </row>
    <row r="39" spans="1:18" ht="24.6" customHeight="1" thickTop="1">
      <c r="A39" s="1815" t="s">
        <v>1894</v>
      </c>
      <c r="B39" s="2962" t="s">
        <v>2822</v>
      </c>
      <c r="C39" s="792">
        <f ca="1">C5-C30</f>
        <v>710</v>
      </c>
      <c r="D39" s="2512" t="s">
        <v>1806</v>
      </c>
      <c r="E39" s="2513"/>
      <c r="F39" s="2514"/>
      <c r="G39" s="2048"/>
      <c r="H39" s="2063"/>
      <c r="I39" s="837" t="s">
        <v>1818</v>
      </c>
      <c r="J39" s="845">
        <f ca="1">ROUND(J35/C39,3)</f>
        <v>2.0390000000000001</v>
      </c>
      <c r="K39" s="2069"/>
      <c r="L39" s="2063"/>
      <c r="M39" s="2063"/>
    </row>
    <row r="40" spans="1:18" ht="18" customHeight="1">
      <c r="A40" s="781" t="s">
        <v>1895</v>
      </c>
      <c r="B40" s="2218" t="s">
        <v>2301</v>
      </c>
      <c r="C40" s="783">
        <f ca="1">ROUND(C39*(1-((1+F42)/(1+F40))^F41)/(F40-F42),0)</f>
        <v>13928</v>
      </c>
      <c r="D40" s="814" t="s">
        <v>1807</v>
      </c>
      <c r="E40" s="784" t="s">
        <v>2419</v>
      </c>
      <c r="F40" s="794">
        <f ca="1">INDIRECT("'数据-取费表'!I"&amp;$G$1)</f>
        <v>0.06</v>
      </c>
      <c r="G40" s="2048"/>
      <c r="H40" s="2048"/>
      <c r="I40" s="837" t="s">
        <v>1819</v>
      </c>
      <c r="J40" s="845">
        <f ca="1">1-J39</f>
        <v>-1.0390000000000001</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30.93</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1.2230000000000001</v>
      </c>
      <c r="K42" s="2068"/>
      <c r="L42" s="1974"/>
      <c r="M42" s="1974"/>
    </row>
    <row r="43" spans="1:18" ht="18" customHeight="1" thickBot="1">
      <c r="A43" s="823" t="s">
        <v>1787</v>
      </c>
      <c r="B43" s="824" t="s">
        <v>1810</v>
      </c>
      <c r="C43" s="825">
        <f ca="1">ROUND(C40*10000/F43,0)</f>
        <v>3745</v>
      </c>
      <c r="D43" s="826" t="s">
        <v>1811</v>
      </c>
      <c r="E43" s="827" t="s">
        <v>1812</v>
      </c>
      <c r="F43" s="828">
        <f ca="1">INDIRECT("'数据-取费表'!k"&amp;$G$1)</f>
        <v>37187.1</v>
      </c>
      <c r="G43" s="2048"/>
      <c r="H43" s="1974"/>
      <c r="I43" s="847" t="s">
        <v>1822</v>
      </c>
      <c r="J43" s="848">
        <f ca="1">1-J42</f>
        <v>-0.22300000000000009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8">
        <f ca="1">C67-C40</f>
        <v>-18062</v>
      </c>
      <c r="D46" s="2071"/>
      <c r="E46" s="2071"/>
      <c r="F46" s="2071"/>
      <c r="I46" s="2342" t="s">
        <v>2343</v>
      </c>
      <c r="J46" s="2343"/>
      <c r="K46" s="2344"/>
      <c r="L46" s="3108" t="str">
        <f ca="1">IF(OR(M47="住宅",D1="土地（套用方法）"),0,IF(L48&gt;J51,L60,J60))</f>
        <v>0</v>
      </c>
      <c r="O46" s="2358" t="s">
        <v>2410</v>
      </c>
      <c r="P46" s="1579"/>
      <c r="Q46" s="1590"/>
      <c r="R46" s="1579"/>
    </row>
    <row r="47" spans="1:18" s="2045" customFormat="1" ht="18" customHeight="1" thickBot="1">
      <c r="A47" s="2336">
        <v>1</v>
      </c>
      <c r="B47" s="2337" t="s">
        <v>635</v>
      </c>
      <c r="C47" s="2538">
        <f ca="1">C48+C52+C54</f>
        <v>0</v>
      </c>
      <c r="D47" s="2071"/>
      <c r="E47" s="2071"/>
      <c r="F47" s="2071"/>
      <c r="I47" s="3099" t="s">
        <v>2344</v>
      </c>
      <c r="J47" s="2345" t="s">
        <v>3047</v>
      </c>
      <c r="K47" s="3105" t="s">
        <v>2349</v>
      </c>
      <c r="L47" s="3109">
        <f ca="1">INDIRECT("'数据-取费表'!d"&amp;$G$1)</f>
        <v>40</v>
      </c>
      <c r="M47" s="1590" t="str">
        <f>IF(ISNUMBER(FIND("住宅",C1)),"住宅","非住宅")</f>
        <v>非住宅</v>
      </c>
      <c r="O47" s="2359" t="s">
        <v>2375</v>
      </c>
      <c r="P47" s="2360" t="s">
        <v>2376</v>
      </c>
      <c r="Q47" s="2361" t="s">
        <v>2377</v>
      </c>
      <c r="R47" s="2360" t="s">
        <v>2378</v>
      </c>
    </row>
    <row r="48" spans="1:18" s="2045" customFormat="1" ht="18" customHeight="1" thickBot="1">
      <c r="A48" s="2606" t="s">
        <v>2537</v>
      </c>
      <c r="B48" s="2607" t="s">
        <v>2538</v>
      </c>
      <c r="C48" s="2338">
        <f ca="1">ROUND(F48*F50*F49*(1-F51)/10000,0)</f>
        <v>0</v>
      </c>
      <c r="D48" s="2339" t="s">
        <v>636</v>
      </c>
      <c r="E48" s="2340" t="s">
        <v>2296</v>
      </c>
      <c r="F48" s="2341"/>
      <c r="G48" s="2076"/>
      <c r="I48" s="3078" t="s">
        <v>2345</v>
      </c>
      <c r="J48" s="2346" t="s">
        <v>2350</v>
      </c>
      <c r="K48" s="3106" t="s">
        <v>2351</v>
      </c>
      <c r="L48" s="1894">
        <f ca="1">INDIRECT("'数据-取费表'!f"&amp;$G$1)</f>
        <v>30.93</v>
      </c>
      <c r="O48" s="2362" t="s">
        <v>2379</v>
      </c>
      <c r="P48" s="2363" t="s">
        <v>2405</v>
      </c>
      <c r="Q48" s="2364">
        <f ca="1">C40+J29</f>
        <v>13928</v>
      </c>
      <c r="R48" s="2363" t="s">
        <v>2380</v>
      </c>
    </row>
    <row r="49" spans="1:18" s="2045" customFormat="1" ht="18" customHeight="1" thickBot="1">
      <c r="A49" s="786"/>
      <c r="B49" s="787"/>
      <c r="C49" s="788"/>
      <c r="D49" s="789"/>
      <c r="E49" s="784" t="s">
        <v>1739</v>
      </c>
      <c r="F49" s="785">
        <f ca="1">F7</f>
        <v>37187.1</v>
      </c>
      <c r="G49" s="2076"/>
      <c r="H49" s="2079"/>
      <c r="I49" s="3078" t="s">
        <v>2346</v>
      </c>
      <c r="J49" s="2347">
        <v>2022</v>
      </c>
      <c r="K49" s="3107" t="s">
        <v>2352</v>
      </c>
      <c r="L49" s="2348"/>
      <c r="O49" s="2362" t="s">
        <v>2381</v>
      </c>
      <c r="P49" s="2363" t="s">
        <v>2406</v>
      </c>
      <c r="Q49" s="2364" t="str">
        <f ca="1">J60</f>
        <v>0</v>
      </c>
      <c r="R49" s="2363"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8"/>
      <c r="O50" s="2365" t="s">
        <v>2383</v>
      </c>
      <c r="P50" s="2363" t="s">
        <v>2407</v>
      </c>
      <c r="Q50" s="2364">
        <f ca="1">C29</f>
        <v>17036</v>
      </c>
      <c r="R50" s="2363" t="s">
        <v>2380</v>
      </c>
    </row>
    <row r="51" spans="1:18" s="2045" customFormat="1" ht="18" customHeight="1" thickBot="1">
      <c r="A51" s="786"/>
      <c r="B51" s="787"/>
      <c r="C51" s="788"/>
      <c r="D51" s="789"/>
      <c r="E51" s="784" t="s">
        <v>640</v>
      </c>
      <c r="F51" s="2335"/>
      <c r="H51" s="2079"/>
      <c r="I51" s="3100" t="s">
        <v>2348</v>
      </c>
      <c r="J51" s="3104">
        <f>IF(J49="",J50,J49+J50-YEAR('数据-取费表'!B2))</f>
        <v>63</v>
      </c>
      <c r="K51" s="3078" t="s">
        <v>2354</v>
      </c>
      <c r="L51" s="3110">
        <f ca="1">ROUND(-PV(INDIRECT("'数据-取费表'!h"&amp;$G$1),L48,(C39-C13*J36),0),0)</f>
        <v>-10858</v>
      </c>
      <c r="O51" s="2365" t="s">
        <v>2384</v>
      </c>
      <c r="P51" s="2363" t="s">
        <v>2385</v>
      </c>
      <c r="Q51" s="2366" t="e">
        <f ca="1">J58</f>
        <v>#VALUE!</v>
      </c>
      <c r="R51" s="2367"/>
    </row>
    <row r="52" spans="1:18" s="2045" customFormat="1" ht="18" customHeight="1" thickBot="1">
      <c r="A52" s="781" t="s">
        <v>2536</v>
      </c>
      <c r="B52" s="2458" t="s">
        <v>2459</v>
      </c>
      <c r="C52" s="799">
        <f ca="1">ROUND(IF(F52="押一",C48/12*F11,IF(F52="押二",C48/12*2*F11,IF(F52="押三",C48/12*3*F11,C53*F11))),0)</f>
        <v>0</v>
      </c>
      <c r="D52" s="2465" t="s">
        <v>2976</v>
      </c>
      <c r="E52" s="2462" t="s">
        <v>2464</v>
      </c>
      <c r="F52" s="2585"/>
      <c r="I52" s="3101" t="s">
        <v>2421</v>
      </c>
      <c r="J52" s="2349">
        <v>0.09</v>
      </c>
      <c r="K52" s="3101" t="s">
        <v>2420</v>
      </c>
      <c r="L52" s="2349"/>
      <c r="O52" s="2365" t="s">
        <v>2386</v>
      </c>
      <c r="P52" s="2363" t="s">
        <v>2387</v>
      </c>
      <c r="Q52" s="2366">
        <f>J52</f>
        <v>0.09</v>
      </c>
      <c r="R52" s="2367"/>
    </row>
    <row r="53" spans="1:18" s="2045" customFormat="1" ht="39.75" customHeight="1" thickBot="1">
      <c r="A53" s="786"/>
      <c r="B53" s="2459" t="s">
        <v>2573</v>
      </c>
      <c r="C53" s="2463"/>
      <c r="D53" s="2465"/>
      <c r="E53" s="2462"/>
      <c r="F53" s="800"/>
      <c r="I53" s="3102" t="s">
        <v>2979</v>
      </c>
      <c r="J53" s="3181">
        <f ca="1">IF(M47="住宅",IF(D1="——",MAX(J51,L48),MAX(J51,L48-'数据-取费表'!B20)),IF(D1="——",MIN(J51,L48),MIN(J51,L48-'数据-取费表'!B20)))</f>
        <v>30.93</v>
      </c>
      <c r="K53" s="3453" t="s">
        <v>2967</v>
      </c>
      <c r="L53" s="3454"/>
      <c r="O53" s="2365" t="s">
        <v>2388</v>
      </c>
      <c r="P53" s="2363" t="s">
        <v>2389</v>
      </c>
      <c r="Q53" s="2364">
        <f ca="1">J53</f>
        <v>30.93</v>
      </c>
      <c r="R53" s="2363" t="s">
        <v>2390</v>
      </c>
    </row>
    <row r="54" spans="1:18" s="2045" customFormat="1" ht="18" customHeight="1" thickBot="1">
      <c r="A54" s="2501" t="s">
        <v>2467</v>
      </c>
      <c r="B54" s="2502" t="s">
        <v>2460</v>
      </c>
      <c r="C54" s="2503"/>
      <c r="D54" s="2465"/>
      <c r="E54" s="2462"/>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2" t="s">
        <v>2391</v>
      </c>
      <c r="P54" s="2363" t="s">
        <v>2408</v>
      </c>
      <c r="Q54" s="2364">
        <f ca="1">Q48+Q49</f>
        <v>13928</v>
      </c>
      <c r="R54" s="2367" t="s">
        <v>2392</v>
      </c>
    </row>
    <row r="55" spans="1:18" s="2045" customFormat="1" ht="18" customHeight="1" thickTop="1" thickBot="1">
      <c r="A55" s="797">
        <v>2</v>
      </c>
      <c r="B55" s="798" t="s">
        <v>644</v>
      </c>
      <c r="C55" s="799">
        <f ca="1">C13</f>
        <v>17036</v>
      </c>
      <c r="D55" s="795"/>
      <c r="E55" s="795"/>
      <c r="F55" s="800"/>
      <c r="I55" s="3113" t="s">
        <v>2355</v>
      </c>
      <c r="J55" s="3053" t="e">
        <f ca="1">ROUND(IF(J47="钢混",J57/J50,1-(1-2%)*(J50-J57)/J50),3)</f>
        <v>#VALUE!</v>
      </c>
      <c r="K55" s="3114" t="s">
        <v>2356</v>
      </c>
      <c r="L55" s="2350"/>
      <c r="O55" s="2368" t="s">
        <v>2411</v>
      </c>
      <c r="P55" s="1579"/>
      <c r="Q55" s="1590"/>
      <c r="R55" s="1579"/>
    </row>
    <row r="56" spans="1:18" s="2045" customFormat="1" ht="42.75" customHeight="1" thickBot="1">
      <c r="A56" s="1636"/>
      <c r="B56" s="2217" t="s">
        <v>2302</v>
      </c>
      <c r="C56" s="53">
        <f ca="1">C29</f>
        <v>17036</v>
      </c>
      <c r="D56" s="2603"/>
      <c r="E56" s="784"/>
      <c r="F56" s="809"/>
      <c r="I56" s="3115" t="s">
        <v>2357</v>
      </c>
      <c r="J56" s="3125" t="s">
        <v>1678</v>
      </c>
      <c r="K56" s="3078" t="s">
        <v>2362</v>
      </c>
      <c r="L56" s="1894" t="str">
        <f ca="1">IF(L48&lt;J51,"——",L48-J51)</f>
        <v>——</v>
      </c>
      <c r="O56" s="2359" t="s">
        <v>2375</v>
      </c>
      <c r="P56" s="2360" t="s">
        <v>2376</v>
      </c>
      <c r="Q56" s="2361" t="s">
        <v>2377</v>
      </c>
      <c r="R56" s="2360" t="s">
        <v>2378</v>
      </c>
    </row>
    <row r="57" spans="1:18" s="2045" customFormat="1" ht="28.5" customHeight="1" thickBot="1">
      <c r="A57" s="797" t="s">
        <v>1748</v>
      </c>
      <c r="B57" s="798" t="s">
        <v>651</v>
      </c>
      <c r="C57" s="799">
        <f ca="1">ROUND(C58+C63+C64+C65,0)</f>
        <v>297</v>
      </c>
      <c r="D57" s="26" t="s">
        <v>1750</v>
      </c>
      <c r="E57" s="2604"/>
      <c r="F57" s="56"/>
      <c r="I57" s="3116" t="s">
        <v>2358</v>
      </c>
      <c r="J57" s="3117" t="str">
        <f ca="1">IF(OR(M47="住宅",J51&lt;L48,J56="是"),"——",J51-L48)</f>
        <v>——</v>
      </c>
      <c r="K57" s="3078" t="s">
        <v>2363</v>
      </c>
      <c r="L57" s="1894" t="str">
        <f ca="1">IF(L48&lt;J51,"——",IF(L55="比较法",L49,IF(L55="基准地价",L50,L51)))</f>
        <v>——</v>
      </c>
      <c r="O57" s="2362" t="s">
        <v>2379</v>
      </c>
      <c r="P57" s="2363" t="s">
        <v>2409</v>
      </c>
      <c r="Q57" s="2364">
        <f ca="1">C40+J29</f>
        <v>13928</v>
      </c>
      <c r="R57" s="2363" t="s">
        <v>2380</v>
      </c>
    </row>
    <row r="58" spans="1:18" s="2045" customFormat="1" ht="28.5" customHeight="1" thickBot="1">
      <c r="A58" s="1635" t="s">
        <v>1824</v>
      </c>
      <c r="B58" s="784" t="s">
        <v>656</v>
      </c>
      <c r="C58" s="53">
        <f ca="1">ROUND(IF(项目基本情况!B11="自然人",C47*F58,C59+C60+C61),1)</f>
        <v>15.5</v>
      </c>
      <c r="D58" s="2602" t="s">
        <v>657</v>
      </c>
      <c r="E58" s="2603" t="s">
        <v>690</v>
      </c>
      <c r="F58" s="810" t="str">
        <f ca="1">IF(项目基本情况!B11="企业","",IF(INDIRECT("'数据-取费表'!c"&amp;$G$1)="住宅",5%,IF(F48*F49*F50/12/(1+'数据-取费表'!C42)&gt;20000,12%,7%)))</f>
        <v/>
      </c>
      <c r="I58" s="3116" t="s">
        <v>2359</v>
      </c>
      <c r="J58" s="3054" t="e">
        <f ca="1">IF(J55&lt;0.4,0.4,J55)</f>
        <v>#VALUE!</v>
      </c>
      <c r="K58" s="3078" t="s">
        <v>2364</v>
      </c>
      <c r="L58" s="1894" t="e">
        <f ca="1">ROUND(POWER(1+L52,L47-L48)*(POWER(1+L52,L48)-1)/(POWER(1+L52,L47)-1),4)</f>
        <v>#DIV/0!</v>
      </c>
      <c r="O58" s="2362" t="s">
        <v>2381</v>
      </c>
      <c r="P58" s="2363" t="s">
        <v>2412</v>
      </c>
      <c r="Q58" s="2364">
        <f ca="1">L60</f>
        <v>0</v>
      </c>
      <c r="R58" s="2367" t="s">
        <v>2414</v>
      </c>
    </row>
    <row r="59" spans="1:18" s="2045" customFormat="1" ht="28.5" customHeight="1" thickBot="1">
      <c r="A59" s="1634" t="s">
        <v>1831</v>
      </c>
      <c r="B59" s="784" t="s">
        <v>660</v>
      </c>
      <c r="C59" s="53">
        <f ca="1">ROUND(C47*F59/1.05,1)</f>
        <v>0</v>
      </c>
      <c r="D59" s="2603" t="s">
        <v>1756</v>
      </c>
      <c r="E59" s="784" t="s">
        <v>1747</v>
      </c>
      <c r="F59" s="809">
        <f t="shared" ref="F59:F65" si="0">F32</f>
        <v>5.6000000000000001E-2</v>
      </c>
      <c r="I59" s="3116" t="s">
        <v>2360</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5"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5" t="s">
        <v>2384</v>
      </c>
      <c r="P60" s="2363" t="s">
        <v>2393</v>
      </c>
      <c r="Q60" s="2366">
        <f>L52</f>
        <v>0</v>
      </c>
      <c r="R60" s="2367"/>
    </row>
    <row r="61" spans="1:18" s="2045" customFormat="1" ht="18" customHeight="1" thickBot="1">
      <c r="A61" s="1637" t="s">
        <v>1833</v>
      </c>
      <c r="B61" s="341" t="s">
        <v>668</v>
      </c>
      <c r="C61" s="54">
        <f ca="1">ROUND(F61*F62/10000,1)</f>
        <v>15.5</v>
      </c>
      <c r="D61" s="814" t="s">
        <v>669</v>
      </c>
      <c r="E61" s="784" t="s">
        <v>670</v>
      </c>
      <c r="F61" s="640">
        <f t="shared" si="0"/>
        <v>5</v>
      </c>
      <c r="K61" s="2072"/>
      <c r="O61" s="2365" t="s">
        <v>2386</v>
      </c>
      <c r="P61" s="2363" t="s">
        <v>2394</v>
      </c>
      <c r="Q61" s="2364" t="e">
        <f ca="1">L58</f>
        <v>#DIV/0!</v>
      </c>
      <c r="R61" s="2367" t="s">
        <v>2395</v>
      </c>
    </row>
    <row r="62" spans="1:18" s="2045" customFormat="1" ht="16.2" thickBot="1">
      <c r="A62" s="815"/>
      <c r="B62" s="793"/>
      <c r="C62" s="69"/>
      <c r="D62" s="816"/>
      <c r="E62" s="784" t="s">
        <v>674</v>
      </c>
      <c r="F62" s="785">
        <f t="shared" ca="1" si="0"/>
        <v>31037.27</v>
      </c>
      <c r="I62" s="3121" t="s">
        <v>2367</v>
      </c>
      <c r="J62" s="3122" t="s">
        <v>2368</v>
      </c>
      <c r="K62" s="3122" t="s">
        <v>2369</v>
      </c>
      <c r="L62" s="3122" t="s">
        <v>2350</v>
      </c>
      <c r="M62" s="3123" t="s">
        <v>2944</v>
      </c>
      <c r="O62" s="2365" t="s">
        <v>2388</v>
      </c>
      <c r="P62" s="2363" t="str">
        <f>K59</f>
        <v>建筑物剩余耐用年限下的土地年期修正系数Kn</v>
      </c>
      <c r="Q62" s="2364" t="e">
        <f ca="1">L59</f>
        <v>#DIV/0!</v>
      </c>
      <c r="R62" s="2367" t="s">
        <v>2397</v>
      </c>
    </row>
    <row r="63" spans="1:18" s="2045" customFormat="1" ht="16.2" thickBot="1">
      <c r="A63" s="1635" t="s">
        <v>1889</v>
      </c>
      <c r="B63" s="784" t="s">
        <v>676</v>
      </c>
      <c r="C63" s="53">
        <f ca="1">ROUND(C56*F63,1)</f>
        <v>255.5</v>
      </c>
      <c r="D63" s="2603" t="s">
        <v>1803</v>
      </c>
      <c r="E63" s="784" t="s">
        <v>1747</v>
      </c>
      <c r="F63" s="817">
        <f t="shared" ca="1" si="0"/>
        <v>1.4999999999999999E-2</v>
      </c>
      <c r="I63" s="3121" t="s">
        <v>2370</v>
      </c>
      <c r="J63" s="3122">
        <v>70</v>
      </c>
      <c r="K63" s="3122">
        <v>50</v>
      </c>
      <c r="L63" s="3122">
        <v>80</v>
      </c>
      <c r="M63" s="3124">
        <v>0.02</v>
      </c>
      <c r="O63" s="2362" t="s">
        <v>2391</v>
      </c>
      <c r="P63" s="2363" t="s">
        <v>2408</v>
      </c>
      <c r="Q63" s="2364">
        <f ca="1">Q57+Q58</f>
        <v>13928</v>
      </c>
      <c r="R63" s="2367" t="s">
        <v>2392</v>
      </c>
    </row>
    <row r="64" spans="1:18" s="2045" customFormat="1" ht="16.2" thickBot="1">
      <c r="A64" s="1635" t="s">
        <v>1890</v>
      </c>
      <c r="B64" s="784" t="s">
        <v>679</v>
      </c>
      <c r="C64" s="53">
        <f ca="1">ROUND(C55*F64,1)</f>
        <v>25.6</v>
      </c>
      <c r="D64" s="2603" t="s">
        <v>680</v>
      </c>
      <c r="E64" s="784" t="s">
        <v>1747</v>
      </c>
      <c r="F64" s="818">
        <f t="shared" ca="1" si="0"/>
        <v>1.5E-3</v>
      </c>
      <c r="I64" s="3121" t="s">
        <v>2371</v>
      </c>
      <c r="J64" s="3122">
        <v>50</v>
      </c>
      <c r="K64" s="3122">
        <v>35</v>
      </c>
      <c r="L64" s="3122">
        <v>60</v>
      </c>
      <c r="M64" s="846">
        <v>0</v>
      </c>
      <c r="O64" s="2368" t="s">
        <v>2415</v>
      </c>
      <c r="P64" s="1579"/>
      <c r="Q64" s="1590"/>
      <c r="R64" s="1579"/>
    </row>
    <row r="65" spans="1:18" s="2045" customFormat="1" ht="16.2" thickBot="1">
      <c r="A65" s="1635" t="s">
        <v>1891</v>
      </c>
      <c r="B65" s="784" t="s">
        <v>666</v>
      </c>
      <c r="C65" s="53">
        <f ca="1">ROUND(C47*F65,1)</f>
        <v>0</v>
      </c>
      <c r="D65" s="2603" t="s">
        <v>683</v>
      </c>
      <c r="E65" s="784" t="s">
        <v>1747</v>
      </c>
      <c r="F65" s="794">
        <f t="shared" ca="1" si="0"/>
        <v>0.01</v>
      </c>
      <c r="I65" s="3121" t="s">
        <v>2372</v>
      </c>
      <c r="J65" s="3122">
        <v>40</v>
      </c>
      <c r="K65" s="3122">
        <v>30</v>
      </c>
      <c r="L65" s="3122">
        <v>50</v>
      </c>
      <c r="M65" s="3124">
        <v>0.02</v>
      </c>
      <c r="O65" s="2359" t="s">
        <v>2375</v>
      </c>
      <c r="P65" s="2360" t="s">
        <v>2376</v>
      </c>
      <c r="Q65" s="2361" t="s">
        <v>2377</v>
      </c>
      <c r="R65" s="2360" t="s">
        <v>2378</v>
      </c>
    </row>
    <row r="66" spans="1:18" s="2045" customFormat="1" ht="24.6" thickBot="1">
      <c r="A66" s="797" t="s">
        <v>1776</v>
      </c>
      <c r="B66" s="2963" t="s">
        <v>2822</v>
      </c>
      <c r="C66" s="799">
        <f ca="1">C47-C57</f>
        <v>-297</v>
      </c>
      <c r="D66" s="2602" t="s">
        <v>700</v>
      </c>
      <c r="E66" s="2601"/>
      <c r="F66" s="820"/>
      <c r="K66" s="2072"/>
      <c r="O66" s="2362" t="s">
        <v>2379</v>
      </c>
      <c r="P66" s="2363" t="s">
        <v>2409</v>
      </c>
      <c r="Q66" s="2364">
        <f ca="1">C40+J29</f>
        <v>13928</v>
      </c>
      <c r="R66" s="2363" t="s">
        <v>2380</v>
      </c>
    </row>
    <row r="67" spans="1:18" s="2045" customFormat="1" ht="19.2" thickBot="1">
      <c r="A67" s="781" t="s">
        <v>1780</v>
      </c>
      <c r="B67" s="2218" t="s">
        <v>2301</v>
      </c>
      <c r="C67" s="783">
        <f ca="1">ROUND(C66*(1-((1+F69)/(1+F67))^F68)/(F67-F69),0)</f>
        <v>-4134</v>
      </c>
      <c r="D67" s="814" t="s">
        <v>704</v>
      </c>
      <c r="E67" s="784" t="s">
        <v>705</v>
      </c>
      <c r="F67" s="794">
        <f ca="1">F40</f>
        <v>0.06</v>
      </c>
      <c r="K67" s="2072"/>
      <c r="O67" s="2362" t="s">
        <v>2381</v>
      </c>
      <c r="P67" s="2363" t="s">
        <v>2412</v>
      </c>
      <c r="Q67" s="2364">
        <f ca="1">L60</f>
        <v>0</v>
      </c>
      <c r="R67" s="2367" t="s">
        <v>2414</v>
      </c>
    </row>
    <row r="68" spans="1:18" ht="20.399999999999999" thickBot="1">
      <c r="A68" s="786"/>
      <c r="B68" s="787"/>
      <c r="C68" s="788"/>
      <c r="D68" s="821" t="s">
        <v>1808</v>
      </c>
      <c r="E68" s="784" t="s">
        <v>1784</v>
      </c>
      <c r="F68" s="822">
        <f ca="1">F41</f>
        <v>30.93</v>
      </c>
      <c r="O68" s="2365" t="s">
        <v>2383</v>
      </c>
      <c r="P68" s="2363" t="s">
        <v>2413</v>
      </c>
      <c r="Q68" s="2369">
        <f ca="1">L51</f>
        <v>-10858</v>
      </c>
      <c r="R68" s="2370" t="s">
        <v>2416</v>
      </c>
    </row>
    <row r="69" spans="1:18" ht="19.2" thickBot="1">
      <c r="A69" s="790"/>
      <c r="B69" s="791"/>
      <c r="C69" s="792"/>
      <c r="D69" s="816"/>
      <c r="E69" s="784" t="s">
        <v>710</v>
      </c>
      <c r="F69" s="2335"/>
      <c r="O69" s="2365" t="s">
        <v>2384</v>
      </c>
      <c r="P69" s="2371" t="s">
        <v>2398</v>
      </c>
      <c r="Q69" s="2364">
        <f ca="1">ROUND(Q70-Q71*Q72,0)</f>
        <v>-738</v>
      </c>
      <c r="R69" s="2367"/>
    </row>
    <row r="70" spans="1:18" ht="16.2" thickBot="1">
      <c r="A70" s="823" t="s">
        <v>1787</v>
      </c>
      <c r="B70" s="824" t="s">
        <v>1810</v>
      </c>
      <c r="C70" s="825">
        <f ca="1">ROUND(C67*10000/F70,0)</f>
        <v>-1112</v>
      </c>
      <c r="D70" s="826" t="s">
        <v>1811</v>
      </c>
      <c r="E70" s="827" t="s">
        <v>1812</v>
      </c>
      <c r="F70" s="828">
        <f ca="1">F43</f>
        <v>37187.1</v>
      </c>
      <c r="O70" s="2365" t="s">
        <v>2399</v>
      </c>
      <c r="P70" s="2371" t="s">
        <v>2400</v>
      </c>
      <c r="Q70" s="2364">
        <f ca="1">C39</f>
        <v>710</v>
      </c>
      <c r="R70" s="2363" t="s">
        <v>2380</v>
      </c>
    </row>
    <row r="71" spans="1:18" ht="16.2" thickBot="1">
      <c r="O71" s="2365" t="s">
        <v>2401</v>
      </c>
      <c r="P71" s="2371" t="s">
        <v>2402</v>
      </c>
      <c r="Q71" s="2364">
        <f ca="1">C13</f>
        <v>17036</v>
      </c>
      <c r="R71" s="2363" t="s">
        <v>2380</v>
      </c>
    </row>
    <row r="72" spans="1:18" ht="16.2" thickBot="1">
      <c r="O72" s="2365" t="s">
        <v>2403</v>
      </c>
      <c r="P72" s="2371" t="s">
        <v>2404</v>
      </c>
      <c r="Q72" s="2366">
        <f ca="1">J36</f>
        <v>8.5000000000000006E-2</v>
      </c>
      <c r="R72" s="2367"/>
    </row>
    <row r="73" spans="1:18" ht="16.2" thickBot="1">
      <c r="O73" s="2365" t="s">
        <v>2386</v>
      </c>
      <c r="P73" s="2363" t="s">
        <v>2393</v>
      </c>
      <c r="Q73" s="2366">
        <f>L52</f>
        <v>0</v>
      </c>
      <c r="R73" s="2367"/>
    </row>
    <row r="74" spans="1:18" ht="19.2" thickBot="1">
      <c r="O74" s="2365" t="s">
        <v>2388</v>
      </c>
      <c r="P74" s="2363" t="s">
        <v>2394</v>
      </c>
      <c r="Q74" s="2364" t="e">
        <f ca="1">L58</f>
        <v>#DIV/0!</v>
      </c>
      <c r="R74" s="2367" t="s">
        <v>2395</v>
      </c>
    </row>
    <row r="75" spans="1:18" ht="16.2" thickBot="1">
      <c r="O75" s="2365" t="s">
        <v>2417</v>
      </c>
      <c r="P75" s="2363" t="str">
        <f>K59</f>
        <v>建筑物剩余耐用年限下的土地年期修正系数Kn</v>
      </c>
      <c r="Q75" s="2364" t="e">
        <f ca="1">L59</f>
        <v>#DIV/0!</v>
      </c>
      <c r="R75" s="2367" t="s">
        <v>2397</v>
      </c>
    </row>
    <row r="76" spans="1:18" ht="16.2" thickBot="1">
      <c r="O76" s="2362" t="s">
        <v>2391</v>
      </c>
      <c r="P76" s="2363" t="s">
        <v>2408</v>
      </c>
      <c r="Q76" s="2364">
        <f ca="1">Q66+Q67</f>
        <v>13928</v>
      </c>
      <c r="R76" s="236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1" t="s">
        <v>2471</v>
      </c>
      <c r="B1" s="3472"/>
      <c r="C1" s="3473"/>
      <c r="D1" s="3474">
        <f>SUM(I10,I15,I20,I21,I23)</f>
        <v>0</v>
      </c>
      <c r="E1" s="3474"/>
      <c r="F1" s="3474"/>
      <c r="G1" s="3474"/>
      <c r="H1" s="3474"/>
      <c r="I1" s="3475"/>
    </row>
    <row r="2" spans="1:9">
      <c r="A2" s="3461" t="s">
        <v>2472</v>
      </c>
      <c r="B2" s="3462" t="s">
        <v>2473</v>
      </c>
      <c r="C2" s="3462"/>
      <c r="D2" s="2471" t="s">
        <v>2474</v>
      </c>
      <c r="E2" s="2471" t="s">
        <v>2475</v>
      </c>
      <c r="F2" s="2471" t="s">
        <v>2476</v>
      </c>
      <c r="G2" s="2471" t="s">
        <v>2477</v>
      </c>
      <c r="H2" s="2471" t="s">
        <v>2478</v>
      </c>
      <c r="I2" s="2472" t="s">
        <v>2479</v>
      </c>
    </row>
    <row r="3" spans="1:9">
      <c r="A3" s="3461"/>
      <c r="B3" s="3462" t="s">
        <v>2480</v>
      </c>
      <c r="C3" s="3462"/>
      <c r="D3" s="2473"/>
      <c r="E3" s="2471"/>
      <c r="F3" s="2474"/>
      <c r="G3" s="2474"/>
      <c r="H3" s="2475"/>
      <c r="I3" s="2476">
        <f>ROUND(D3*E3*F3*G3*H3/10000,0)</f>
        <v>0</v>
      </c>
    </row>
    <row r="4" spans="1:9">
      <c r="A4" s="3461"/>
      <c r="B4" s="3462" t="s">
        <v>2481</v>
      </c>
      <c r="C4" s="3462"/>
      <c r="D4" s="2473"/>
      <c r="E4" s="2471"/>
      <c r="F4" s="2474"/>
      <c r="G4" s="2474"/>
      <c r="H4" s="2475"/>
      <c r="I4" s="2476">
        <f t="shared" ref="I4:I9" si="0">ROUND(D4*E4*F4*G4*H4/10000,0)</f>
        <v>0</v>
      </c>
    </row>
    <row r="5" spans="1:9">
      <c r="A5" s="3461"/>
      <c r="B5" s="3462" t="s">
        <v>2482</v>
      </c>
      <c r="C5" s="3462"/>
      <c r="D5" s="2473"/>
      <c r="E5" s="2471"/>
      <c r="F5" s="2474"/>
      <c r="G5" s="2474"/>
      <c r="H5" s="2475"/>
      <c r="I5" s="2476">
        <f t="shared" si="0"/>
        <v>0</v>
      </c>
    </row>
    <row r="6" spans="1:9">
      <c r="A6" s="3461"/>
      <c r="B6" s="3462" t="s">
        <v>2483</v>
      </c>
      <c r="C6" s="3462"/>
      <c r="D6" s="2473"/>
      <c r="E6" s="2471"/>
      <c r="F6" s="2474"/>
      <c r="G6" s="2474"/>
      <c r="H6" s="2475"/>
      <c r="I6" s="2476">
        <f t="shared" si="0"/>
        <v>0</v>
      </c>
    </row>
    <row r="7" spans="1:9">
      <c r="A7" s="3461"/>
      <c r="B7" s="3462" t="s">
        <v>2484</v>
      </c>
      <c r="C7" s="3462"/>
      <c r="D7" s="2473"/>
      <c r="E7" s="2471"/>
      <c r="F7" s="2474"/>
      <c r="G7" s="2474"/>
      <c r="H7" s="2475"/>
      <c r="I7" s="2476">
        <f t="shared" si="0"/>
        <v>0</v>
      </c>
    </row>
    <row r="8" spans="1:9">
      <c r="A8" s="3461"/>
      <c r="B8" s="3462" t="s">
        <v>2485</v>
      </c>
      <c r="C8" s="3462"/>
      <c r="D8" s="2473"/>
      <c r="E8" s="2471"/>
      <c r="F8" s="2474"/>
      <c r="G8" s="2474"/>
      <c r="H8" s="2475"/>
      <c r="I8" s="2476">
        <f t="shared" si="0"/>
        <v>0</v>
      </c>
    </row>
    <row r="9" spans="1:9">
      <c r="A9" s="3461"/>
      <c r="B9" s="3462" t="s">
        <v>2486</v>
      </c>
      <c r="C9" s="3462"/>
      <c r="D9" s="2473"/>
      <c r="E9" s="2471"/>
      <c r="F9" s="2474"/>
      <c r="G9" s="2474"/>
      <c r="H9" s="2475"/>
      <c r="I9" s="2476">
        <f t="shared" si="0"/>
        <v>0</v>
      </c>
    </row>
    <row r="10" spans="1:9">
      <c r="A10" s="3461"/>
      <c r="B10" s="3463" t="s">
        <v>2487</v>
      </c>
      <c r="C10" s="3463"/>
      <c r="D10" s="2477">
        <v>527</v>
      </c>
      <c r="E10" s="2477" t="e">
        <f>ROUND(D1*10000/D10/H9,0)</f>
        <v>#DIV/0!</v>
      </c>
      <c r="F10" s="2478"/>
      <c r="G10" s="2478"/>
      <c r="H10" s="2479"/>
      <c r="I10" s="2480">
        <f>SUM(I3:I9)</f>
        <v>0</v>
      </c>
    </row>
    <row r="11" spans="1:9" ht="15.6">
      <c r="A11" s="3461" t="s">
        <v>2488</v>
      </c>
      <c r="B11" s="3462" t="s">
        <v>2489</v>
      </c>
      <c r="C11" s="3462"/>
      <c r="D11" s="2473" t="s">
        <v>2490</v>
      </c>
      <c r="E11" s="2473" t="s">
        <v>2491</v>
      </c>
      <c r="F11" s="2474" t="s">
        <v>2492</v>
      </c>
      <c r="G11" s="2474" t="s">
        <v>2493</v>
      </c>
      <c r="H11" s="2481" t="s">
        <v>2494</v>
      </c>
      <c r="I11" s="2472" t="s">
        <v>2495</v>
      </c>
    </row>
    <row r="12" spans="1:9">
      <c r="A12" s="3461"/>
      <c r="B12" s="3462" t="s">
        <v>2496</v>
      </c>
      <c r="C12" s="3462"/>
      <c r="D12" s="2473"/>
      <c r="E12" s="2473"/>
      <c r="F12" s="2474"/>
      <c r="G12" s="2475"/>
      <c r="H12" s="2482"/>
      <c r="I12" s="2472">
        <f>ROUND(D12*E12*F12*G12/10000,0)</f>
        <v>0</v>
      </c>
    </row>
    <row r="13" spans="1:9">
      <c r="A13" s="3461"/>
      <c r="B13" s="3462" t="s">
        <v>2497</v>
      </c>
      <c r="C13" s="3462"/>
      <c r="D13" s="2473"/>
      <c r="E13" s="2473"/>
      <c r="F13" s="2474"/>
      <c r="G13" s="2475"/>
      <c r="H13" s="2482"/>
      <c r="I13" s="2472">
        <f>ROUND(D13*E13*F13*G13/10000,0)</f>
        <v>0</v>
      </c>
    </row>
    <row r="14" spans="1:9">
      <c r="A14" s="3461"/>
      <c r="B14" s="3462" t="s">
        <v>2498</v>
      </c>
      <c r="C14" s="3462"/>
      <c r="D14" s="2473"/>
      <c r="E14" s="2473"/>
      <c r="F14" s="2474"/>
      <c r="G14" s="2475"/>
      <c r="H14" s="2482"/>
      <c r="I14" s="2472">
        <f>ROUND(D14*E14*F14*G14/10000,0)</f>
        <v>0</v>
      </c>
    </row>
    <row r="15" spans="1:9">
      <c r="A15" s="3461"/>
      <c r="B15" s="3463" t="s">
        <v>2487</v>
      </c>
      <c r="C15" s="3463"/>
      <c r="D15" s="2477"/>
      <c r="E15" s="2477">
        <f>SUM(E12:E14)</f>
        <v>0</v>
      </c>
      <c r="F15" s="2478"/>
      <c r="G15" s="2475"/>
      <c r="H15" s="2482"/>
      <c r="I15" s="2483">
        <f>SUM(I12:I14)</f>
        <v>0</v>
      </c>
    </row>
    <row r="16" spans="1:9" ht="24">
      <c r="A16" s="3461" t="s">
        <v>2499</v>
      </c>
      <c r="B16" s="3462" t="s">
        <v>2500</v>
      </c>
      <c r="C16" s="3462"/>
      <c r="D16" s="2473" t="s">
        <v>2501</v>
      </c>
      <c r="E16" s="2484" t="s">
        <v>2502</v>
      </c>
      <c r="F16" s="2474" t="s">
        <v>2503</v>
      </c>
      <c r="G16" s="2475" t="s">
        <v>2493</v>
      </c>
      <c r="H16" s="2481" t="s">
        <v>2494</v>
      </c>
      <c r="I16" s="2472" t="s">
        <v>2495</v>
      </c>
    </row>
    <row r="17" spans="1:9" ht="15.6">
      <c r="A17" s="3461"/>
      <c r="B17" s="3462" t="s">
        <v>2504</v>
      </c>
      <c r="C17" s="3462"/>
      <c r="D17" s="2473"/>
      <c r="E17" s="2473"/>
      <c r="F17" s="2474"/>
      <c r="G17" s="2475"/>
      <c r="H17" s="2485"/>
      <c r="I17" s="2486">
        <f>ROUND(D17*E17*F17*G17/10000,0)</f>
        <v>0</v>
      </c>
    </row>
    <row r="18" spans="1:9" ht="15.6">
      <c r="A18" s="3461"/>
      <c r="B18" s="3462" t="s">
        <v>2505</v>
      </c>
      <c r="C18" s="3462"/>
      <c r="D18" s="2473"/>
      <c r="E18" s="2473"/>
      <c r="F18" s="2474"/>
      <c r="G18" s="2475"/>
      <c r="H18" s="2485"/>
      <c r="I18" s="2486">
        <f>ROUND(D18*E18*F18*G18/10000,0)</f>
        <v>0</v>
      </c>
    </row>
    <row r="19" spans="1:9" ht="15.6">
      <c r="A19" s="3461"/>
      <c r="B19" s="3462" t="s">
        <v>2506</v>
      </c>
      <c r="C19" s="3462"/>
      <c r="D19" s="2473"/>
      <c r="E19" s="2473"/>
      <c r="F19" s="2474"/>
      <c r="G19" s="2475"/>
      <c r="H19" s="2485"/>
      <c r="I19" s="2486">
        <f>ROUND(D19*E19*F19*G19/10000,0)</f>
        <v>0</v>
      </c>
    </row>
    <row r="20" spans="1:9">
      <c r="A20" s="3461"/>
      <c r="B20" s="3463" t="s">
        <v>2487</v>
      </c>
      <c r="C20" s="3463"/>
      <c r="D20" s="2477">
        <f>SUM(D17:D19)</f>
        <v>0</v>
      </c>
      <c r="E20" s="2477"/>
      <c r="F20" s="2478"/>
      <c r="G20" s="2475"/>
      <c r="H20" s="2482"/>
      <c r="I20" s="2483">
        <f>SUM(I17:I19)</f>
        <v>0</v>
      </c>
    </row>
    <row r="21" spans="1:9">
      <c r="A21" s="3461" t="s">
        <v>2507</v>
      </c>
      <c r="B21" s="3464"/>
      <c r="C21" s="3464"/>
      <c r="D21" s="3464"/>
      <c r="E21" s="3464"/>
      <c r="F21" s="3464"/>
      <c r="G21" s="3464"/>
      <c r="H21" s="2487">
        <v>0.1</v>
      </c>
      <c r="I21" s="2480">
        <f>ROUND(I10*H21,0)</f>
        <v>0</v>
      </c>
    </row>
    <row r="22" spans="1:9" ht="15.6">
      <c r="A22" s="3465" t="s">
        <v>2508</v>
      </c>
      <c r="B22" s="3466"/>
      <c r="C22" s="3467"/>
      <c r="D22" s="2488" t="s">
        <v>2509</v>
      </c>
      <c r="E22" s="2488" t="s">
        <v>2510</v>
      </c>
      <c r="F22" s="2489" t="s">
        <v>2511</v>
      </c>
      <c r="G22" s="2489" t="s">
        <v>2512</v>
      </c>
      <c r="H22" s="2481" t="s">
        <v>2513</v>
      </c>
      <c r="I22" s="2472" t="s">
        <v>2514</v>
      </c>
    </row>
    <row r="23" spans="1:9" ht="15" thickBot="1">
      <c r="A23" s="3468"/>
      <c r="B23" s="3469"/>
      <c r="C23" s="3470"/>
      <c r="D23" s="2490"/>
      <c r="E23" s="2490"/>
      <c r="F23" s="2490"/>
      <c r="G23" s="2491"/>
      <c r="H23" s="2492"/>
      <c r="I23" s="2493">
        <f>ROUND(E23*D23*F23*(1-G23)/10000,0)</f>
        <v>0</v>
      </c>
    </row>
    <row r="26" spans="1:9">
      <c r="A26" s="2494" t="s">
        <v>2515</v>
      </c>
      <c r="B26" s="2494"/>
      <c r="C26" s="2494"/>
      <c r="D26" s="2494"/>
      <c r="E26" s="3458">
        <f>C27-C30-C31-C32</f>
        <v>0</v>
      </c>
      <c r="F26" s="3458"/>
      <c r="G26" s="3458"/>
      <c r="H26" s="2995" t="s">
        <v>2843</v>
      </c>
    </row>
    <row r="27" spans="1:9">
      <c r="A27" s="2495">
        <v>1</v>
      </c>
      <c r="B27" s="2496" t="s">
        <v>2516</v>
      </c>
      <c r="C27" s="2496"/>
      <c r="D27" s="2496"/>
      <c r="E27" s="3459"/>
      <c r="F27" s="3459"/>
      <c r="G27" s="3459"/>
    </row>
    <row r="28" spans="1:9">
      <c r="A28" s="2497" t="s">
        <v>2517</v>
      </c>
      <c r="B28" s="2496" t="s">
        <v>2518</v>
      </c>
      <c r="C28" s="2496"/>
      <c r="D28" s="2496"/>
      <c r="E28" s="3459"/>
      <c r="F28" s="3459"/>
      <c r="G28" s="3459"/>
    </row>
    <row r="29" spans="1:9">
      <c r="A29" s="2497" t="s">
        <v>2519</v>
      </c>
      <c r="B29" s="2496" t="s">
        <v>2460</v>
      </c>
      <c r="C29" s="2496"/>
      <c r="D29" s="2496"/>
      <c r="E29" s="2496" t="s">
        <v>2520</v>
      </c>
      <c r="F29" s="2496"/>
      <c r="G29" s="2496"/>
    </row>
    <row r="30" spans="1:9">
      <c r="A30" s="2495">
        <v>2</v>
      </c>
      <c r="B30" s="2496" t="s">
        <v>2521</v>
      </c>
      <c r="C30" s="2496">
        <f>C27*D30</f>
        <v>0</v>
      </c>
      <c r="D30" s="2498">
        <v>0.2</v>
      </c>
      <c r="E30" s="2496" t="s">
        <v>2522</v>
      </c>
      <c r="F30" s="2496"/>
      <c r="G30" s="2496"/>
    </row>
    <row r="31" spans="1:9">
      <c r="A31" s="2495">
        <v>3</v>
      </c>
      <c r="B31" s="2496" t="s">
        <v>2523</v>
      </c>
      <c r="C31" s="2496">
        <f>C25*D31</f>
        <v>0</v>
      </c>
      <c r="D31" s="2498">
        <v>0.15</v>
      </c>
      <c r="E31" s="2496" t="s">
        <v>2524</v>
      </c>
      <c r="F31" s="2496"/>
      <c r="G31" s="2496"/>
    </row>
    <row r="32" spans="1:9">
      <c r="A32" s="2495">
        <v>4</v>
      </c>
      <c r="B32" s="2496" t="s">
        <v>2525</v>
      </c>
      <c r="C32" s="2496">
        <f>C27*D32</f>
        <v>0</v>
      </c>
      <c r="D32" s="2498">
        <v>0.05</v>
      </c>
      <c r="E32" s="3460"/>
      <c r="F32" s="3460"/>
      <c r="G32" s="3460"/>
    </row>
    <row r="33" spans="1:7" hidden="1">
      <c r="A33" s="3455" t="s">
        <v>2526</v>
      </c>
      <c r="B33" s="3456"/>
      <c r="C33" s="3456"/>
      <c r="D33" s="3457"/>
      <c r="E33" s="3458"/>
      <c r="F33" s="3458"/>
      <c r="G33" s="3458"/>
    </row>
    <row r="34" spans="1:7" hidden="1">
      <c r="A34" s="2499">
        <v>1</v>
      </c>
      <c r="B34" s="2496" t="s">
        <v>2527</v>
      </c>
      <c r="C34" s="2496"/>
      <c r="D34" s="2496"/>
      <c r="E34" s="3459"/>
      <c r="F34" s="3459"/>
      <c r="G34" s="3459"/>
    </row>
    <row r="35" spans="1:7" hidden="1">
      <c r="A35" s="2499">
        <v>2</v>
      </c>
      <c r="B35" s="2496" t="s">
        <v>2528</v>
      </c>
      <c r="C35" s="2496"/>
      <c r="D35" s="2496"/>
      <c r="E35" s="3459"/>
      <c r="F35" s="3459"/>
      <c r="G35" s="3459"/>
    </row>
    <row r="36" spans="1:7" hidden="1">
      <c r="A36" s="2499">
        <v>3</v>
      </c>
      <c r="B36" s="2496" t="s">
        <v>2529</v>
      </c>
      <c r="C36" s="2496"/>
      <c r="D36" s="2496"/>
      <c r="E36" s="3459"/>
      <c r="F36" s="3459"/>
      <c r="G36" s="3459"/>
    </row>
    <row r="37" spans="1:7" hidden="1">
      <c r="A37" s="2499">
        <v>4</v>
      </c>
      <c r="B37" s="2496" t="s">
        <v>2530</v>
      </c>
      <c r="C37" s="2496"/>
      <c r="D37" s="2496"/>
      <c r="E37" s="3459"/>
      <c r="F37" s="3459"/>
      <c r="G37" s="3459"/>
    </row>
    <row r="38" spans="1:7" hidden="1">
      <c r="A38" s="3455" t="s">
        <v>2531</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3">
        <v>1</v>
      </c>
      <c r="B7" s="748" t="s">
        <v>609</v>
      </c>
      <c r="C7" s="749">
        <f>C8+C9</f>
        <v>0</v>
      </c>
      <c r="D7" s="749"/>
      <c r="E7" s="750"/>
      <c r="F7" s="750"/>
      <c r="G7" s="2443"/>
    </row>
    <row r="8" spans="1:25" s="2169" customFormat="1" ht="13.5" customHeight="1">
      <c r="A8" s="2433" t="s">
        <v>2440</v>
      </c>
      <c r="B8" s="2436" t="s">
        <v>2442</v>
      </c>
      <c r="C8" s="2437"/>
      <c r="D8" s="749"/>
      <c r="E8" s="750"/>
      <c r="F8" s="750"/>
      <c r="G8" s="751"/>
    </row>
    <row r="9" spans="1:25" s="2169" customFormat="1" ht="13.5" customHeight="1">
      <c r="A9" s="2433" t="s">
        <v>2441</v>
      </c>
      <c r="B9" s="2436" t="s">
        <v>2443</v>
      </c>
      <c r="C9" s="2437"/>
      <c r="D9" s="749"/>
      <c r="E9" s="750"/>
      <c r="F9" s="750"/>
      <c r="G9" s="751"/>
    </row>
    <row r="10" spans="1:25" s="2169" customFormat="1" ht="36">
      <c r="A10" s="2433">
        <v>2</v>
      </c>
      <c r="B10" s="748" t="s">
        <v>613</v>
      </c>
      <c r="C10" s="749">
        <f>C11+C14+C15</f>
        <v>0</v>
      </c>
      <c r="D10" s="760">
        <f>'数据-汇总表'!E3</f>
        <v>191218.19999999998</v>
      </c>
      <c r="E10" s="749">
        <f>'数据-取费表'!B31</f>
        <v>20</v>
      </c>
      <c r="F10" s="761"/>
      <c r="G10" s="759" t="s">
        <v>614</v>
      </c>
    </row>
    <row r="11" spans="1:25" s="2169" customFormat="1" ht="13.5" customHeight="1">
      <c r="A11" s="2433" t="s">
        <v>2440</v>
      </c>
      <c r="B11" s="752" t="s">
        <v>610</v>
      </c>
      <c r="C11" s="753">
        <f>'数据-取费表'!B29</f>
        <v>0</v>
      </c>
      <c r="D11" s="754"/>
      <c r="E11" s="753"/>
      <c r="F11" s="755"/>
      <c r="G11" s="2442" t="s">
        <v>2451</v>
      </c>
    </row>
    <row r="12" spans="1:25" s="2169" customFormat="1" ht="13.5" customHeight="1">
      <c r="A12" s="2440" t="s">
        <v>2448</v>
      </c>
      <c r="B12" s="756" t="s">
        <v>611</v>
      </c>
      <c r="C12" s="757">
        <f>ROUND(D12*E12/10000,0)</f>
        <v>1306</v>
      </c>
      <c r="D12" s="758">
        <f>'数据-汇总表'!E5</f>
        <v>145145.79999999999</v>
      </c>
      <c r="E12" s="757">
        <f>'数据-取费表'!B27</f>
        <v>90</v>
      </c>
      <c r="F12" s="755"/>
      <c r="G12" s="759"/>
    </row>
    <row r="13" spans="1:25" s="2169" customFormat="1" ht="13.5" customHeight="1">
      <c r="A13" s="2440" t="s">
        <v>2447</v>
      </c>
      <c r="B13" s="756" t="s">
        <v>612</v>
      </c>
      <c r="C13" s="757">
        <f>ROUND(D13*E13/10000,0)</f>
        <v>645</v>
      </c>
      <c r="D13" s="758">
        <f>'数据-汇总表'!E6</f>
        <v>46072.399999999994</v>
      </c>
      <c r="E13" s="757">
        <f>'数据-取费表'!B28</f>
        <v>140</v>
      </c>
      <c r="F13" s="755"/>
      <c r="G13" s="759"/>
    </row>
    <row r="14" spans="1:25" s="2169" customFormat="1" ht="13.5" customHeight="1">
      <c r="A14" s="2433" t="s">
        <v>2441</v>
      </c>
      <c r="B14" s="2439" t="s">
        <v>2444</v>
      </c>
      <c r="C14" s="2437"/>
      <c r="D14" s="758"/>
      <c r="E14" s="757"/>
      <c r="F14" s="2438"/>
      <c r="G14" s="2441" t="s">
        <v>2449</v>
      </c>
    </row>
    <row r="15" spans="1:25" s="2169" customFormat="1" ht="13.5" customHeight="1">
      <c r="A15" s="2433" t="s">
        <v>2446</v>
      </c>
      <c r="B15" s="2439" t="s">
        <v>2445</v>
      </c>
      <c r="C15" s="2437"/>
      <c r="D15" s="758"/>
      <c r="E15" s="757"/>
      <c r="F15" s="2438"/>
      <c r="G15" s="2441" t="s">
        <v>2450</v>
      </c>
    </row>
    <row r="16" spans="1:25" s="2170" customFormat="1" ht="48">
      <c r="A16" s="2433">
        <v>3</v>
      </c>
      <c r="B16" s="748" t="s">
        <v>615</v>
      </c>
      <c r="C16" s="2437"/>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4">
        <v>5</v>
      </c>
      <c r="B18" s="748" t="s">
        <v>617</v>
      </c>
      <c r="C18" s="749">
        <f>ROUND((C7+C10+C16)*F18,0)</f>
        <v>0</v>
      </c>
      <c r="D18" s="762"/>
      <c r="E18" s="763"/>
      <c r="F18" s="761">
        <f>'数据-取费表'!Q16</f>
        <v>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3">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3">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3">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3">
        <v>9</v>
      </c>
      <c r="B22" s="748" t="s">
        <v>625</v>
      </c>
      <c r="C22" s="749">
        <f ca="1">ROUND(C21*F22,0)</f>
        <v>0</v>
      </c>
      <c r="D22" s="760"/>
      <c r="E22" s="749"/>
      <c r="F22" s="766">
        <f>'数据-取费表'!AP16</f>
        <v>0.88800000000000001</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5">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55" zoomScaleNormal="55" workbookViewId="0">
      <selection activeCell="M17" sqref="M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7" t="s">
        <v>719</v>
      </c>
      <c r="C1" s="2588" t="s">
        <v>720</v>
      </c>
      <c r="D1" s="2589" t="s">
        <v>923</v>
      </c>
      <c r="E1" s="2590"/>
      <c r="F1" s="2762" t="s">
        <v>3023</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209576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14439</v>
      </c>
      <c r="C3" s="852" t="s">
        <v>722</v>
      </c>
      <c r="D3" s="851">
        <f>SUMIF('数据-汇总表'!$C19:$C33,D1,'数据-汇总表'!$E19:$E33)</f>
        <v>145145.79999999999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79" t="s">
        <v>522</v>
      </c>
      <c r="D4" s="3380"/>
      <c r="E4" s="3403" t="s">
        <v>523</v>
      </c>
      <c r="F4" s="3404"/>
      <c r="G4" s="3379" t="s">
        <v>524</v>
      </c>
      <c r="H4" s="3380"/>
      <c r="I4" s="3379" t="s">
        <v>525</v>
      </c>
      <c r="J4" s="3380"/>
      <c r="K4" s="853"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62" t="s">
        <v>524</v>
      </c>
      <c r="AC4" s="3362" t="s">
        <v>525</v>
      </c>
    </row>
    <row r="5" spans="1:29">
      <c r="A5" s="515"/>
      <c r="B5" s="516"/>
      <c r="C5" s="3390" t="s">
        <v>2931</v>
      </c>
      <c r="D5" s="3391"/>
      <c r="E5" s="3476" t="s">
        <v>3024</v>
      </c>
      <c r="F5" s="3406"/>
      <c r="G5" s="3477" t="s">
        <v>3025</v>
      </c>
      <c r="H5" s="3391"/>
      <c r="I5" s="3477" t="s">
        <v>3026</v>
      </c>
      <c r="J5" s="3391"/>
      <c r="K5" s="854"/>
      <c r="L5" s="2119"/>
      <c r="M5" s="2120"/>
      <c r="N5" s="2120"/>
      <c r="O5" s="2120"/>
      <c r="P5" s="3383"/>
      <c r="Q5" s="3384"/>
      <c r="R5" s="3369"/>
      <c r="S5" s="3370"/>
      <c r="T5" s="3369"/>
      <c r="U5" s="3370"/>
      <c r="V5" s="3387"/>
      <c r="W5" s="3387"/>
      <c r="X5" s="1554"/>
      <c r="Y5" s="3369"/>
      <c r="Z5" s="3370"/>
      <c r="AA5" s="3363"/>
      <c r="AB5" s="3363"/>
      <c r="AC5" s="3363"/>
    </row>
    <row r="6" spans="1:29" ht="15" thickBot="1">
      <c r="A6" s="517"/>
      <c r="B6" s="518"/>
      <c r="C6" s="3388" t="s">
        <v>2935</v>
      </c>
      <c r="D6" s="3389"/>
      <c r="E6" s="3407" t="s">
        <v>2935</v>
      </c>
      <c r="F6" s="3408"/>
      <c r="G6" s="3388" t="s">
        <v>2935</v>
      </c>
      <c r="H6" s="3389"/>
      <c r="I6" s="3388" t="s">
        <v>2935</v>
      </c>
      <c r="J6" s="3389"/>
      <c r="K6" s="854" t="s">
        <v>528</v>
      </c>
      <c r="L6" s="2119"/>
      <c r="M6" s="2120"/>
      <c r="N6" s="2120"/>
      <c r="O6" s="2120"/>
      <c r="P6" s="3385"/>
      <c r="Q6" s="3386"/>
      <c r="R6" s="3369"/>
      <c r="S6" s="3370"/>
      <c r="T6" s="3371"/>
      <c r="U6" s="3372"/>
      <c r="V6" s="3387"/>
      <c r="W6" s="3387"/>
      <c r="X6" s="1554"/>
      <c r="Y6" s="3371"/>
      <c r="Z6" s="3372"/>
      <c r="AA6" s="3364"/>
      <c r="AB6" s="3364"/>
      <c r="AC6" s="3364"/>
    </row>
    <row r="7" spans="1:29" s="1216" customFormat="1" ht="15" thickBot="1">
      <c r="A7" s="2867"/>
      <c r="B7" s="2874" t="s">
        <v>529</v>
      </c>
      <c r="C7" s="519">
        <f>'数据-取费表'!B2</f>
        <v>43676</v>
      </c>
      <c r="D7" s="520">
        <v>100</v>
      </c>
      <c r="E7" s="521">
        <v>43647</v>
      </c>
      <c r="F7" s="522">
        <f>SUMIF(58:58,YEAR(E7)&amp;"-"&amp;MONTH(E7),59:59)</f>
        <v>100</v>
      </c>
      <c r="G7" s="523">
        <v>43647</v>
      </c>
      <c r="H7" s="520">
        <f>SUMIF(58:58,YEAR(G7)&amp;"-"&amp;MONTH(G7),59:59)</f>
        <v>100</v>
      </c>
      <c r="I7" s="523">
        <v>43647</v>
      </c>
      <c r="J7" s="520">
        <f>SUMIF(58:58,YEAR(I7)&amp;"-"&amp;MONTH(I7),59:59)</f>
        <v>100</v>
      </c>
      <c r="K7" s="855"/>
      <c r="L7" s="2121"/>
      <c r="M7" s="2122"/>
      <c r="N7" s="2122"/>
      <c r="O7" s="2122"/>
      <c r="P7" s="3365" t="s">
        <v>530</v>
      </c>
      <c r="Q7" s="3374"/>
      <c r="R7" s="1555" t="s">
        <v>13</v>
      </c>
      <c r="S7" s="1556">
        <f t="shared" ref="S7:S15" si="0">F7</f>
        <v>100</v>
      </c>
      <c r="T7" s="1555" t="s">
        <v>13</v>
      </c>
      <c r="U7" s="1556">
        <f t="shared" ref="U7:U15" si="1">H7</f>
        <v>100</v>
      </c>
      <c r="V7" s="1555" t="s">
        <v>13</v>
      </c>
      <c r="W7" s="1556">
        <f t="shared" ref="W7:W15" si="2">J7</f>
        <v>100</v>
      </c>
      <c r="X7" s="1557"/>
      <c r="Y7" s="3365" t="s">
        <v>530</v>
      </c>
      <c r="Z7" s="3366"/>
      <c r="AA7" s="1558">
        <f>D7/F7</f>
        <v>1</v>
      </c>
      <c r="AB7" s="1558">
        <f>D7/H7</f>
        <v>1</v>
      </c>
      <c r="AC7" s="1558">
        <f>D7/J7</f>
        <v>1</v>
      </c>
    </row>
    <row r="8" spans="1:29" s="1216" customFormat="1" ht="15" thickBot="1">
      <c r="A8" s="2868"/>
      <c r="B8" s="2875" t="s">
        <v>531</v>
      </c>
      <c r="C8" s="525" t="s">
        <v>576</v>
      </c>
      <c r="D8" s="520">
        <v>100</v>
      </c>
      <c r="E8" s="856" t="s">
        <v>3040</v>
      </c>
      <c r="F8" s="522">
        <f>SUMIF(61:61,E8,62:62)-SUMIF(61:61,C8,62:62)+100</f>
        <v>100</v>
      </c>
      <c r="G8" s="856" t="s">
        <v>3040</v>
      </c>
      <c r="H8" s="520">
        <f>SUMIF(61:61,G8,62:62)-SUMIF(61:61,C8,62:62)+100</f>
        <v>100</v>
      </c>
      <c r="I8" s="856" t="s">
        <v>3040</v>
      </c>
      <c r="J8" s="520">
        <f>SUMIF(61:61,I8,62:62)-SUMIF(61:61,C8,62:62)+100</f>
        <v>100</v>
      </c>
      <c r="K8" s="855"/>
      <c r="L8" s="2121"/>
      <c r="M8" s="2122"/>
      <c r="N8" s="2122"/>
      <c r="O8" s="2122"/>
      <c r="P8" s="3365" t="s">
        <v>533</v>
      </c>
      <c r="Q8" s="3366"/>
      <c r="R8" s="1555" t="s">
        <v>13</v>
      </c>
      <c r="S8" s="1556">
        <f t="shared" si="0"/>
        <v>100</v>
      </c>
      <c r="T8" s="1555" t="s">
        <v>13</v>
      </c>
      <c r="U8" s="1556">
        <f t="shared" si="1"/>
        <v>100</v>
      </c>
      <c r="V8" s="1555" t="s">
        <v>13</v>
      </c>
      <c r="W8" s="1556">
        <f t="shared" si="2"/>
        <v>100</v>
      </c>
      <c r="X8" s="1557"/>
      <c r="Y8" s="3365" t="s">
        <v>533</v>
      </c>
      <c r="Z8" s="3366"/>
      <c r="AA8" s="1558">
        <f t="shared" ref="AA8:AA46" si="3">D8/F8</f>
        <v>1</v>
      </c>
      <c r="AB8" s="1558">
        <f t="shared" ref="AB8:AB46" si="4">D8/H8</f>
        <v>1</v>
      </c>
      <c r="AC8" s="1558">
        <f t="shared" ref="AC8:AC46" si="5">D8/J8</f>
        <v>1</v>
      </c>
    </row>
    <row r="9" spans="1:29" s="1216" customFormat="1" ht="14.4">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8.8">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1"/>
      <c r="B11" s="2875" t="s">
        <v>2758</v>
      </c>
      <c r="C11" s="533">
        <f>'数据-汇总表'!I6</f>
        <v>1.25</v>
      </c>
      <c r="D11" s="255">
        <v>100</v>
      </c>
      <c r="E11" s="534">
        <v>2.5</v>
      </c>
      <c r="F11" s="863">
        <f>LOOKUP(E11,68:68,69:69)-LOOKUP(C11,68:68,69:69)+100</f>
        <v>99</v>
      </c>
      <c r="G11" s="533">
        <v>3</v>
      </c>
      <c r="H11" s="255">
        <f>LOOKUP(G11,68:68,69:69)-LOOKUP(C11,68:68,69:69)+100</f>
        <v>98</v>
      </c>
      <c r="I11" s="533">
        <v>1.6</v>
      </c>
      <c r="J11" s="255">
        <f>LOOKUP(I11,68:68,69:69)-LOOKUP(C11,68:68,69:69)+100</f>
        <v>100</v>
      </c>
      <c r="K11" s="864">
        <v>1</v>
      </c>
      <c r="L11" s="2126"/>
      <c r="M11" s="2120"/>
      <c r="N11" s="2120"/>
      <c r="O11" s="2127"/>
      <c r="P11" s="3373"/>
      <c r="Q11" s="1147" t="str">
        <f t="shared" si="6"/>
        <v>容积率</v>
      </c>
      <c r="R11" s="1555" t="s">
        <v>11</v>
      </c>
      <c r="S11" s="1556">
        <f t="shared" si="0"/>
        <v>99</v>
      </c>
      <c r="T11" s="1555" t="s">
        <v>11</v>
      </c>
      <c r="U11" s="1556">
        <f t="shared" si="1"/>
        <v>98</v>
      </c>
      <c r="V11" s="1555" t="s">
        <v>11</v>
      </c>
      <c r="W11" s="1556">
        <f t="shared" si="2"/>
        <v>100</v>
      </c>
      <c r="X11" s="1557"/>
      <c r="Y11" s="3330"/>
      <c r="Z11" s="1146" t="str">
        <f t="shared" si="7"/>
        <v>容积率</v>
      </c>
      <c r="AA11" s="1558">
        <f t="shared" si="3"/>
        <v>1.0101010101010102</v>
      </c>
      <c r="AB11" s="1558">
        <f t="shared" si="4"/>
        <v>1.0204081632653061</v>
      </c>
      <c r="AC11" s="1558">
        <f t="shared" si="5"/>
        <v>1</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3"/>
      <c r="Q12" s="1147">
        <f t="shared" si="6"/>
        <v>111</v>
      </c>
      <c r="R12" s="1555" t="s">
        <v>11</v>
      </c>
      <c r="S12" s="1556">
        <f t="shared" si="0"/>
        <v>100</v>
      </c>
      <c r="T12" s="1555" t="s">
        <v>11</v>
      </c>
      <c r="U12" s="1556">
        <f t="shared" si="1"/>
        <v>100</v>
      </c>
      <c r="V12" s="1555" t="s">
        <v>11</v>
      </c>
      <c r="W12" s="1556">
        <f t="shared" si="2"/>
        <v>100</v>
      </c>
      <c r="X12" s="1557"/>
      <c r="Y12" s="3330"/>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3"/>
      <c r="Q13" s="1147">
        <f t="shared" si="6"/>
        <v>111</v>
      </c>
      <c r="R13" s="1555" t="s">
        <v>11</v>
      </c>
      <c r="S13" s="1556">
        <f t="shared" si="0"/>
        <v>100</v>
      </c>
      <c r="T13" s="1555" t="s">
        <v>11</v>
      </c>
      <c r="U13" s="1556">
        <f t="shared" si="1"/>
        <v>100</v>
      </c>
      <c r="V13" s="1555" t="s">
        <v>11</v>
      </c>
      <c r="W13" s="1556">
        <f t="shared" si="2"/>
        <v>100</v>
      </c>
      <c r="X13" s="1557"/>
      <c r="Y13" s="3330"/>
      <c r="Z13" s="1146">
        <f t="shared" si="7"/>
        <v>111</v>
      </c>
      <c r="AA13" s="1558">
        <f t="shared" si="3"/>
        <v>1</v>
      </c>
      <c r="AB13" s="1558">
        <f t="shared" si="4"/>
        <v>1</v>
      </c>
      <c r="AC13" s="1558">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3"/>
      <c r="Q14" s="1147">
        <f t="shared" si="6"/>
        <v>111</v>
      </c>
      <c r="R14" s="1555" t="s">
        <v>11</v>
      </c>
      <c r="S14" s="1556">
        <f t="shared" si="0"/>
        <v>100</v>
      </c>
      <c r="T14" s="1555" t="s">
        <v>11</v>
      </c>
      <c r="U14" s="1556">
        <f t="shared" si="1"/>
        <v>100</v>
      </c>
      <c r="V14" s="1555" t="s">
        <v>11</v>
      </c>
      <c r="W14" s="1556">
        <f t="shared" si="2"/>
        <v>100</v>
      </c>
      <c r="X14" s="1557"/>
      <c r="Y14" s="3330"/>
      <c r="Z14" s="1146">
        <f t="shared" si="7"/>
        <v>111</v>
      </c>
      <c r="AA14" s="1558">
        <f t="shared" si="3"/>
        <v>1</v>
      </c>
      <c r="AB14" s="1558">
        <f t="shared" si="4"/>
        <v>1</v>
      </c>
      <c r="AC14" s="1558">
        <f t="shared" si="5"/>
        <v>1</v>
      </c>
    </row>
    <row r="15" spans="1:29" ht="96.6">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104</v>
      </c>
      <c r="G15" s="552"/>
      <c r="H15" s="549">
        <f>SUMIF(76:76,G16,77:77)-SUMIF(76:76,C16,77:77)+100</f>
        <v>102</v>
      </c>
      <c r="I15" s="550"/>
      <c r="J15" s="549">
        <f>SUMIF(76:76,I16,77:77)-SUMIF(76:76,C16,77:77)+100</f>
        <v>102</v>
      </c>
      <c r="K15" s="868">
        <v>2</v>
      </c>
      <c r="L15" s="2128"/>
      <c r="M15" s="2120"/>
      <c r="N15" s="2120"/>
      <c r="O15" s="2127"/>
      <c r="P15" s="3375" t="s">
        <v>540</v>
      </c>
      <c r="Q15" s="1559" t="str">
        <f t="shared" si="6"/>
        <v>居住社区成熟度</v>
      </c>
      <c r="R15" s="1560" t="s">
        <v>11</v>
      </c>
      <c r="S15" s="1561">
        <f t="shared" si="0"/>
        <v>104</v>
      </c>
      <c r="T15" s="1560" t="s">
        <v>11</v>
      </c>
      <c r="U15" s="1561">
        <f t="shared" si="1"/>
        <v>102</v>
      </c>
      <c r="V15" s="1560" t="s">
        <v>11</v>
      </c>
      <c r="W15" s="1561">
        <f t="shared" si="2"/>
        <v>102</v>
      </c>
      <c r="X15" s="1554"/>
      <c r="Y15" s="3375" t="s">
        <v>540</v>
      </c>
      <c r="Z15" s="1562" t="str">
        <f t="shared" si="7"/>
        <v>居住社区成熟度</v>
      </c>
      <c r="AA15" s="1563">
        <f t="shared" si="3"/>
        <v>0.96153846153846156</v>
      </c>
      <c r="AB15" s="1563">
        <f t="shared" si="4"/>
        <v>0.98039215686274506</v>
      </c>
      <c r="AC15" s="1563">
        <f t="shared" si="5"/>
        <v>0.98039215686274506</v>
      </c>
    </row>
    <row r="16" spans="1:29" ht="15">
      <c r="A16" s="532"/>
      <c r="B16" s="869"/>
      <c r="C16" s="576" t="s">
        <v>3043</v>
      </c>
      <c r="D16" s="555"/>
      <c r="E16" s="556" t="s">
        <v>3044</v>
      </c>
      <c r="F16" s="557"/>
      <c r="G16" s="556" t="s">
        <v>3042</v>
      </c>
      <c r="H16" s="559"/>
      <c r="I16" s="556" t="s">
        <v>3042</v>
      </c>
      <c r="J16" s="555"/>
      <c r="K16" s="870"/>
      <c r="L16" s="2128"/>
      <c r="M16" s="2120"/>
      <c r="N16" s="2120"/>
      <c r="O16" s="2127"/>
      <c r="P16" s="3376"/>
      <c r="Q16" s="1559"/>
      <c r="R16" s="1560"/>
      <c r="S16" s="1561"/>
      <c r="T16" s="1560"/>
      <c r="U16" s="1561"/>
      <c r="V16" s="1560"/>
      <c r="W16" s="1561"/>
      <c r="X16" s="1554"/>
      <c r="Y16" s="3376"/>
      <c r="Z16" s="1562"/>
      <c r="AA16" s="1563">
        <v>1</v>
      </c>
      <c r="AB16" s="1563">
        <v>1</v>
      </c>
      <c r="AC16" s="1563">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104</v>
      </c>
      <c r="G17" s="564"/>
      <c r="H17" s="565">
        <f>SUMIF(78:78,G18,79:79)-SUMIF(78:78,C18,79:79)+100</f>
        <v>102</v>
      </c>
      <c r="I17" s="562"/>
      <c r="J17" s="565">
        <f>SUMIF(78:78,I18,79:79)-SUMIF(78:78,C18,79:79)+100</f>
        <v>102</v>
      </c>
      <c r="K17" s="868">
        <v>2</v>
      </c>
      <c r="L17" s="2128"/>
      <c r="M17" s="2120"/>
      <c r="N17" s="2120"/>
      <c r="O17" s="2127"/>
      <c r="P17" s="3376"/>
      <c r="Q17" s="1559" t="str">
        <f>B17</f>
        <v>交通便捷度</v>
      </c>
      <c r="R17" s="1560" t="s">
        <v>11</v>
      </c>
      <c r="S17" s="1561">
        <f>F17</f>
        <v>104</v>
      </c>
      <c r="T17" s="1560" t="s">
        <v>11</v>
      </c>
      <c r="U17" s="1561">
        <f>H17</f>
        <v>102</v>
      </c>
      <c r="V17" s="1560" t="s">
        <v>11</v>
      </c>
      <c r="W17" s="1561">
        <f>J17</f>
        <v>102</v>
      </c>
      <c r="X17" s="1554"/>
      <c r="Y17" s="3376"/>
      <c r="Z17" s="1562" t="str">
        <f>Q17</f>
        <v>交通便捷度</v>
      </c>
      <c r="AA17" s="1563">
        <f t="shared" si="3"/>
        <v>0.96153846153846156</v>
      </c>
      <c r="AB17" s="1563">
        <f t="shared" si="4"/>
        <v>0.98039215686274506</v>
      </c>
      <c r="AC17" s="1563">
        <f t="shared" si="5"/>
        <v>0.98039215686274506</v>
      </c>
    </row>
    <row r="18" spans="1:29" ht="15">
      <c r="A18" s="532"/>
      <c r="B18" s="595"/>
      <c r="C18" s="873" t="s">
        <v>3043</v>
      </c>
      <c r="D18" s="559"/>
      <c r="E18" s="556" t="s">
        <v>3044</v>
      </c>
      <c r="F18" s="563"/>
      <c r="G18" s="556" t="s">
        <v>3042</v>
      </c>
      <c r="H18" s="555"/>
      <c r="I18" s="556" t="s">
        <v>3042</v>
      </c>
      <c r="J18" s="555"/>
      <c r="K18" s="870"/>
      <c r="L18" s="2128"/>
      <c r="M18" s="2120"/>
      <c r="N18" s="2120"/>
      <c r="O18" s="2127"/>
      <c r="P18" s="3376"/>
      <c r="Q18" s="1559"/>
      <c r="R18" s="1560"/>
      <c r="S18" s="1561"/>
      <c r="T18" s="1560"/>
      <c r="U18" s="1561"/>
      <c r="V18" s="1560"/>
      <c r="W18" s="1561"/>
      <c r="X18" s="1554"/>
      <c r="Y18" s="3376"/>
      <c r="Z18" s="1562"/>
      <c r="AA18" s="1563">
        <v>1</v>
      </c>
      <c r="AB18" s="1563">
        <v>1</v>
      </c>
      <c r="AC18" s="1563">
        <v>1</v>
      </c>
    </row>
    <row r="19" spans="1:29" ht="41.4">
      <c r="A19" s="532"/>
      <c r="B19" s="2564" t="s">
        <v>2546</v>
      </c>
      <c r="C19" s="872" t="str">
        <f>估价对象房地状况!C7</f>
        <v>估价对象所在区域公共配套设施齐备情况</v>
      </c>
      <c r="D19" s="565">
        <v>100</v>
      </c>
      <c r="E19" s="570"/>
      <c r="F19" s="571">
        <f>SUMIF(80:80,E20,81:81)-SUMIF(80:80,C20,81:81)+100</f>
        <v>104</v>
      </c>
      <c r="G19" s="572"/>
      <c r="H19" s="559">
        <f>SUMIF(80:80,G20,81:81)-SUMIF(80:80,C20,81:81)+100</f>
        <v>102</v>
      </c>
      <c r="I19" s="570"/>
      <c r="J19" s="559">
        <f>SUMIF(80:80,I20,81:81)-SUMIF(80:80,C20,81:81)+100</f>
        <v>102</v>
      </c>
      <c r="K19" s="868">
        <v>2</v>
      </c>
      <c r="L19" s="2128"/>
      <c r="M19" s="2120"/>
      <c r="N19" s="2120"/>
      <c r="O19" s="2127"/>
      <c r="P19" s="3376"/>
      <c r="Q19" s="1559" t="str">
        <f>B19</f>
        <v>公共配套设施</v>
      </c>
      <c r="R19" s="1560" t="s">
        <v>11</v>
      </c>
      <c r="S19" s="1561">
        <f>F19</f>
        <v>104</v>
      </c>
      <c r="T19" s="1560" t="s">
        <v>11</v>
      </c>
      <c r="U19" s="1561">
        <f>H19</f>
        <v>102</v>
      </c>
      <c r="V19" s="1560" t="s">
        <v>11</v>
      </c>
      <c r="W19" s="1561">
        <f>J19</f>
        <v>102</v>
      </c>
      <c r="X19" s="1554"/>
      <c r="Y19" s="3376"/>
      <c r="Z19" s="1562" t="str">
        <f>Q19</f>
        <v>公共配套设施</v>
      </c>
      <c r="AA19" s="1563">
        <f t="shared" si="3"/>
        <v>0.96153846153846156</v>
      </c>
      <c r="AB19" s="1563">
        <f t="shared" si="4"/>
        <v>0.98039215686274506</v>
      </c>
      <c r="AC19" s="1563">
        <f t="shared" si="5"/>
        <v>0.98039215686274506</v>
      </c>
    </row>
    <row r="20" spans="1:29" ht="15">
      <c r="A20" s="532"/>
      <c r="B20" s="595"/>
      <c r="C20" s="576" t="s">
        <v>3043</v>
      </c>
      <c r="D20" s="555"/>
      <c r="E20" s="556" t="s">
        <v>3044</v>
      </c>
      <c r="F20" s="557"/>
      <c r="G20" s="556" t="s">
        <v>3042</v>
      </c>
      <c r="H20" s="555"/>
      <c r="I20" s="556" t="s">
        <v>3042</v>
      </c>
      <c r="J20" s="555"/>
      <c r="K20" s="870"/>
      <c r="L20" s="2128"/>
      <c r="M20" s="2120"/>
      <c r="N20" s="2120"/>
      <c r="O20" s="2127"/>
      <c r="P20" s="3376"/>
      <c r="Q20" s="1559"/>
      <c r="R20" s="1560"/>
      <c r="S20" s="1561"/>
      <c r="T20" s="1560"/>
      <c r="U20" s="1561"/>
      <c r="V20" s="1560"/>
      <c r="W20" s="1561"/>
      <c r="X20" s="1554"/>
      <c r="Y20" s="3376"/>
      <c r="Z20" s="1562"/>
      <c r="AA20" s="1563">
        <v>1</v>
      </c>
      <c r="AB20" s="1563">
        <v>1</v>
      </c>
      <c r="AC20" s="1563">
        <v>1</v>
      </c>
    </row>
    <row r="21" spans="1:29" ht="27.6">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76"/>
      <c r="Q21" s="2543" t="str">
        <f>B21</f>
        <v>基础设施水平</v>
      </c>
      <c r="R21" s="1560" t="s">
        <v>11</v>
      </c>
      <c r="S21" s="1561">
        <f>F21</f>
        <v>100</v>
      </c>
      <c r="T21" s="1560" t="s">
        <v>11</v>
      </c>
      <c r="U21" s="1561">
        <f>H21</f>
        <v>100</v>
      </c>
      <c r="V21" s="1560" t="s">
        <v>11</v>
      </c>
      <c r="W21" s="1561">
        <f>J21</f>
        <v>100</v>
      </c>
      <c r="X21" s="2545"/>
      <c r="Y21" s="3376"/>
      <c r="Z21" s="2544" t="str">
        <f>Q21</f>
        <v>基础设施水平</v>
      </c>
      <c r="AA21" s="1563">
        <f t="shared" ref="AA21" si="8">D21/F21</f>
        <v>1</v>
      </c>
      <c r="AB21" s="1563">
        <f t="shared" ref="AB21" si="9">D21/H21</f>
        <v>1</v>
      </c>
      <c r="AC21" s="1563">
        <f t="shared" ref="AC21" si="10">D21/J21</f>
        <v>1</v>
      </c>
    </row>
    <row r="22" spans="1:29" ht="15">
      <c r="A22" s="532"/>
      <c r="B22" s="922"/>
      <c r="C22" s="873" t="s">
        <v>3033</v>
      </c>
      <c r="D22" s="555"/>
      <c r="E22" s="873" t="s">
        <v>3033</v>
      </c>
      <c r="F22" s="557"/>
      <c r="G22" s="873" t="s">
        <v>3033</v>
      </c>
      <c r="H22" s="555"/>
      <c r="I22" s="873" t="s">
        <v>3033</v>
      </c>
      <c r="J22" s="555"/>
      <c r="K22" s="2563"/>
      <c r="L22" s="2128"/>
      <c r="M22" s="2120"/>
      <c r="N22" s="2120"/>
      <c r="O22" s="2127"/>
      <c r="P22" s="3376"/>
      <c r="Q22" s="2543"/>
      <c r="R22" s="1560"/>
      <c r="S22" s="1561"/>
      <c r="T22" s="1560"/>
      <c r="U22" s="1561"/>
      <c r="V22" s="1560"/>
      <c r="W22" s="1561"/>
      <c r="X22" s="2545"/>
      <c r="Y22" s="3376"/>
      <c r="Z22" s="2544"/>
      <c r="AA22" s="1563">
        <v>1</v>
      </c>
      <c r="AB22" s="1563">
        <v>1</v>
      </c>
      <c r="AC22" s="1563">
        <v>1</v>
      </c>
    </row>
    <row r="23" spans="1:29" ht="55.2">
      <c r="A23" s="532"/>
      <c r="B23" s="871" t="s">
        <v>297</v>
      </c>
      <c r="C23" s="872" t="str">
        <f>估价对象房地状况!C9</f>
        <v>区域自然环境：；人文环境；综合评价环境状况一般</v>
      </c>
      <c r="D23" s="559">
        <v>100</v>
      </c>
      <c r="E23" s="562"/>
      <c r="F23" s="563">
        <f>SUMIF(84:84,E24,85:85)-SUMIF(84:84,C24,85:85)+100</f>
        <v>102</v>
      </c>
      <c r="G23" s="564"/>
      <c r="H23" s="559">
        <f>SUMIF(84:84,G24,85:85)-SUMIF(84:84,C24,85:85)+100</f>
        <v>100</v>
      </c>
      <c r="I23" s="562"/>
      <c r="J23" s="559">
        <f>SUMIF(84:84,I24,85:85)-SUMIF(84:84,C24,85:85)+100</f>
        <v>100</v>
      </c>
      <c r="K23" s="868">
        <v>2</v>
      </c>
      <c r="L23" s="2128"/>
      <c r="M23" s="2120"/>
      <c r="N23" s="2120"/>
      <c r="O23" s="2127"/>
      <c r="P23" s="3376"/>
      <c r="Q23" s="1559" t="str">
        <f>B23</f>
        <v>自然及人文环境</v>
      </c>
      <c r="R23" s="1560" t="s">
        <v>11</v>
      </c>
      <c r="S23" s="1561">
        <f>F23</f>
        <v>102</v>
      </c>
      <c r="T23" s="1560" t="s">
        <v>11</v>
      </c>
      <c r="U23" s="1561">
        <f>H23</f>
        <v>100</v>
      </c>
      <c r="V23" s="1560" t="s">
        <v>11</v>
      </c>
      <c r="W23" s="1561">
        <f>J23</f>
        <v>100</v>
      </c>
      <c r="X23" s="1554"/>
      <c r="Y23" s="3376"/>
      <c r="Z23" s="1562" t="str">
        <f>Q23</f>
        <v>自然及人文环境</v>
      </c>
      <c r="AA23" s="1563">
        <f t="shared" si="3"/>
        <v>0.98039215686274506</v>
      </c>
      <c r="AB23" s="1563">
        <f t="shared" si="4"/>
        <v>1</v>
      </c>
      <c r="AC23" s="1563">
        <f t="shared" si="5"/>
        <v>1</v>
      </c>
    </row>
    <row r="24" spans="1:29" ht="15">
      <c r="A24" s="532"/>
      <c r="B24" s="595"/>
      <c r="C24" s="576" t="s">
        <v>3042</v>
      </c>
      <c r="D24" s="555"/>
      <c r="E24" s="556" t="s">
        <v>3044</v>
      </c>
      <c r="F24" s="557"/>
      <c r="G24" s="556" t="s">
        <v>3042</v>
      </c>
      <c r="H24" s="555"/>
      <c r="I24" s="556" t="s">
        <v>3042</v>
      </c>
      <c r="J24" s="555"/>
      <c r="K24" s="870"/>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6"/>
      <c r="Q25" s="1559" t="str">
        <f t="shared" ref="Q25:Q46" si="11">B25</f>
        <v>楼层-1</v>
      </c>
      <c r="R25" s="1560" t="s">
        <v>11</v>
      </c>
      <c r="S25" s="1561">
        <f>F25</f>
        <v>100</v>
      </c>
      <c r="T25" s="1560" t="s">
        <v>11</v>
      </c>
      <c r="U25" s="1561">
        <f>H25</f>
        <v>100</v>
      </c>
      <c r="V25" s="1560" t="s">
        <v>11</v>
      </c>
      <c r="W25" s="1561">
        <f>J25</f>
        <v>100</v>
      </c>
      <c r="X25" s="1554"/>
      <c r="Y25" s="337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6"/>
      <c r="Q26" s="1559" t="str">
        <f t="shared" si="11"/>
        <v>朝向</v>
      </c>
      <c r="R26" s="1560" t="s">
        <v>11</v>
      </c>
      <c r="S26" s="1561">
        <f>F26</f>
        <v>100</v>
      </c>
      <c r="T26" s="1560" t="s">
        <v>11</v>
      </c>
      <c r="U26" s="1561">
        <f>H26</f>
        <v>100</v>
      </c>
      <c r="V26" s="1560" t="s">
        <v>11</v>
      </c>
      <c r="W26" s="1561">
        <f>J26</f>
        <v>100</v>
      </c>
      <c r="X26" s="1554"/>
      <c r="Y26" s="337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6"/>
      <c r="Q27" s="1147" t="str">
        <f t="shared" si="11"/>
        <v>道路级别</v>
      </c>
      <c r="R27" s="1555" t="s">
        <v>11</v>
      </c>
      <c r="S27" s="1556">
        <f>F27</f>
        <v>100</v>
      </c>
      <c r="T27" s="1555" t="s">
        <v>11</v>
      </c>
      <c r="U27" s="1556">
        <f>H27</f>
        <v>100</v>
      </c>
      <c r="V27" s="1555" t="s">
        <v>11</v>
      </c>
      <c r="W27" s="1556">
        <f>J27</f>
        <v>100</v>
      </c>
      <c r="X27" s="1557"/>
      <c r="Y27" s="337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6"/>
      <c r="Q29" s="1559">
        <f t="shared" si="11"/>
        <v>111</v>
      </c>
      <c r="R29" s="1560" t="s">
        <v>11</v>
      </c>
      <c r="S29" s="1561">
        <f t="shared" si="12"/>
        <v>100</v>
      </c>
      <c r="T29" s="1560" t="s">
        <v>11</v>
      </c>
      <c r="U29" s="1561">
        <f t="shared" si="13"/>
        <v>100</v>
      </c>
      <c r="V29" s="1560" t="s">
        <v>11</v>
      </c>
      <c r="W29" s="1561">
        <f t="shared" si="14"/>
        <v>100</v>
      </c>
      <c r="X29" s="1554"/>
      <c r="Y29" s="337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6"/>
      <c r="Q30" s="1559">
        <f t="shared" si="11"/>
        <v>111</v>
      </c>
      <c r="R30" s="1560" t="s">
        <v>11</v>
      </c>
      <c r="S30" s="1561">
        <f t="shared" si="12"/>
        <v>100</v>
      </c>
      <c r="T30" s="1560" t="s">
        <v>11</v>
      </c>
      <c r="U30" s="1561">
        <f t="shared" si="13"/>
        <v>100</v>
      </c>
      <c r="V30" s="1560" t="s">
        <v>11</v>
      </c>
      <c r="W30" s="1561">
        <f t="shared" si="14"/>
        <v>100</v>
      </c>
      <c r="X30" s="1554"/>
      <c r="Y30" s="3376"/>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6"/>
      <c r="Q31" s="1559">
        <f t="shared" si="11"/>
        <v>111</v>
      </c>
      <c r="R31" s="1560" t="s">
        <v>11</v>
      </c>
      <c r="S31" s="1561">
        <f t="shared" si="12"/>
        <v>100</v>
      </c>
      <c r="T31" s="1560" t="s">
        <v>11</v>
      </c>
      <c r="U31" s="1561">
        <f t="shared" si="13"/>
        <v>100</v>
      </c>
      <c r="V31" s="1560" t="s">
        <v>11</v>
      </c>
      <c r="W31" s="1561">
        <f t="shared" si="14"/>
        <v>100</v>
      </c>
      <c r="X31" s="1554"/>
      <c r="Y31" s="3376"/>
      <c r="Z31" s="1562">
        <f t="shared" si="15"/>
        <v>111</v>
      </c>
      <c r="AA31" s="1563">
        <f t="shared" si="3"/>
        <v>1</v>
      </c>
      <c r="AB31" s="1563">
        <f t="shared" si="4"/>
        <v>1</v>
      </c>
      <c r="AC31" s="1563">
        <f t="shared" si="5"/>
        <v>1</v>
      </c>
    </row>
    <row r="32" spans="1:29" ht="15">
      <c r="A32" s="2862"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7" t="s">
        <v>550</v>
      </c>
      <c r="Q32" s="1559" t="str">
        <f t="shared" si="11"/>
        <v>建筑类型</v>
      </c>
      <c r="R32" s="1560" t="s">
        <v>11</v>
      </c>
      <c r="S32" s="1561">
        <f t="shared" si="12"/>
        <v>100</v>
      </c>
      <c r="T32" s="1560" t="s">
        <v>11</v>
      </c>
      <c r="U32" s="1561">
        <f t="shared" si="13"/>
        <v>100</v>
      </c>
      <c r="V32" s="1560" t="s">
        <v>11</v>
      </c>
      <c r="W32" s="1561">
        <f t="shared" si="14"/>
        <v>100</v>
      </c>
      <c r="X32" s="1554"/>
      <c r="Y32" s="3378" t="s">
        <v>550</v>
      </c>
      <c r="Z32" s="1562" t="str">
        <f t="shared" si="15"/>
        <v>建筑类型</v>
      </c>
      <c r="AA32" s="1563">
        <f t="shared" si="3"/>
        <v>1</v>
      </c>
      <c r="AB32" s="1563">
        <f t="shared" si="4"/>
        <v>1</v>
      </c>
      <c r="AC32" s="1563">
        <f t="shared" si="5"/>
        <v>1</v>
      </c>
    </row>
    <row r="33" spans="1:29" s="1335" customFormat="1" ht="15">
      <c r="A33" s="603"/>
      <c r="B33" s="527" t="s">
        <v>726</v>
      </c>
      <c r="C33" s="880">
        <f>'数据-汇总表'!E3</f>
        <v>191218.19999999998</v>
      </c>
      <c r="D33" s="255">
        <v>100</v>
      </c>
      <c r="E33" s="534">
        <v>264151.45</v>
      </c>
      <c r="F33" s="863">
        <f>LOOKUP(E33,103:103,104:104)-LOOKUP(C33,103:103,104:104)+100</f>
        <v>102</v>
      </c>
      <c r="G33" s="533">
        <v>180000</v>
      </c>
      <c r="H33" s="255">
        <f>LOOKUP(G33,103:103,104:104)-LOOKUP(C33,103:103,104:104)+100</f>
        <v>100</v>
      </c>
      <c r="I33" s="534">
        <f>62591*1.6</f>
        <v>100145.60000000001</v>
      </c>
      <c r="J33" s="255">
        <f>LOOKUP(I33,103:103,104:104)-LOOKUP(C33,103:103,104:104)+100</f>
        <v>99</v>
      </c>
      <c r="K33" s="865"/>
      <c r="L33" s="2126"/>
      <c r="M33" s="2157"/>
      <c r="N33" s="2157"/>
      <c r="O33" s="2129"/>
      <c r="P33" s="3378"/>
      <c r="Q33" s="1591" t="str">
        <f t="shared" si="11"/>
        <v>项目建筑规模</v>
      </c>
      <c r="R33" s="1564" t="s">
        <v>11</v>
      </c>
      <c r="S33" s="1565">
        <f t="shared" si="12"/>
        <v>102</v>
      </c>
      <c r="T33" s="1564" t="s">
        <v>11</v>
      </c>
      <c r="U33" s="1565">
        <f t="shared" si="13"/>
        <v>100</v>
      </c>
      <c r="V33" s="1564" t="s">
        <v>11</v>
      </c>
      <c r="W33" s="1565">
        <f t="shared" si="14"/>
        <v>99</v>
      </c>
      <c r="X33" s="1566"/>
      <c r="Y33" s="3378"/>
      <c r="Z33" s="1567" t="str">
        <f t="shared" si="15"/>
        <v>项目建筑规模</v>
      </c>
      <c r="AA33" s="1563">
        <f t="shared" si="3"/>
        <v>0.98039215686274506</v>
      </c>
      <c r="AB33" s="1563">
        <f t="shared" si="4"/>
        <v>1</v>
      </c>
      <c r="AC33" s="1563">
        <f t="shared" si="5"/>
        <v>1.0101010101010102</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8"/>
      <c r="Q34" s="1559" t="str">
        <f t="shared" si="11"/>
        <v>建筑结构</v>
      </c>
      <c r="R34" s="1560" t="s">
        <v>11</v>
      </c>
      <c r="S34" s="1561">
        <f t="shared" si="12"/>
        <v>100</v>
      </c>
      <c r="T34" s="1560" t="s">
        <v>11</v>
      </c>
      <c r="U34" s="1561">
        <f t="shared" si="13"/>
        <v>100</v>
      </c>
      <c r="V34" s="1560" t="s">
        <v>11</v>
      </c>
      <c r="W34" s="1561">
        <f t="shared" si="14"/>
        <v>100</v>
      </c>
      <c r="X34" s="1554"/>
      <c r="Y34" s="337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8"/>
      <c r="Q35" s="1559" t="str">
        <f t="shared" si="11"/>
        <v>建筑品质</v>
      </c>
      <c r="R35" s="1560" t="s">
        <v>11</v>
      </c>
      <c r="S35" s="1561">
        <f t="shared" si="12"/>
        <v>100</v>
      </c>
      <c r="T35" s="1560" t="s">
        <v>11</v>
      </c>
      <c r="U35" s="1561">
        <f t="shared" si="13"/>
        <v>100</v>
      </c>
      <c r="V35" s="1560" t="s">
        <v>11</v>
      </c>
      <c r="W35" s="1561">
        <f t="shared" si="14"/>
        <v>100</v>
      </c>
      <c r="X35" s="1554"/>
      <c r="Y35" s="337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8"/>
      <c r="Q36" s="1559" t="str">
        <f t="shared" si="11"/>
        <v>公共部分装修</v>
      </c>
      <c r="R36" s="1560" t="s">
        <v>11</v>
      </c>
      <c r="S36" s="1561">
        <f t="shared" si="12"/>
        <v>100</v>
      </c>
      <c r="T36" s="1560" t="s">
        <v>11</v>
      </c>
      <c r="U36" s="1561">
        <f t="shared" si="13"/>
        <v>100</v>
      </c>
      <c r="V36" s="1560" t="s">
        <v>11</v>
      </c>
      <c r="W36" s="1561">
        <f t="shared" si="14"/>
        <v>100</v>
      </c>
      <c r="X36" s="1554"/>
      <c r="Y36" s="337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78"/>
      <c r="Q37" s="1147" t="str">
        <f t="shared" si="11"/>
        <v>成新度</v>
      </c>
      <c r="R37" s="1555" t="s">
        <v>11</v>
      </c>
      <c r="S37" s="1556">
        <f t="shared" si="12"/>
        <v>100</v>
      </c>
      <c r="T37" s="1555" t="s">
        <v>11</v>
      </c>
      <c r="U37" s="1556">
        <f t="shared" si="13"/>
        <v>100</v>
      </c>
      <c r="V37" s="1555" t="s">
        <v>11</v>
      </c>
      <c r="W37" s="1556">
        <f t="shared" si="14"/>
        <v>100</v>
      </c>
      <c r="X37" s="1557"/>
      <c r="Y37" s="3378"/>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8" t="s">
        <v>550</v>
      </c>
      <c r="Q38" s="1559" t="str">
        <f t="shared" si="11"/>
        <v>物业管理</v>
      </c>
      <c r="R38" s="1560" t="s">
        <v>11</v>
      </c>
      <c r="S38" s="1561">
        <f t="shared" si="12"/>
        <v>100</v>
      </c>
      <c r="T38" s="1560" t="s">
        <v>11</v>
      </c>
      <c r="U38" s="1561">
        <f t="shared" si="13"/>
        <v>100</v>
      </c>
      <c r="V38" s="1560" t="s">
        <v>11</v>
      </c>
      <c r="W38" s="1561">
        <f t="shared" si="14"/>
        <v>100</v>
      </c>
      <c r="X38" s="1554"/>
      <c r="Y38" s="337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8"/>
      <c r="Q39" s="1559" t="str">
        <f t="shared" si="11"/>
        <v>市政基础设施</v>
      </c>
      <c r="R39" s="1560" t="s">
        <v>11</v>
      </c>
      <c r="S39" s="1561">
        <f t="shared" si="12"/>
        <v>100</v>
      </c>
      <c r="T39" s="1560" t="s">
        <v>11</v>
      </c>
      <c r="U39" s="1561">
        <f t="shared" si="13"/>
        <v>100</v>
      </c>
      <c r="V39" s="1560" t="s">
        <v>11</v>
      </c>
      <c r="W39" s="1561">
        <f t="shared" si="14"/>
        <v>100</v>
      </c>
      <c r="X39" s="1554"/>
      <c r="Y39" s="337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8"/>
      <c r="Q40" s="1559" t="str">
        <f t="shared" si="11"/>
        <v>房型</v>
      </c>
      <c r="R40" s="1560" t="s">
        <v>11</v>
      </c>
      <c r="S40" s="1561">
        <f t="shared" si="12"/>
        <v>100</v>
      </c>
      <c r="T40" s="1560" t="s">
        <v>11</v>
      </c>
      <c r="U40" s="1561">
        <f t="shared" si="13"/>
        <v>100</v>
      </c>
      <c r="V40" s="1560" t="s">
        <v>11</v>
      </c>
      <c r="W40" s="1561">
        <f t="shared" si="14"/>
        <v>100</v>
      </c>
      <c r="X40" s="1554"/>
      <c r="Y40" s="3378"/>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8"/>
      <c r="Q41" s="1591" t="str">
        <f t="shared" si="11"/>
        <v>单套/主力户型建筑面积</v>
      </c>
      <c r="R41" s="1564" t="s">
        <v>11</v>
      </c>
      <c r="S41" s="1565">
        <f t="shared" si="12"/>
        <v>100</v>
      </c>
      <c r="T41" s="1564" t="s">
        <v>11</v>
      </c>
      <c r="U41" s="1565">
        <f t="shared" si="13"/>
        <v>100</v>
      </c>
      <c r="V41" s="1564" t="s">
        <v>11</v>
      </c>
      <c r="W41" s="1565">
        <f t="shared" si="14"/>
        <v>100</v>
      </c>
      <c r="X41" s="1566"/>
      <c r="Y41" s="3378"/>
      <c r="Z41" s="1567" t="str">
        <f t="shared" si="15"/>
        <v>单套/主力户型建筑面积</v>
      </c>
      <c r="AA41" s="1563">
        <f t="shared" si="3"/>
        <v>1</v>
      </c>
      <c r="AB41" s="1563">
        <f t="shared" si="4"/>
        <v>1</v>
      </c>
      <c r="AC41" s="1563">
        <f t="shared" si="5"/>
        <v>1</v>
      </c>
    </row>
    <row r="42" spans="1:29" ht="15">
      <c r="A42" s="594"/>
      <c r="B42" s="527" t="s">
        <v>734</v>
      </c>
      <c r="C42" s="599" t="s">
        <v>3029</v>
      </c>
      <c r="D42" s="540">
        <v>100</v>
      </c>
      <c r="E42" s="874" t="s">
        <v>3031</v>
      </c>
      <c r="F42" s="575">
        <f>SUMIF(122:122,E42,123:123)-SUMIF(122:122,C42,123:123)+100</f>
        <v>100</v>
      </c>
      <c r="G42" s="599" t="s">
        <v>3029</v>
      </c>
      <c r="H42" s="540">
        <f>SUMIF(122:122,G42,123:123)-SUMIF(122:122,C42,123:123)+100</f>
        <v>100</v>
      </c>
      <c r="I42" s="874" t="s">
        <v>3029</v>
      </c>
      <c r="J42" s="540">
        <f>SUMIF(122:122,I42,123:123)-SUMIF(122:122,C42,123:123)+100</f>
        <v>100</v>
      </c>
      <c r="K42" s="864"/>
      <c r="L42" s="2128"/>
      <c r="M42" s="2120"/>
      <c r="N42" s="2120"/>
      <c r="O42" s="2127"/>
      <c r="P42" s="3378"/>
      <c r="Q42" s="1559" t="str">
        <f t="shared" si="11"/>
        <v>内部装修</v>
      </c>
      <c r="R42" s="1560" t="s">
        <v>11</v>
      </c>
      <c r="S42" s="1561">
        <f t="shared" si="12"/>
        <v>100</v>
      </c>
      <c r="T42" s="1560" t="s">
        <v>11</v>
      </c>
      <c r="U42" s="1561">
        <f t="shared" si="13"/>
        <v>100</v>
      </c>
      <c r="V42" s="1560" t="s">
        <v>11</v>
      </c>
      <c r="W42" s="1561">
        <f t="shared" si="14"/>
        <v>100</v>
      </c>
      <c r="X42" s="1554"/>
      <c r="Y42" s="3378"/>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8"/>
      <c r="Q43" s="1559" t="str">
        <f t="shared" si="11"/>
        <v>内部装修维护情况</v>
      </c>
      <c r="R43" s="1560" t="s">
        <v>11</v>
      </c>
      <c r="S43" s="1561">
        <f t="shared" si="12"/>
        <v>100</v>
      </c>
      <c r="T43" s="1560" t="s">
        <v>11</v>
      </c>
      <c r="U43" s="1561">
        <f t="shared" si="13"/>
        <v>100</v>
      </c>
      <c r="V43" s="1560" t="s">
        <v>11</v>
      </c>
      <c r="W43" s="1561">
        <f t="shared" si="14"/>
        <v>100</v>
      </c>
      <c r="X43" s="1554"/>
      <c r="Y43" s="337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8"/>
      <c r="Q44" s="1147">
        <f t="shared" si="11"/>
        <v>111</v>
      </c>
      <c r="R44" s="1555" t="s">
        <v>11</v>
      </c>
      <c r="S44" s="1556">
        <f t="shared" si="12"/>
        <v>100</v>
      </c>
      <c r="T44" s="1555" t="s">
        <v>11</v>
      </c>
      <c r="U44" s="1556">
        <f t="shared" si="13"/>
        <v>100</v>
      </c>
      <c r="V44" s="1555" t="s">
        <v>11</v>
      </c>
      <c r="W44" s="1556">
        <f t="shared" si="14"/>
        <v>100</v>
      </c>
      <c r="X44" s="1557"/>
      <c r="Y44" s="337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8"/>
      <c r="Q45" s="1559">
        <f t="shared" si="11"/>
        <v>111</v>
      </c>
      <c r="R45" s="1560" t="s">
        <v>11</v>
      </c>
      <c r="S45" s="1561">
        <f t="shared" si="12"/>
        <v>100</v>
      </c>
      <c r="T45" s="1560" t="s">
        <v>11</v>
      </c>
      <c r="U45" s="1561">
        <f t="shared" si="13"/>
        <v>100</v>
      </c>
      <c r="V45" s="1560" t="s">
        <v>11</v>
      </c>
      <c r="W45" s="1561">
        <f t="shared" si="14"/>
        <v>100</v>
      </c>
      <c r="X45" s="1554"/>
      <c r="Y45" s="3378"/>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0"/>
      <c r="Q46" s="1559">
        <f t="shared" si="11"/>
        <v>111</v>
      </c>
      <c r="R46" s="1560" t="s">
        <v>10</v>
      </c>
      <c r="S46" s="1561">
        <f t="shared" si="12"/>
        <v>100</v>
      </c>
      <c r="T46" s="1560" t="s">
        <v>10</v>
      </c>
      <c r="U46" s="1561">
        <f t="shared" si="13"/>
        <v>100</v>
      </c>
      <c r="V46" s="1560" t="s">
        <v>10</v>
      </c>
      <c r="W46" s="1561">
        <f t="shared" si="14"/>
        <v>100</v>
      </c>
      <c r="X46" s="1554"/>
      <c r="Y46" s="3480"/>
      <c r="Z46" s="1562">
        <f t="shared" si="15"/>
        <v>111</v>
      </c>
      <c r="AA46" s="1563">
        <f t="shared" si="3"/>
        <v>1</v>
      </c>
      <c r="AB46" s="1563">
        <f t="shared" si="4"/>
        <v>1</v>
      </c>
      <c r="AC46" s="1563">
        <f t="shared" si="5"/>
        <v>1</v>
      </c>
    </row>
    <row r="47" spans="1:29" ht="14.4">
      <c r="A47" s="607" t="s">
        <v>736</v>
      </c>
      <c r="B47" s="887"/>
      <c r="C47" s="2591" t="s">
        <v>9</v>
      </c>
      <c r="D47" s="2592"/>
      <c r="E47" s="2593">
        <v>18600</v>
      </c>
      <c r="F47" s="2594"/>
      <c r="G47" s="2595">
        <v>14000</v>
      </c>
      <c r="H47" s="2596"/>
      <c r="I47" s="2593">
        <v>14500</v>
      </c>
      <c r="J47" s="2596"/>
      <c r="K47" s="1592"/>
      <c r="L47" s="2130"/>
      <c r="M47" s="2131"/>
      <c r="N47" s="2120"/>
      <c r="O47" s="2131"/>
      <c r="P47" s="3373" t="str">
        <f>A47</f>
        <v>成交单价（元/平方米）</v>
      </c>
      <c r="Q47" s="3373"/>
      <c r="R47" s="3479">
        <f>E47</f>
        <v>18600</v>
      </c>
      <c r="S47" s="3479"/>
      <c r="T47" s="3479">
        <f>G47</f>
        <v>14000</v>
      </c>
      <c r="U47" s="3479"/>
      <c r="V47" s="3479">
        <f>I47</f>
        <v>14500</v>
      </c>
      <c r="W47" s="3479"/>
      <c r="X47" s="1546"/>
      <c r="Y47" s="1568"/>
      <c r="Z47" s="1546"/>
      <c r="AA47" s="1546"/>
      <c r="AB47" s="1546"/>
      <c r="AC47" s="1546"/>
    </row>
    <row r="48" spans="1:29" ht="15" thickBot="1">
      <c r="A48" s="615" t="s">
        <v>2760</v>
      </c>
      <c r="B48" s="888"/>
      <c r="C48" s="2597">
        <f>R49</f>
        <v>14439</v>
      </c>
      <c r="D48" s="2598"/>
      <c r="E48" s="2599">
        <f>R48</f>
        <v>16054</v>
      </c>
      <c r="F48" s="2599"/>
      <c r="G48" s="2597">
        <f>T48</f>
        <v>13462</v>
      </c>
      <c r="H48" s="2598"/>
      <c r="I48" s="2599">
        <f>V48</f>
        <v>13802</v>
      </c>
      <c r="J48" s="2598"/>
      <c r="K48" s="1593"/>
      <c r="L48" s="2130"/>
      <c r="M48" s="2131"/>
      <c r="N48" s="2131"/>
      <c r="O48" s="2131"/>
      <c r="P48" s="3373" t="str">
        <f>A48</f>
        <v>比较价格（元/平方米）</v>
      </c>
      <c r="Q48" s="3373"/>
      <c r="R48" s="3479">
        <f>IF(F1="售价",ROUND(PRODUCT(R47,AA7:AA46),0),ROUND(PRODUCT(R47,AA7:AA46),1))</f>
        <v>16054</v>
      </c>
      <c r="S48" s="3479"/>
      <c r="T48" s="3479">
        <f>IF(F1="售价",ROUND(PRODUCT(T47,AB7:AB46),0),ROUND(PRODUCT(T47,AB7:AB46),1))</f>
        <v>13462</v>
      </c>
      <c r="U48" s="3479"/>
      <c r="V48" s="3479">
        <f>IF(F1="售价",ROUND(PRODUCT(V47,AC7:AC46),0),ROUND(PRODUCT(V47,AC7:AC46),1))</f>
        <v>13802</v>
      </c>
      <c r="W48" s="3479"/>
      <c r="X48" s="1546"/>
      <c r="Y48" s="1546"/>
      <c r="Z48" s="1546"/>
      <c r="AA48" s="1546"/>
      <c r="AB48" s="1546"/>
      <c r="AC48" s="1546"/>
    </row>
    <row r="49" spans="1:29" ht="15" thickBot="1">
      <c r="A49" s="621" t="s">
        <v>2937</v>
      </c>
      <c r="B49" s="622"/>
      <c r="C49" s="2600">
        <f>R49</f>
        <v>14439</v>
      </c>
      <c r="D49" s="2600"/>
      <c r="E49" s="2600"/>
      <c r="F49" s="2600"/>
      <c r="G49" s="2600"/>
      <c r="H49" s="2600"/>
      <c r="I49" s="2600"/>
      <c r="J49" s="2600"/>
      <c r="K49" s="1594"/>
      <c r="L49" s="2130"/>
      <c r="M49" s="2131"/>
      <c r="N49" s="2131"/>
      <c r="O49" s="2131"/>
      <c r="P49" s="3394" t="str">
        <f>A49</f>
        <v>估价对象XX用房的比较价格（楼面单价，元/平方米）</v>
      </c>
      <c r="Q49" s="3395"/>
      <c r="R49" s="3478">
        <f>IF(F1="售价",ROUND(AVERAGE(R48:V48),0),ROUND(AVERAGE(R48:V48),1))</f>
        <v>14439</v>
      </c>
      <c r="S49" s="3478"/>
      <c r="T49" s="3478"/>
      <c r="U49" s="3478"/>
      <c r="V49" s="3478"/>
      <c r="W49" s="347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0.15858975956148003</v>
      </c>
      <c r="F52" s="627" t="str">
        <f>IF(OR(E52&gt;=0.3,E52&lt;=-0.3),"超过30%","")</f>
        <v/>
      </c>
      <c r="G52" s="626">
        <f>IF(G47&lt;G48,G48/G47-1,G47/G48-1)</f>
        <v>3.9964344079631564E-2</v>
      </c>
      <c r="H52" s="627" t="str">
        <f>IF(OR(G52&gt;=0.3,G52&lt;=-0.3),"超过30%","")</f>
        <v/>
      </c>
      <c r="I52" s="626">
        <f>IF(I47&lt;I48,I48/I47-1,I47/I48-1)</f>
        <v>5.0572380814374762E-2</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0.19254196998960027</v>
      </c>
      <c r="F53" s="627" t="str">
        <f>IF(OR(E53&gt;=0.2,E53&lt;=-0.2),"超过20%","")</f>
        <v/>
      </c>
      <c r="G53" s="626">
        <f>IF(G48&lt;I48,I48/G48-1,G48/I48-1)</f>
        <v>2.5256276927648091E-2</v>
      </c>
      <c r="H53" s="627" t="str">
        <f>IF(OR(G53&gt;=0.2,G53&lt;=-0.2),"超过20%","")</f>
        <v/>
      </c>
      <c r="I53" s="626">
        <f>IF(I48&lt;E48,E48/I48-1,I48/E48-1)</f>
        <v>0.16316475873061864</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0.32857142857142851</v>
      </c>
      <c r="F54" s="627" t="str">
        <f>IF(OR(E54&gt;=0.3,E54&lt;=-0.3),"超过30%","")</f>
        <v>超过30%</v>
      </c>
      <c r="G54" s="626">
        <f>IF(G47&lt;I47,I47/G47-1,G47/I47-1)</f>
        <v>3.5714285714285809E-2</v>
      </c>
      <c r="H54" s="627" t="str">
        <f>IF(OR(G54&gt;=0.3,G54&lt;=-0.3),"超过30%","")</f>
        <v/>
      </c>
      <c r="I54" s="626">
        <f>IF(I47&lt;E47,E47/I47-1,I47/E47-1)</f>
        <v>0.28275862068965507</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9"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 thickBot="1">
      <c r="A64" s="669"/>
      <c r="B64" s="670"/>
      <c r="C64" s="3187" t="s">
        <v>3041</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250000(含)-300000</v>
      </c>
      <c r="I102" s="708" t="str">
        <f t="shared" si="23"/>
        <v>300000(含)-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I103" si="24">D103+50000</f>
        <v>100000</v>
      </c>
      <c r="F103" s="730">
        <f t="shared" si="24"/>
        <v>150000</v>
      </c>
      <c r="G103" s="730">
        <f t="shared" si="24"/>
        <v>200000</v>
      </c>
      <c r="H103" s="730">
        <f t="shared" si="24"/>
        <v>250000</v>
      </c>
      <c r="I103" s="730">
        <f t="shared" si="24"/>
        <v>300000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f>C104+1</f>
        <v>101</v>
      </c>
      <c r="E104" s="671">
        <f t="shared" ref="E104:I104" si="25">D104+1</f>
        <v>102</v>
      </c>
      <c r="F104" s="671">
        <f t="shared" si="25"/>
        <v>103</v>
      </c>
      <c r="G104" s="671">
        <f t="shared" si="25"/>
        <v>104</v>
      </c>
      <c r="H104" s="671">
        <f t="shared" si="25"/>
        <v>105</v>
      </c>
      <c r="I104" s="671">
        <f t="shared" si="25"/>
        <v>106</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6">C106-$K34</f>
        <v>100</v>
      </c>
      <c r="E106" s="679">
        <f t="shared" si="26"/>
        <v>100</v>
      </c>
      <c r="F106" s="679">
        <f t="shared" si="26"/>
        <v>100</v>
      </c>
      <c r="G106" s="679">
        <f t="shared" si="26"/>
        <v>100</v>
      </c>
      <c r="H106" s="679">
        <f t="shared" si="26"/>
        <v>100</v>
      </c>
      <c r="I106" s="679">
        <f t="shared" si="26"/>
        <v>100</v>
      </c>
      <c r="J106" s="679">
        <f t="shared" si="26"/>
        <v>100</v>
      </c>
      <c r="K106" s="679">
        <f t="shared" si="26"/>
        <v>100</v>
      </c>
      <c r="L106" s="679">
        <f t="shared" si="26"/>
        <v>100</v>
      </c>
      <c r="M106" s="679">
        <f t="shared" si="26"/>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7">C108-$K35</f>
        <v>100</v>
      </c>
      <c r="E108" s="679">
        <f t="shared" si="27"/>
        <v>100</v>
      </c>
      <c r="F108" s="679">
        <f t="shared" si="27"/>
        <v>100</v>
      </c>
      <c r="G108" s="679">
        <f t="shared" si="27"/>
        <v>100</v>
      </c>
      <c r="H108" s="679">
        <f t="shared" si="27"/>
        <v>100</v>
      </c>
      <c r="I108" s="679">
        <f t="shared" si="27"/>
        <v>100</v>
      </c>
      <c r="J108" s="679">
        <f t="shared" si="27"/>
        <v>100</v>
      </c>
      <c r="K108" s="679">
        <f t="shared" si="27"/>
        <v>100</v>
      </c>
      <c r="L108" s="679">
        <f t="shared" si="27"/>
        <v>100</v>
      </c>
      <c r="M108" s="679">
        <f t="shared" si="27"/>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5" t="s">
        <v>3032</v>
      </c>
      <c r="D109" s="3185" t="s">
        <v>3027</v>
      </c>
      <c r="E109" s="3185" t="s">
        <v>3028</v>
      </c>
      <c r="F109" s="3186" t="s">
        <v>3030</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8">C110-$K36</f>
        <v>100</v>
      </c>
      <c r="E110" s="679">
        <f t="shared" si="28"/>
        <v>100</v>
      </c>
      <c r="F110" s="679">
        <f t="shared" si="28"/>
        <v>100</v>
      </c>
      <c r="G110" s="679">
        <f t="shared" si="28"/>
        <v>100</v>
      </c>
      <c r="H110" s="679">
        <f t="shared" si="28"/>
        <v>100</v>
      </c>
      <c r="I110" s="679">
        <f t="shared" si="28"/>
        <v>100</v>
      </c>
      <c r="J110" s="679">
        <f t="shared" si="28"/>
        <v>100</v>
      </c>
      <c r="K110" s="679">
        <f t="shared" si="28"/>
        <v>100</v>
      </c>
      <c r="L110" s="679">
        <f t="shared" si="28"/>
        <v>100</v>
      </c>
      <c r="M110" s="679">
        <f t="shared" si="28"/>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9">C115-$K38</f>
        <v>100</v>
      </c>
      <c r="E115" s="679">
        <f t="shared" si="29"/>
        <v>100</v>
      </c>
      <c r="F115" s="679">
        <f t="shared" si="29"/>
        <v>100</v>
      </c>
      <c r="G115" s="679">
        <f t="shared" si="29"/>
        <v>100</v>
      </c>
      <c r="H115" s="679">
        <f t="shared" si="29"/>
        <v>100</v>
      </c>
      <c r="I115" s="679">
        <f t="shared" si="29"/>
        <v>100</v>
      </c>
      <c r="J115" s="679">
        <f t="shared" si="29"/>
        <v>100</v>
      </c>
      <c r="K115" s="679">
        <f t="shared" si="29"/>
        <v>100</v>
      </c>
      <c r="L115" s="679">
        <f t="shared" si="29"/>
        <v>100</v>
      </c>
      <c r="M115" s="679">
        <f t="shared" si="29"/>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5" t="s">
        <v>3034</v>
      </c>
      <c r="D116" s="3185" t="s">
        <v>3035</v>
      </c>
      <c r="E116" s="3185" t="s">
        <v>3036</v>
      </c>
      <c r="F116" s="3185" t="s">
        <v>3037</v>
      </c>
      <c r="G116" s="3185" t="s">
        <v>3038</v>
      </c>
      <c r="H116" s="3186" t="s">
        <v>3039</v>
      </c>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5" t="s">
        <v>3032</v>
      </c>
      <c r="D122" s="3185" t="s">
        <v>3027</v>
      </c>
      <c r="E122" s="3185" t="s">
        <v>3028</v>
      </c>
      <c r="F122" s="3186" t="s">
        <v>3030</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31">C123-$K42</f>
        <v>100</v>
      </c>
      <c r="E123" s="679">
        <f t="shared" si="31"/>
        <v>100</v>
      </c>
      <c r="F123" s="679">
        <f t="shared" si="31"/>
        <v>100</v>
      </c>
      <c r="G123" s="679">
        <f t="shared" si="31"/>
        <v>100</v>
      </c>
      <c r="H123" s="679">
        <f t="shared" si="31"/>
        <v>100</v>
      </c>
      <c r="I123" s="679">
        <f t="shared" si="31"/>
        <v>100</v>
      </c>
      <c r="J123" s="679">
        <f t="shared" si="31"/>
        <v>100</v>
      </c>
      <c r="K123" s="679">
        <f t="shared" si="31"/>
        <v>100</v>
      </c>
      <c r="L123" s="679">
        <f t="shared" si="31"/>
        <v>100</v>
      </c>
      <c r="M123" s="679">
        <f t="shared" si="31"/>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4.4"/>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4"/>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79" t="s">
        <v>522</v>
      </c>
      <c r="D4" s="3380"/>
      <c r="E4" s="3403" t="s">
        <v>523</v>
      </c>
      <c r="F4" s="3404"/>
      <c r="G4" s="3379" t="s">
        <v>524</v>
      </c>
      <c r="H4" s="3380"/>
      <c r="I4" s="3379" t="s">
        <v>525</v>
      </c>
      <c r="J4" s="3380"/>
      <c r="K4" s="514"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87" t="s">
        <v>524</v>
      </c>
      <c r="AC4" s="3362" t="s">
        <v>525</v>
      </c>
    </row>
    <row r="5" spans="1:29">
      <c r="A5" s="515"/>
      <c r="B5" s="516"/>
      <c r="C5" s="3390" t="s">
        <v>2931</v>
      </c>
      <c r="D5" s="3391"/>
      <c r="E5" s="3405" t="s">
        <v>2932</v>
      </c>
      <c r="F5" s="3406"/>
      <c r="G5" s="3390" t="s">
        <v>2933</v>
      </c>
      <c r="H5" s="3391"/>
      <c r="I5" s="3390" t="s">
        <v>2934</v>
      </c>
      <c r="J5" s="3391"/>
      <c r="K5" s="514"/>
      <c r="L5" s="2119"/>
      <c r="M5" s="2120"/>
      <c r="N5" s="2120"/>
      <c r="O5" s="2120"/>
      <c r="P5" s="3383"/>
      <c r="Q5" s="3384"/>
      <c r="R5" s="3369"/>
      <c r="S5" s="3370"/>
      <c r="T5" s="3369"/>
      <c r="U5" s="3370"/>
      <c r="V5" s="3387"/>
      <c r="W5" s="3387"/>
      <c r="X5" s="1554"/>
      <c r="Y5" s="3369"/>
      <c r="Z5" s="3370"/>
      <c r="AA5" s="3363"/>
      <c r="AB5" s="3387"/>
      <c r="AC5" s="3363"/>
    </row>
    <row r="6" spans="1:29" ht="15" thickBot="1">
      <c r="A6" s="517"/>
      <c r="B6" s="518"/>
      <c r="C6" s="3388" t="s">
        <v>2935</v>
      </c>
      <c r="D6" s="3389"/>
      <c r="E6" s="3407" t="s">
        <v>2935</v>
      </c>
      <c r="F6" s="3408"/>
      <c r="G6" s="3388" t="s">
        <v>2935</v>
      </c>
      <c r="H6" s="3389"/>
      <c r="I6" s="3388" t="s">
        <v>2935</v>
      </c>
      <c r="J6" s="3389"/>
      <c r="K6" s="514" t="s">
        <v>528</v>
      </c>
      <c r="L6" s="2119"/>
      <c r="M6" s="2120"/>
      <c r="N6" s="2120"/>
      <c r="O6" s="2120"/>
      <c r="P6" s="3385"/>
      <c r="Q6" s="3386"/>
      <c r="R6" s="3369"/>
      <c r="S6" s="3370"/>
      <c r="T6" s="3371"/>
      <c r="U6" s="3372"/>
      <c r="V6" s="3387"/>
      <c r="W6" s="3387"/>
      <c r="X6" s="1554"/>
      <c r="Y6" s="3371"/>
      <c r="Z6" s="3372"/>
      <c r="AA6" s="3364"/>
      <c r="AB6" s="3387"/>
      <c r="AC6" s="3364"/>
    </row>
    <row r="7" spans="1:29" s="1216" customFormat="1" ht="15" thickBot="1">
      <c r="A7" s="2867"/>
      <c r="B7" s="2874" t="s">
        <v>529</v>
      </c>
      <c r="C7" s="519">
        <f>'数据-取费表'!B2</f>
        <v>43676</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5"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46" si="3">D8/F8</f>
        <v>#DIV/0!</v>
      </c>
      <c r="AB8" s="1558" t="e">
        <f t="shared" ref="AB8:AB46" si="4">D8/H8</f>
        <v>#DIV/0!</v>
      </c>
      <c r="AC8" s="1558" t="e">
        <f t="shared" ref="AC8:AC46" si="5">D8/J8</f>
        <v>#DIV/0!</v>
      </c>
    </row>
    <row r="9" spans="1:29" s="1216" customFormat="1" ht="14.4">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8.8">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82.8">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5" t="s">
        <v>540</v>
      </c>
      <c r="Q15" s="1559" t="str">
        <f t="shared" si="6"/>
        <v>商业繁华度</v>
      </c>
      <c r="R15" s="1560" t="s">
        <v>8</v>
      </c>
      <c r="S15" s="1561">
        <f t="shared" si="0"/>
        <v>100</v>
      </c>
      <c r="T15" s="1560" t="s">
        <v>8</v>
      </c>
      <c r="U15" s="1561">
        <f t="shared" si="1"/>
        <v>100</v>
      </c>
      <c r="V15" s="1560" t="s">
        <v>8</v>
      </c>
      <c r="W15" s="1561">
        <f t="shared" si="2"/>
        <v>100</v>
      </c>
      <c r="X15" s="1554"/>
      <c r="Y15" s="337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6"/>
      <c r="Q16" s="1559"/>
      <c r="R16" s="1560"/>
      <c r="S16" s="1561"/>
      <c r="T16" s="1560"/>
      <c r="U16" s="1561"/>
      <c r="V16" s="1560"/>
      <c r="W16" s="1561"/>
      <c r="X16" s="1554"/>
      <c r="Y16" s="3376"/>
      <c r="Z16" s="1562"/>
      <c r="AA16" s="1563">
        <v>1</v>
      </c>
      <c r="AB16" s="1563">
        <v>1</v>
      </c>
      <c r="AC16" s="1563">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6"/>
      <c r="Q18" s="1559"/>
      <c r="R18" s="1560"/>
      <c r="S18" s="1561"/>
      <c r="T18" s="1560"/>
      <c r="U18" s="1561"/>
      <c r="V18" s="1560"/>
      <c r="W18" s="1561"/>
      <c r="X18" s="1554"/>
      <c r="Y18" s="3376"/>
      <c r="Z18" s="1562"/>
      <c r="AA18" s="1563">
        <v>1</v>
      </c>
      <c r="AB18" s="1563">
        <v>1</v>
      </c>
      <c r="AC18" s="1563">
        <v>1</v>
      </c>
    </row>
    <row r="19" spans="1:29" ht="41.4">
      <c r="A19" s="532"/>
      <c r="B19" s="2564"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6"/>
      <c r="Q20" s="1559"/>
      <c r="R20" s="1560"/>
      <c r="S20" s="1561"/>
      <c r="T20" s="1560"/>
      <c r="U20" s="1561"/>
      <c r="V20" s="1560"/>
      <c r="W20" s="1561"/>
      <c r="X20" s="1554"/>
      <c r="Y20" s="3376"/>
      <c r="Z20" s="1562"/>
      <c r="AA20" s="1563">
        <v>1</v>
      </c>
      <c r="AB20" s="1563">
        <v>1</v>
      </c>
      <c r="AC20" s="1563">
        <v>1</v>
      </c>
    </row>
    <row r="21" spans="1:29" ht="41.4">
      <c r="A21" s="532"/>
      <c r="B21" s="2557"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6"/>
      <c r="Q21" s="2543" t="str">
        <f>B21</f>
        <v>基础设施水平</v>
      </c>
      <c r="R21" s="1560" t="s">
        <v>8</v>
      </c>
      <c r="S21" s="1561">
        <f>F21</f>
        <v>100</v>
      </c>
      <c r="T21" s="1560" t="s">
        <v>8</v>
      </c>
      <c r="U21" s="1561">
        <f>H21</f>
        <v>100</v>
      </c>
      <c r="V21" s="1560" t="s">
        <v>8</v>
      </c>
      <c r="W21" s="1561">
        <f>J21</f>
        <v>100</v>
      </c>
      <c r="X21" s="2545"/>
      <c r="Y21" s="3376"/>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8"/>
      <c r="M22" s="2120"/>
      <c r="N22" s="2120"/>
      <c r="O22" s="2127"/>
      <c r="P22" s="3376"/>
      <c r="Q22" s="2543"/>
      <c r="R22" s="1560"/>
      <c r="S22" s="1561"/>
      <c r="T22" s="1560"/>
      <c r="U22" s="1561"/>
      <c r="V22" s="1560"/>
      <c r="W22" s="1561"/>
      <c r="X22" s="2545"/>
      <c r="Y22" s="3376"/>
      <c r="Z22" s="2544"/>
      <c r="AA22" s="1563">
        <v>1</v>
      </c>
      <c r="AB22" s="1563">
        <v>1</v>
      </c>
      <c r="AC22" s="1563">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6"/>
      <c r="Q23" s="1559" t="str">
        <f>B23</f>
        <v>自然及人文环境</v>
      </c>
      <c r="R23" s="1560" t="s">
        <v>8</v>
      </c>
      <c r="S23" s="1561">
        <f>F23</f>
        <v>100</v>
      </c>
      <c r="T23" s="1560" t="s">
        <v>8</v>
      </c>
      <c r="U23" s="1561">
        <f>H23</f>
        <v>100</v>
      </c>
      <c r="V23" s="1560" t="s">
        <v>8</v>
      </c>
      <c r="W23" s="1561">
        <f>J23</f>
        <v>100</v>
      </c>
      <c r="X23" s="1554"/>
      <c r="Y23" s="337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6"/>
      <c r="Q25" s="1559" t="str">
        <f t="shared" ref="Q25:Q46" si="11">B25</f>
        <v>临街状况</v>
      </c>
      <c r="R25" s="1560" t="s">
        <v>8</v>
      </c>
      <c r="S25" s="1561">
        <f>F25</f>
        <v>100</v>
      </c>
      <c r="T25" s="1560" t="s">
        <v>8</v>
      </c>
      <c r="U25" s="1561">
        <f>H25</f>
        <v>100</v>
      </c>
      <c r="V25" s="1560" t="s">
        <v>8</v>
      </c>
      <c r="W25" s="1561">
        <f>J25</f>
        <v>100</v>
      </c>
      <c r="X25" s="1554"/>
      <c r="Y25" s="337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6"/>
      <c r="Q26" s="1559" t="str">
        <f t="shared" si="11"/>
        <v>平面位置/可视性</v>
      </c>
      <c r="R26" s="1560" t="s">
        <v>8</v>
      </c>
      <c r="S26" s="1561">
        <f>F26</f>
        <v>100</v>
      </c>
      <c r="T26" s="1560" t="s">
        <v>8</v>
      </c>
      <c r="U26" s="1561">
        <f>H26</f>
        <v>100</v>
      </c>
      <c r="V26" s="1560" t="s">
        <v>8</v>
      </c>
      <c r="W26" s="1561">
        <f>J26</f>
        <v>100</v>
      </c>
      <c r="X26" s="1554"/>
      <c r="Y26" s="337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6"/>
      <c r="Q27" s="1147" t="str">
        <f t="shared" si="11"/>
        <v>人流量</v>
      </c>
      <c r="R27" s="1555" t="s">
        <v>8</v>
      </c>
      <c r="S27" s="1556">
        <f>F27</f>
        <v>100</v>
      </c>
      <c r="T27" s="1555" t="s">
        <v>8</v>
      </c>
      <c r="U27" s="1556">
        <f>H27</f>
        <v>100</v>
      </c>
      <c r="V27" s="1555" t="s">
        <v>8</v>
      </c>
      <c r="W27" s="1556">
        <f>J27</f>
        <v>100</v>
      </c>
      <c r="X27" s="1557"/>
      <c r="Y27" s="337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6"/>
      <c r="Q29" s="1559">
        <f t="shared" si="11"/>
        <v>111</v>
      </c>
      <c r="R29" s="1560" t="s">
        <v>8</v>
      </c>
      <c r="S29" s="1561">
        <f t="shared" si="12"/>
        <v>100</v>
      </c>
      <c r="T29" s="1560" t="s">
        <v>8</v>
      </c>
      <c r="U29" s="1561">
        <f t="shared" si="13"/>
        <v>100</v>
      </c>
      <c r="V29" s="1560" t="s">
        <v>8</v>
      </c>
      <c r="W29" s="1561">
        <f t="shared" si="14"/>
        <v>100</v>
      </c>
      <c r="X29" s="1554"/>
      <c r="Y29" s="337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6"/>
      <c r="Q30" s="1559">
        <f t="shared" si="11"/>
        <v>111</v>
      </c>
      <c r="R30" s="1560" t="s">
        <v>8</v>
      </c>
      <c r="S30" s="1561">
        <f t="shared" si="12"/>
        <v>100</v>
      </c>
      <c r="T30" s="1560" t="s">
        <v>8</v>
      </c>
      <c r="U30" s="1561">
        <f t="shared" si="13"/>
        <v>100</v>
      </c>
      <c r="V30" s="1560" t="s">
        <v>8</v>
      </c>
      <c r="W30" s="1561">
        <f t="shared" si="14"/>
        <v>100</v>
      </c>
      <c r="X30" s="1554"/>
      <c r="Y30" s="3376"/>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6"/>
      <c r="Q31" s="1559">
        <f t="shared" si="11"/>
        <v>111</v>
      </c>
      <c r="R31" s="1560" t="s">
        <v>8</v>
      </c>
      <c r="S31" s="1561">
        <f t="shared" si="12"/>
        <v>100</v>
      </c>
      <c r="T31" s="1560" t="s">
        <v>8</v>
      </c>
      <c r="U31" s="1561">
        <f t="shared" si="13"/>
        <v>100</v>
      </c>
      <c r="V31" s="1560" t="s">
        <v>8</v>
      </c>
      <c r="W31" s="1561">
        <f t="shared" si="14"/>
        <v>100</v>
      </c>
      <c r="X31" s="1554"/>
      <c r="Y31" s="3376"/>
      <c r="Z31" s="1562">
        <f t="shared" si="15"/>
        <v>111</v>
      </c>
      <c r="AA31" s="1563">
        <f t="shared" si="3"/>
        <v>1</v>
      </c>
      <c r="AB31" s="1563">
        <f t="shared" si="4"/>
        <v>1</v>
      </c>
      <c r="AC31" s="1563">
        <f t="shared" si="5"/>
        <v>1</v>
      </c>
    </row>
    <row r="32" spans="1:29" ht="15">
      <c r="A32" s="2862"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7" t="s">
        <v>550</v>
      </c>
      <c r="Q32" s="1559" t="str">
        <f t="shared" si="11"/>
        <v>商业类型</v>
      </c>
      <c r="R32" s="1560" t="s">
        <v>8</v>
      </c>
      <c r="S32" s="1561">
        <f t="shared" si="12"/>
        <v>100</v>
      </c>
      <c r="T32" s="1560" t="s">
        <v>8</v>
      </c>
      <c r="U32" s="1561">
        <f t="shared" si="13"/>
        <v>100</v>
      </c>
      <c r="V32" s="1560" t="s">
        <v>8</v>
      </c>
      <c r="W32" s="1561">
        <f t="shared" si="14"/>
        <v>100</v>
      </c>
      <c r="X32" s="1554"/>
      <c r="Y32" s="337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8"/>
      <c r="Q33" s="1591" t="str">
        <f t="shared" si="11"/>
        <v>项目建筑规模</v>
      </c>
      <c r="R33" s="1564" t="s">
        <v>8</v>
      </c>
      <c r="S33" s="1565" t="e">
        <f t="shared" si="12"/>
        <v>#N/A</v>
      </c>
      <c r="T33" s="1564" t="s">
        <v>8</v>
      </c>
      <c r="U33" s="1565" t="e">
        <f t="shared" si="13"/>
        <v>#N/A</v>
      </c>
      <c r="V33" s="1564" t="s">
        <v>8</v>
      </c>
      <c r="W33" s="1565" t="e">
        <f t="shared" si="14"/>
        <v>#N/A</v>
      </c>
      <c r="X33" s="1566"/>
      <c r="Y33" s="337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8"/>
      <c r="Q34" s="1559" t="str">
        <f t="shared" si="11"/>
        <v>建筑结构</v>
      </c>
      <c r="R34" s="1560" t="s">
        <v>8</v>
      </c>
      <c r="S34" s="1561">
        <f t="shared" si="12"/>
        <v>100</v>
      </c>
      <c r="T34" s="1560" t="s">
        <v>8</v>
      </c>
      <c r="U34" s="1561">
        <f t="shared" si="13"/>
        <v>100</v>
      </c>
      <c r="V34" s="1560" t="s">
        <v>8</v>
      </c>
      <c r="W34" s="1561">
        <f t="shared" si="14"/>
        <v>100</v>
      </c>
      <c r="X34" s="1554"/>
      <c r="Y34" s="337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8"/>
      <c r="Q35" s="1559" t="str">
        <f t="shared" si="11"/>
        <v>公共部分装修</v>
      </c>
      <c r="R35" s="1560" t="s">
        <v>8</v>
      </c>
      <c r="S35" s="1561">
        <f t="shared" si="12"/>
        <v>100</v>
      </c>
      <c r="T35" s="1560" t="s">
        <v>8</v>
      </c>
      <c r="U35" s="1561">
        <f t="shared" si="13"/>
        <v>100</v>
      </c>
      <c r="V35" s="1560" t="s">
        <v>8</v>
      </c>
      <c r="W35" s="1561">
        <f t="shared" si="14"/>
        <v>100</v>
      </c>
      <c r="X35" s="1554"/>
      <c r="Y35" s="337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8"/>
      <c r="Q36" s="1559" t="str">
        <f t="shared" si="11"/>
        <v>成新度</v>
      </c>
      <c r="R36" s="1560" t="s">
        <v>8</v>
      </c>
      <c r="S36" s="1561" t="e">
        <f t="shared" si="12"/>
        <v>#N/A</v>
      </c>
      <c r="T36" s="1560" t="s">
        <v>8</v>
      </c>
      <c r="U36" s="1561" t="e">
        <f t="shared" si="13"/>
        <v>#N/A</v>
      </c>
      <c r="V36" s="1560" t="s">
        <v>8</v>
      </c>
      <c r="W36" s="1561" t="e">
        <f t="shared" si="14"/>
        <v>#N/A</v>
      </c>
      <c r="X36" s="1554"/>
      <c r="Y36" s="337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8"/>
      <c r="Q37" s="1147" t="str">
        <f t="shared" si="11"/>
        <v>市政基础设施</v>
      </c>
      <c r="R37" s="1555" t="s">
        <v>8</v>
      </c>
      <c r="S37" s="1556">
        <f t="shared" si="12"/>
        <v>100</v>
      </c>
      <c r="T37" s="1555" t="s">
        <v>8</v>
      </c>
      <c r="U37" s="1556">
        <f t="shared" si="13"/>
        <v>100</v>
      </c>
      <c r="V37" s="1555" t="s">
        <v>8</v>
      </c>
      <c r="W37" s="1556">
        <f t="shared" si="14"/>
        <v>100</v>
      </c>
      <c r="X37" s="1557"/>
      <c r="Y37" s="337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8" t="s">
        <v>766</v>
      </c>
      <c r="Q38" s="1559" t="str">
        <f t="shared" si="11"/>
        <v>业态</v>
      </c>
      <c r="R38" s="1560" t="s">
        <v>8</v>
      </c>
      <c r="S38" s="1561">
        <f t="shared" si="12"/>
        <v>100</v>
      </c>
      <c r="T38" s="1560" t="s">
        <v>8</v>
      </c>
      <c r="U38" s="1561">
        <f t="shared" si="13"/>
        <v>100</v>
      </c>
      <c r="V38" s="1560" t="s">
        <v>8</v>
      </c>
      <c r="W38" s="1561">
        <f t="shared" si="14"/>
        <v>100</v>
      </c>
      <c r="X38" s="1554"/>
      <c r="Y38" s="337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8"/>
      <c r="Q39" s="1559" t="str">
        <f t="shared" si="11"/>
        <v>层高</v>
      </c>
      <c r="R39" s="1560" t="s">
        <v>8</v>
      </c>
      <c r="S39" s="1561">
        <f t="shared" si="12"/>
        <v>100</v>
      </c>
      <c r="T39" s="1560" t="s">
        <v>8</v>
      </c>
      <c r="U39" s="1561">
        <f t="shared" si="13"/>
        <v>100</v>
      </c>
      <c r="V39" s="1560" t="s">
        <v>8</v>
      </c>
      <c r="W39" s="1561">
        <f t="shared" si="14"/>
        <v>100</v>
      </c>
      <c r="X39" s="1554"/>
      <c r="Y39" s="337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8"/>
      <c r="Q40" s="1559" t="str">
        <f t="shared" si="11"/>
        <v>单套建筑面积</v>
      </c>
      <c r="R40" s="1560" t="s">
        <v>8</v>
      </c>
      <c r="S40" s="1561">
        <f t="shared" si="12"/>
        <v>100</v>
      </c>
      <c r="T40" s="1560" t="s">
        <v>8</v>
      </c>
      <c r="U40" s="1561">
        <f t="shared" si="13"/>
        <v>100</v>
      </c>
      <c r="V40" s="1560" t="s">
        <v>8</v>
      </c>
      <c r="W40" s="1561">
        <f t="shared" si="14"/>
        <v>100</v>
      </c>
      <c r="X40" s="1554"/>
      <c r="Y40" s="337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8"/>
      <c r="Q41" s="1591" t="str">
        <f t="shared" si="11"/>
        <v>进深比</v>
      </c>
      <c r="R41" s="1564" t="s">
        <v>8</v>
      </c>
      <c r="S41" s="1565">
        <f t="shared" si="12"/>
        <v>100</v>
      </c>
      <c r="T41" s="1564" t="s">
        <v>8</v>
      </c>
      <c r="U41" s="1565">
        <f t="shared" si="13"/>
        <v>100</v>
      </c>
      <c r="V41" s="1564" t="s">
        <v>8</v>
      </c>
      <c r="W41" s="1565">
        <f t="shared" si="14"/>
        <v>100</v>
      </c>
      <c r="X41" s="1566"/>
      <c r="Y41" s="337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8"/>
      <c r="Q42" s="1559" t="str">
        <f t="shared" si="11"/>
        <v>内部装修</v>
      </c>
      <c r="R42" s="1560" t="s">
        <v>8</v>
      </c>
      <c r="S42" s="1561">
        <f t="shared" si="12"/>
        <v>100</v>
      </c>
      <c r="T42" s="1560" t="s">
        <v>8</v>
      </c>
      <c r="U42" s="1561">
        <f t="shared" si="13"/>
        <v>100</v>
      </c>
      <c r="V42" s="1560" t="s">
        <v>8</v>
      </c>
      <c r="W42" s="1561">
        <f t="shared" si="14"/>
        <v>100</v>
      </c>
      <c r="X42" s="1554"/>
      <c r="Y42" s="3378"/>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8"/>
      <c r="Q43" s="1559" t="str">
        <f t="shared" si="11"/>
        <v>内部装修维护情况</v>
      </c>
      <c r="R43" s="1560" t="s">
        <v>8</v>
      </c>
      <c r="S43" s="1561">
        <f t="shared" si="12"/>
        <v>100</v>
      </c>
      <c r="T43" s="1560" t="s">
        <v>8</v>
      </c>
      <c r="U43" s="1561">
        <f t="shared" si="13"/>
        <v>100</v>
      </c>
      <c r="V43" s="1560" t="s">
        <v>8</v>
      </c>
      <c r="W43" s="1561">
        <f t="shared" si="14"/>
        <v>100</v>
      </c>
      <c r="X43" s="1554"/>
      <c r="Y43" s="337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8"/>
      <c r="Q44" s="1147">
        <f t="shared" si="11"/>
        <v>111</v>
      </c>
      <c r="R44" s="1555" t="s">
        <v>8</v>
      </c>
      <c r="S44" s="1556">
        <f t="shared" si="12"/>
        <v>100</v>
      </c>
      <c r="T44" s="1555" t="s">
        <v>8</v>
      </c>
      <c r="U44" s="1556">
        <f t="shared" si="13"/>
        <v>100</v>
      </c>
      <c r="V44" s="1555" t="s">
        <v>8</v>
      </c>
      <c r="W44" s="1556">
        <f t="shared" si="14"/>
        <v>100</v>
      </c>
      <c r="X44" s="1557"/>
      <c r="Y44" s="337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8"/>
      <c r="Q45" s="1559">
        <f t="shared" si="11"/>
        <v>111</v>
      </c>
      <c r="R45" s="1560" t="s">
        <v>8</v>
      </c>
      <c r="S45" s="1561">
        <f t="shared" si="12"/>
        <v>100</v>
      </c>
      <c r="T45" s="1560" t="s">
        <v>8</v>
      </c>
      <c r="U45" s="1561">
        <f t="shared" si="13"/>
        <v>100</v>
      </c>
      <c r="V45" s="1560" t="s">
        <v>8</v>
      </c>
      <c r="W45" s="1561">
        <f t="shared" si="14"/>
        <v>100</v>
      </c>
      <c r="X45" s="1554"/>
      <c r="Y45" s="3378"/>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0"/>
      <c r="Q46" s="1559">
        <f t="shared" si="11"/>
        <v>111</v>
      </c>
      <c r="R46" s="1560" t="s">
        <v>8</v>
      </c>
      <c r="S46" s="1561">
        <f t="shared" si="12"/>
        <v>100</v>
      </c>
      <c r="T46" s="1560" t="s">
        <v>8</v>
      </c>
      <c r="U46" s="1561">
        <f t="shared" si="13"/>
        <v>100</v>
      </c>
      <c r="V46" s="1560" t="s">
        <v>8</v>
      </c>
      <c r="W46" s="1561">
        <f t="shared" si="14"/>
        <v>100</v>
      </c>
      <c r="X46" s="1554"/>
      <c r="Y46" s="3480"/>
      <c r="Z46" s="1562">
        <f t="shared" si="15"/>
        <v>111</v>
      </c>
      <c r="AA46" s="1563">
        <f t="shared" si="3"/>
        <v>1</v>
      </c>
      <c r="AB46" s="1563">
        <f t="shared" si="4"/>
        <v>1</v>
      </c>
      <c r="AC46" s="1563">
        <f t="shared" si="5"/>
        <v>1</v>
      </c>
    </row>
    <row r="47" spans="1:29" ht="14.4">
      <c r="A47" s="607" t="s">
        <v>736</v>
      </c>
      <c r="B47" s="887"/>
      <c r="C47" s="2591" t="s">
        <v>1</v>
      </c>
      <c r="D47" s="2592"/>
      <c r="E47" s="2593"/>
      <c r="F47" s="2594"/>
      <c r="G47" s="2595"/>
      <c r="H47" s="2596"/>
      <c r="I47" s="2593"/>
      <c r="J47" s="2596"/>
      <c r="K47" s="1597"/>
      <c r="L47" s="2130"/>
      <c r="M47" s="2131"/>
      <c r="N47" s="2120"/>
      <c r="O47" s="2131"/>
      <c r="P47" s="3373" t="str">
        <f>A47</f>
        <v>成交单价（元/平方米）</v>
      </c>
      <c r="Q47" s="3373"/>
      <c r="R47" s="3479">
        <f>E47</f>
        <v>0</v>
      </c>
      <c r="S47" s="3479"/>
      <c r="T47" s="3479">
        <f>G47</f>
        <v>0</v>
      </c>
      <c r="U47" s="3479"/>
      <c r="V47" s="3479">
        <f>I47</f>
        <v>0</v>
      </c>
      <c r="W47" s="3479"/>
      <c r="X47" s="1546"/>
      <c r="Y47" s="1568"/>
      <c r="Z47" s="1546"/>
      <c r="AA47" s="1546"/>
      <c r="AB47" s="1546"/>
      <c r="AC47" s="1546"/>
    </row>
    <row r="48" spans="1:29" ht="15" thickBot="1">
      <c r="A48" s="615" t="s">
        <v>2760</v>
      </c>
      <c r="B48" s="888"/>
      <c r="C48" s="2597" t="e">
        <f>R49</f>
        <v>#DIV/0!</v>
      </c>
      <c r="D48" s="2598"/>
      <c r="E48" s="2599" t="e">
        <f>R48</f>
        <v>#DIV/0!</v>
      </c>
      <c r="F48" s="2599"/>
      <c r="G48" s="2597" t="e">
        <f>T48</f>
        <v>#DIV/0!</v>
      </c>
      <c r="H48" s="2598"/>
      <c r="I48" s="2599" t="e">
        <f>V48</f>
        <v>#DIV/0!</v>
      </c>
      <c r="J48" s="2598"/>
      <c r="K48" s="1598"/>
      <c r="L48" s="2130"/>
      <c r="M48" s="2131"/>
      <c r="N48" s="2120"/>
      <c r="O48" s="2131"/>
      <c r="P48" s="3373" t="str">
        <f>A48</f>
        <v>比较价格（元/平方米）</v>
      </c>
      <c r="Q48" s="3373"/>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6"/>
      <c r="Y48" s="1546"/>
      <c r="Z48" s="1546"/>
      <c r="AA48" s="1546"/>
      <c r="AB48" s="1546"/>
      <c r="AC48" s="1546"/>
    </row>
    <row r="49" spans="1:29" ht="15" thickBot="1">
      <c r="A49" s="621" t="s">
        <v>2937</v>
      </c>
      <c r="B49" s="622"/>
      <c r="C49" s="2600" t="e">
        <f>R49</f>
        <v>#DIV/0!</v>
      </c>
      <c r="D49" s="2600"/>
      <c r="E49" s="2600"/>
      <c r="F49" s="2600"/>
      <c r="G49" s="2600"/>
      <c r="H49" s="2600"/>
      <c r="I49" s="2600"/>
      <c r="J49" s="2600"/>
      <c r="K49" s="1599"/>
      <c r="L49" s="2130"/>
      <c r="M49" s="2131"/>
      <c r="N49" s="2120"/>
      <c r="O49" s="2131"/>
      <c r="P49" s="3394" t="str">
        <f>A49</f>
        <v>估价对象XX用房的比较价格（楼面单价，元/平方米）</v>
      </c>
      <c r="Q49" s="3395"/>
      <c r="R49" s="3478" t="e">
        <f>IF(F1="售价",ROUND(AVERAGE(R48:V48),0),ROUND(AVERAGE(R48:V48),1))</f>
        <v>#DIV/0!</v>
      </c>
      <c r="S49" s="3478"/>
      <c r="T49" s="3478"/>
      <c r="U49" s="3478"/>
      <c r="V49" s="3478"/>
      <c r="W49" s="347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7" t="str">
        <f>YEAR(C7)&amp;"-"&amp;MONTH(C7)</f>
        <v>2019-7</v>
      </c>
      <c r="D58" s="2759">
        <f>EDATE(C58,-1)</f>
        <v>43617</v>
      </c>
      <c r="E58" s="2759">
        <f t="shared" ref="E58:O58" si="16">EDATE(D58,-1)</f>
        <v>43586</v>
      </c>
      <c r="F58" s="2759">
        <f t="shared" si="16"/>
        <v>43556</v>
      </c>
      <c r="G58" s="2759">
        <f t="shared" si="16"/>
        <v>43525</v>
      </c>
      <c r="H58" s="2759">
        <f t="shared" si="16"/>
        <v>43497</v>
      </c>
      <c r="I58" s="2759">
        <f t="shared" si="16"/>
        <v>43466</v>
      </c>
      <c r="J58" s="2759">
        <f t="shared" si="16"/>
        <v>43435</v>
      </c>
      <c r="K58" s="2759">
        <f t="shared" si="16"/>
        <v>43405</v>
      </c>
      <c r="L58" s="2759">
        <f t="shared" si="16"/>
        <v>43374</v>
      </c>
      <c r="M58" s="2759">
        <f t="shared" si="16"/>
        <v>43344</v>
      </c>
      <c r="N58" s="2759">
        <f t="shared" si="16"/>
        <v>43313</v>
      </c>
      <c r="O58" s="2759">
        <f t="shared" si="16"/>
        <v>43282</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1" t="s">
        <v>2558</v>
      </c>
      <c r="C82" s="2562" t="s">
        <v>2559</v>
      </c>
      <c r="D82" s="2562" t="s">
        <v>2560</v>
      </c>
      <c r="E82" s="2562" t="s">
        <v>2561</v>
      </c>
      <c r="F82" s="2562" t="s">
        <v>2562</v>
      </c>
      <c r="G82" s="2562" t="s">
        <v>2563</v>
      </c>
      <c r="H82" s="674"/>
      <c r="I82" s="674"/>
      <c r="J82" s="674"/>
      <c r="K82" s="674"/>
      <c r="L82" s="674"/>
      <c r="M82" s="2565"/>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79" t="s">
        <v>522</v>
      </c>
      <c r="D4" s="3380"/>
      <c r="E4" s="3403" t="s">
        <v>523</v>
      </c>
      <c r="F4" s="3404"/>
      <c r="G4" s="3379" t="s">
        <v>524</v>
      </c>
      <c r="H4" s="3380"/>
      <c r="I4" s="3379" t="s">
        <v>525</v>
      </c>
      <c r="J4" s="3380"/>
      <c r="K4" s="514" t="s">
        <v>526</v>
      </c>
      <c r="L4" s="2119"/>
      <c r="M4" s="2120"/>
      <c r="N4" s="2120"/>
      <c r="O4" s="2120"/>
      <c r="P4" s="3481" t="s">
        <v>527</v>
      </c>
      <c r="Q4" s="3382"/>
      <c r="R4" s="3367" t="s">
        <v>523</v>
      </c>
      <c r="S4" s="3368"/>
      <c r="T4" s="3367" t="s">
        <v>524</v>
      </c>
      <c r="U4" s="3368"/>
      <c r="V4" s="3387" t="s">
        <v>525</v>
      </c>
      <c r="W4" s="3387"/>
      <c r="X4" s="1554"/>
      <c r="Y4" s="3367" t="s">
        <v>527</v>
      </c>
      <c r="Z4" s="3368"/>
      <c r="AA4" s="3362" t="s">
        <v>523</v>
      </c>
      <c r="AB4" s="3362" t="s">
        <v>524</v>
      </c>
      <c r="AC4" s="3362" t="s">
        <v>525</v>
      </c>
    </row>
    <row r="5" spans="1:29">
      <c r="A5" s="515"/>
      <c r="B5" s="516"/>
      <c r="C5" s="3390" t="s">
        <v>2931</v>
      </c>
      <c r="D5" s="3391"/>
      <c r="E5" s="3405" t="s">
        <v>2932</v>
      </c>
      <c r="F5" s="3406"/>
      <c r="G5" s="3390" t="s">
        <v>2933</v>
      </c>
      <c r="H5" s="3391"/>
      <c r="I5" s="3390" t="s">
        <v>2934</v>
      </c>
      <c r="J5" s="3391"/>
      <c r="K5" s="514"/>
      <c r="L5" s="2119"/>
      <c r="M5" s="2120"/>
      <c r="N5" s="2120"/>
      <c r="O5" s="2120"/>
      <c r="P5" s="3482"/>
      <c r="Q5" s="3384"/>
      <c r="R5" s="3369"/>
      <c r="S5" s="3370"/>
      <c r="T5" s="3369"/>
      <c r="U5" s="3370"/>
      <c r="V5" s="3387"/>
      <c r="W5" s="3387"/>
      <c r="X5" s="1554"/>
      <c r="Y5" s="3369"/>
      <c r="Z5" s="3370"/>
      <c r="AA5" s="3363"/>
      <c r="AB5" s="3363"/>
      <c r="AC5" s="3363"/>
    </row>
    <row r="6" spans="1:29" ht="15" thickBot="1">
      <c r="A6" s="517"/>
      <c r="B6" s="518"/>
      <c r="C6" s="3388" t="s">
        <v>2935</v>
      </c>
      <c r="D6" s="3389"/>
      <c r="E6" s="3407" t="s">
        <v>2935</v>
      </c>
      <c r="F6" s="3408"/>
      <c r="G6" s="3388" t="s">
        <v>2935</v>
      </c>
      <c r="H6" s="3389"/>
      <c r="I6" s="3388" t="s">
        <v>2935</v>
      </c>
      <c r="J6" s="3389"/>
      <c r="K6" s="514" t="s">
        <v>528</v>
      </c>
      <c r="L6" s="2119"/>
      <c r="M6" s="2120"/>
      <c r="N6" s="2120"/>
      <c r="O6" s="2120"/>
      <c r="P6" s="3483"/>
      <c r="Q6" s="3386"/>
      <c r="R6" s="3369"/>
      <c r="S6" s="3370"/>
      <c r="T6" s="3371"/>
      <c r="U6" s="3372"/>
      <c r="V6" s="3387"/>
      <c r="W6" s="3387"/>
      <c r="X6" s="1554"/>
      <c r="Y6" s="3371"/>
      <c r="Z6" s="3372"/>
      <c r="AA6" s="3364"/>
      <c r="AB6" s="3364"/>
      <c r="AC6" s="3364"/>
    </row>
    <row r="7" spans="1:29" s="1216" customFormat="1" ht="15" thickBot="1">
      <c r="A7" s="2867"/>
      <c r="B7" s="2874" t="s">
        <v>529</v>
      </c>
      <c r="C7" s="519">
        <f>'数据-取费表'!B2</f>
        <v>43676</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4"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4" t="s">
        <v>533</v>
      </c>
      <c r="Q8" s="3366"/>
      <c r="R8" s="1555" t="s">
        <v>8</v>
      </c>
      <c r="S8" s="1556">
        <f t="shared" si="0"/>
        <v>0</v>
      </c>
      <c r="T8" s="1555" t="s">
        <v>8</v>
      </c>
      <c r="U8" s="1556">
        <f t="shared" si="1"/>
        <v>0</v>
      </c>
      <c r="V8" s="1555" t="s">
        <v>8</v>
      </c>
      <c r="W8" s="1556">
        <f t="shared" si="2"/>
        <v>0</v>
      </c>
      <c r="X8" s="1557"/>
      <c r="Y8" s="3365" t="s">
        <v>533</v>
      </c>
      <c r="Z8" s="3366"/>
      <c r="AA8" s="1558" t="e">
        <f t="shared" ref="AA8:AA47" si="3">D8/F8</f>
        <v>#DIV/0!</v>
      </c>
      <c r="AB8" s="1558" t="e">
        <f t="shared" ref="AB8:AB47" si="4">D8/H8</f>
        <v>#DIV/0!</v>
      </c>
      <c r="AC8" s="1558" t="e">
        <f t="shared" ref="AC8:AC47" si="5">D8/J8</f>
        <v>#DIV/0!</v>
      </c>
    </row>
    <row r="9" spans="1:29" s="1216" customFormat="1" ht="14.4">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8.8">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82.8">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5" t="s">
        <v>540</v>
      </c>
      <c r="Q15" s="1559" t="str">
        <f t="shared" si="6"/>
        <v>办公集聚程度</v>
      </c>
      <c r="R15" s="1560" t="s">
        <v>8</v>
      </c>
      <c r="S15" s="1561">
        <f t="shared" si="0"/>
        <v>100</v>
      </c>
      <c r="T15" s="1560" t="s">
        <v>8</v>
      </c>
      <c r="U15" s="1561">
        <f t="shared" si="1"/>
        <v>100</v>
      </c>
      <c r="V15" s="1560" t="s">
        <v>8</v>
      </c>
      <c r="W15" s="1561">
        <f t="shared" si="2"/>
        <v>100</v>
      </c>
      <c r="X15" s="1554"/>
      <c r="Y15" s="337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6"/>
      <c r="Q16" s="1559"/>
      <c r="R16" s="1560"/>
      <c r="S16" s="1561"/>
      <c r="T16" s="1560"/>
      <c r="U16" s="1561"/>
      <c r="V16" s="1560"/>
      <c r="W16" s="1561"/>
      <c r="X16" s="1554"/>
      <c r="Y16" s="3376"/>
      <c r="Z16" s="1562"/>
      <c r="AA16" s="1563">
        <v>1</v>
      </c>
      <c r="AB16" s="1563">
        <v>1</v>
      </c>
      <c r="AC16" s="1563">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6"/>
      <c r="Q18" s="1559"/>
      <c r="R18" s="1560"/>
      <c r="S18" s="1561"/>
      <c r="T18" s="1560"/>
      <c r="U18" s="1561"/>
      <c r="V18" s="1560"/>
      <c r="W18" s="1561"/>
      <c r="X18" s="1554"/>
      <c r="Y18" s="3376"/>
      <c r="Z18" s="1562"/>
      <c r="AA18" s="1563">
        <v>1</v>
      </c>
      <c r="AB18" s="1563">
        <v>1</v>
      </c>
      <c r="AC18" s="1563">
        <v>1</v>
      </c>
    </row>
    <row r="19" spans="1:29" ht="41.4">
      <c r="A19" s="532"/>
      <c r="B19" s="2567"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6"/>
      <c r="Q20" s="1559"/>
      <c r="R20" s="1560"/>
      <c r="S20" s="1561"/>
      <c r="T20" s="1560"/>
      <c r="U20" s="1561"/>
      <c r="V20" s="1560"/>
      <c r="W20" s="1561"/>
      <c r="X20" s="1554"/>
      <c r="Y20" s="3376"/>
      <c r="Z20" s="1562"/>
      <c r="AA20" s="1563">
        <v>1</v>
      </c>
      <c r="AB20" s="1563">
        <v>1</v>
      </c>
      <c r="AC20" s="1563">
        <v>1</v>
      </c>
    </row>
    <row r="21" spans="1:29" ht="41.4">
      <c r="A21" s="532"/>
      <c r="B21" s="2555"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6"/>
      <c r="Q21" s="2543" t="str">
        <f>B21</f>
        <v>基础设施水平</v>
      </c>
      <c r="R21" s="1560" t="s">
        <v>8</v>
      </c>
      <c r="S21" s="1561">
        <f>F21</f>
        <v>100</v>
      </c>
      <c r="T21" s="1560" t="s">
        <v>8</v>
      </c>
      <c r="U21" s="1561">
        <f>H21</f>
        <v>100</v>
      </c>
      <c r="V21" s="1560" t="s">
        <v>8</v>
      </c>
      <c r="W21" s="1561">
        <f>J21</f>
        <v>100</v>
      </c>
      <c r="X21" s="2545"/>
      <c r="Y21" s="3376"/>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8"/>
      <c r="M22" s="2120"/>
      <c r="N22" s="2120"/>
      <c r="O22" s="2120"/>
      <c r="P22" s="3376"/>
      <c r="Q22" s="2543"/>
      <c r="R22" s="1560"/>
      <c r="S22" s="1561"/>
      <c r="T22" s="1560"/>
      <c r="U22" s="1561"/>
      <c r="V22" s="1560"/>
      <c r="W22" s="1561"/>
      <c r="X22" s="2545"/>
      <c r="Y22" s="3376"/>
      <c r="Z22" s="2544"/>
      <c r="AA22" s="1563">
        <v>1</v>
      </c>
      <c r="AB22" s="1563">
        <v>1</v>
      </c>
      <c r="AC22" s="1563">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6"/>
      <c r="Q23" s="1559" t="str">
        <f>B23</f>
        <v>环境质量</v>
      </c>
      <c r="R23" s="1560" t="s">
        <v>8</v>
      </c>
      <c r="S23" s="1561">
        <f>F23</f>
        <v>100</v>
      </c>
      <c r="T23" s="1560" t="s">
        <v>8</v>
      </c>
      <c r="U23" s="1561">
        <f>H23</f>
        <v>100</v>
      </c>
      <c r="V23" s="1560" t="s">
        <v>8</v>
      </c>
      <c r="W23" s="1561">
        <f>J23</f>
        <v>100</v>
      </c>
      <c r="X23" s="1554"/>
      <c r="Y23" s="337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6"/>
      <c r="Q24" s="1559"/>
      <c r="R24" s="1560"/>
      <c r="S24" s="1561"/>
      <c r="T24" s="1560"/>
      <c r="U24" s="1561"/>
      <c r="V24" s="1560"/>
      <c r="W24" s="1561"/>
      <c r="X24" s="1554"/>
      <c r="Y24" s="3376"/>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6"/>
      <c r="Q25" s="1559" t="str">
        <f>B25</f>
        <v>毗邻道路的类型与等级</v>
      </c>
      <c r="R25" s="1560" t="s">
        <v>8</v>
      </c>
      <c r="S25" s="1561">
        <f>F25</f>
        <v>100</v>
      </c>
      <c r="T25" s="1560" t="s">
        <v>8</v>
      </c>
      <c r="U25" s="1561">
        <f>H25</f>
        <v>100</v>
      </c>
      <c r="V25" s="1560" t="s">
        <v>8</v>
      </c>
      <c r="W25" s="1561">
        <f>J25</f>
        <v>100</v>
      </c>
      <c r="X25" s="1554"/>
      <c r="Y25" s="337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6"/>
      <c r="Q26" s="1559"/>
      <c r="R26" s="1560"/>
      <c r="S26" s="1561"/>
      <c r="T26" s="1560"/>
      <c r="U26" s="1561"/>
      <c r="V26" s="1560"/>
      <c r="W26" s="1561"/>
      <c r="X26" s="1554"/>
      <c r="Y26" s="337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6"/>
      <c r="Q27" s="1559" t="str">
        <f t="shared" ref="Q27:Q47" si="11">B27</f>
        <v>楼层</v>
      </c>
      <c r="R27" s="1560" t="s">
        <v>8</v>
      </c>
      <c r="S27" s="1561">
        <f>F27</f>
        <v>100</v>
      </c>
      <c r="T27" s="1560" t="s">
        <v>8</v>
      </c>
      <c r="U27" s="1561">
        <f>H27</f>
        <v>100</v>
      </c>
      <c r="V27" s="1560" t="s">
        <v>8</v>
      </c>
      <c r="W27" s="1561">
        <f>J27</f>
        <v>100</v>
      </c>
      <c r="X27" s="1554"/>
      <c r="Y27" s="337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6"/>
      <c r="Q28" s="1147" t="str">
        <f t="shared" si="11"/>
        <v>朝向</v>
      </c>
      <c r="R28" s="1555" t="s">
        <v>8</v>
      </c>
      <c r="S28" s="1556">
        <f>F28</f>
        <v>100</v>
      </c>
      <c r="T28" s="1555" t="s">
        <v>8</v>
      </c>
      <c r="U28" s="1556">
        <f>H28</f>
        <v>100</v>
      </c>
      <c r="V28" s="1555" t="s">
        <v>8</v>
      </c>
      <c r="W28" s="1556">
        <f>J28</f>
        <v>100</v>
      </c>
      <c r="X28" s="1557"/>
      <c r="Y28" s="337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6"/>
      <c r="Q29" s="1559">
        <f t="shared" si="11"/>
        <v>111</v>
      </c>
      <c r="R29" s="1560" t="s">
        <v>8</v>
      </c>
      <c r="S29" s="1561">
        <f t="shared" ref="S29:S47" si="12">F29</f>
        <v>100</v>
      </c>
      <c r="T29" s="1560" t="s">
        <v>8</v>
      </c>
      <c r="U29" s="1561">
        <f t="shared" ref="U29:U47" si="13">H29</f>
        <v>100</v>
      </c>
      <c r="V29" s="1560" t="s">
        <v>8</v>
      </c>
      <c r="W29" s="1561">
        <f t="shared" ref="W29:W47" si="14">J29</f>
        <v>100</v>
      </c>
      <c r="X29" s="1554"/>
      <c r="Y29" s="337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6"/>
      <c r="Q30" s="1559">
        <f t="shared" si="11"/>
        <v>111</v>
      </c>
      <c r="R30" s="1560" t="s">
        <v>8</v>
      </c>
      <c r="S30" s="1561">
        <f t="shared" si="12"/>
        <v>100</v>
      </c>
      <c r="T30" s="1560" t="s">
        <v>8</v>
      </c>
      <c r="U30" s="1561">
        <f t="shared" si="13"/>
        <v>100</v>
      </c>
      <c r="V30" s="1560" t="s">
        <v>8</v>
      </c>
      <c r="W30" s="1561">
        <f t="shared" si="14"/>
        <v>100</v>
      </c>
      <c r="X30" s="1554"/>
      <c r="Y30" s="337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6"/>
      <c r="Q31" s="1559">
        <f t="shared" si="11"/>
        <v>111</v>
      </c>
      <c r="R31" s="1560" t="s">
        <v>8</v>
      </c>
      <c r="S31" s="1561">
        <f t="shared" si="12"/>
        <v>100</v>
      </c>
      <c r="T31" s="1560" t="s">
        <v>8</v>
      </c>
      <c r="U31" s="1561">
        <f t="shared" si="13"/>
        <v>100</v>
      </c>
      <c r="V31" s="1560" t="s">
        <v>8</v>
      </c>
      <c r="W31" s="1561">
        <f t="shared" si="14"/>
        <v>100</v>
      </c>
      <c r="X31" s="1554"/>
      <c r="Y31" s="3376"/>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6"/>
      <c r="Q32" s="1559">
        <f t="shared" si="11"/>
        <v>111</v>
      </c>
      <c r="R32" s="1560" t="s">
        <v>8</v>
      </c>
      <c r="S32" s="1561">
        <f t="shared" si="12"/>
        <v>100</v>
      </c>
      <c r="T32" s="1560" t="s">
        <v>8</v>
      </c>
      <c r="U32" s="1561">
        <f t="shared" si="13"/>
        <v>100</v>
      </c>
      <c r="V32" s="1560" t="s">
        <v>8</v>
      </c>
      <c r="W32" s="1561">
        <f t="shared" si="14"/>
        <v>100</v>
      </c>
      <c r="X32" s="1554"/>
      <c r="Y32" s="3376"/>
      <c r="Z32" s="1562">
        <f t="shared" si="15"/>
        <v>111</v>
      </c>
      <c r="AA32" s="1563">
        <f t="shared" si="3"/>
        <v>1</v>
      </c>
      <c r="AB32" s="1563">
        <f t="shared" si="4"/>
        <v>1</v>
      </c>
      <c r="AC32" s="1563">
        <f t="shared" si="5"/>
        <v>1</v>
      </c>
    </row>
    <row r="33" spans="1:29" ht="15">
      <c r="A33" s="2862"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7" t="s">
        <v>550</v>
      </c>
      <c r="Q33" s="1559" t="str">
        <f t="shared" si="11"/>
        <v>建筑类型</v>
      </c>
      <c r="R33" s="1560" t="s">
        <v>8</v>
      </c>
      <c r="S33" s="1561">
        <f t="shared" si="12"/>
        <v>100</v>
      </c>
      <c r="T33" s="1560" t="s">
        <v>8</v>
      </c>
      <c r="U33" s="1561">
        <f t="shared" si="13"/>
        <v>100</v>
      </c>
      <c r="V33" s="1560" t="s">
        <v>8</v>
      </c>
      <c r="W33" s="1561">
        <f t="shared" si="14"/>
        <v>100</v>
      </c>
      <c r="X33" s="1554"/>
      <c r="Y33" s="337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8"/>
      <c r="Q34" s="1591" t="str">
        <f t="shared" si="11"/>
        <v>项目建筑规模</v>
      </c>
      <c r="R34" s="1564" t="s">
        <v>8</v>
      </c>
      <c r="S34" s="1565" t="e">
        <f t="shared" si="12"/>
        <v>#N/A</v>
      </c>
      <c r="T34" s="1564" t="s">
        <v>8</v>
      </c>
      <c r="U34" s="1565" t="e">
        <f t="shared" si="13"/>
        <v>#N/A</v>
      </c>
      <c r="V34" s="1564" t="s">
        <v>8</v>
      </c>
      <c r="W34" s="1565" t="e">
        <f t="shared" si="14"/>
        <v>#N/A</v>
      </c>
      <c r="X34" s="1566"/>
      <c r="Y34" s="337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8"/>
      <c r="Q35" s="1559" t="str">
        <f t="shared" si="11"/>
        <v>建筑结构</v>
      </c>
      <c r="R35" s="1560" t="s">
        <v>8</v>
      </c>
      <c r="S35" s="1561">
        <f t="shared" si="12"/>
        <v>100</v>
      </c>
      <c r="T35" s="1560" t="s">
        <v>8</v>
      </c>
      <c r="U35" s="1561">
        <f t="shared" si="13"/>
        <v>100</v>
      </c>
      <c r="V35" s="1560" t="s">
        <v>8</v>
      </c>
      <c r="W35" s="1561">
        <f t="shared" si="14"/>
        <v>100</v>
      </c>
      <c r="X35" s="1554"/>
      <c r="Y35" s="337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8"/>
      <c r="Q36" s="1559" t="str">
        <f t="shared" si="11"/>
        <v>公共部分装修</v>
      </c>
      <c r="R36" s="1560" t="s">
        <v>8</v>
      </c>
      <c r="S36" s="1561">
        <f t="shared" si="12"/>
        <v>100</v>
      </c>
      <c r="T36" s="1560" t="s">
        <v>8</v>
      </c>
      <c r="U36" s="1561">
        <f t="shared" si="13"/>
        <v>100</v>
      </c>
      <c r="V36" s="1560" t="s">
        <v>8</v>
      </c>
      <c r="W36" s="1561">
        <f t="shared" si="14"/>
        <v>100</v>
      </c>
      <c r="X36" s="1554"/>
      <c r="Y36" s="337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8"/>
      <c r="Q37" s="1559" t="str">
        <f t="shared" si="11"/>
        <v>成新度</v>
      </c>
      <c r="R37" s="1560" t="s">
        <v>8</v>
      </c>
      <c r="S37" s="1561" t="e">
        <f t="shared" si="12"/>
        <v>#N/A</v>
      </c>
      <c r="T37" s="1560" t="s">
        <v>8</v>
      </c>
      <c r="U37" s="1561" t="e">
        <f t="shared" si="13"/>
        <v>#N/A</v>
      </c>
      <c r="V37" s="1560" t="s">
        <v>8</v>
      </c>
      <c r="W37" s="1561" t="e">
        <f t="shared" si="14"/>
        <v>#N/A</v>
      </c>
      <c r="X37" s="1554"/>
      <c r="Y37" s="337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8"/>
      <c r="Q38" s="1147" t="str">
        <f t="shared" si="11"/>
        <v>写字楼等级</v>
      </c>
      <c r="R38" s="1555" t="s">
        <v>8</v>
      </c>
      <c r="S38" s="1556">
        <f t="shared" si="12"/>
        <v>100</v>
      </c>
      <c r="T38" s="1555" t="s">
        <v>8</v>
      </c>
      <c r="U38" s="1556">
        <f t="shared" si="13"/>
        <v>100</v>
      </c>
      <c r="V38" s="1555" t="s">
        <v>8</v>
      </c>
      <c r="W38" s="1556">
        <f t="shared" si="14"/>
        <v>100</v>
      </c>
      <c r="X38" s="1557"/>
      <c r="Y38" s="337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8" t="s">
        <v>550</v>
      </c>
      <c r="Q39" s="1559" t="str">
        <f t="shared" si="11"/>
        <v>物业管理</v>
      </c>
      <c r="R39" s="1560" t="s">
        <v>8</v>
      </c>
      <c r="S39" s="1561">
        <f t="shared" si="12"/>
        <v>100</v>
      </c>
      <c r="T39" s="1560" t="s">
        <v>8</v>
      </c>
      <c r="U39" s="1561">
        <f t="shared" si="13"/>
        <v>100</v>
      </c>
      <c r="V39" s="1560" t="s">
        <v>8</v>
      </c>
      <c r="W39" s="1561">
        <f t="shared" si="14"/>
        <v>100</v>
      </c>
      <c r="X39" s="1554"/>
      <c r="Y39" s="337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8"/>
      <c r="Q40" s="1559" t="str">
        <f t="shared" si="11"/>
        <v>市政基础设施</v>
      </c>
      <c r="R40" s="1560" t="s">
        <v>8</v>
      </c>
      <c r="S40" s="1561">
        <f t="shared" si="12"/>
        <v>100</v>
      </c>
      <c r="T40" s="1560" t="s">
        <v>8</v>
      </c>
      <c r="U40" s="1561">
        <f t="shared" si="13"/>
        <v>100</v>
      </c>
      <c r="V40" s="1560" t="s">
        <v>8</v>
      </c>
      <c r="W40" s="1561">
        <f t="shared" si="14"/>
        <v>100</v>
      </c>
      <c r="X40" s="1554"/>
      <c r="Y40" s="337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8"/>
      <c r="Q41" s="1559" t="str">
        <f t="shared" si="11"/>
        <v>层高</v>
      </c>
      <c r="R41" s="1560" t="s">
        <v>8</v>
      </c>
      <c r="S41" s="1561">
        <f t="shared" si="12"/>
        <v>100</v>
      </c>
      <c r="T41" s="1560" t="s">
        <v>8</v>
      </c>
      <c r="U41" s="1561">
        <f t="shared" si="13"/>
        <v>100</v>
      </c>
      <c r="V41" s="1560" t="s">
        <v>8</v>
      </c>
      <c r="W41" s="1561">
        <f t="shared" si="14"/>
        <v>100</v>
      </c>
      <c r="X41" s="1554"/>
      <c r="Y41" s="337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8"/>
      <c r="Q42" s="1591" t="str">
        <f t="shared" si="11"/>
        <v>单套建筑面积</v>
      </c>
      <c r="R42" s="1564" t="s">
        <v>8</v>
      </c>
      <c r="S42" s="1565">
        <f t="shared" si="12"/>
        <v>100</v>
      </c>
      <c r="T42" s="1564" t="s">
        <v>8</v>
      </c>
      <c r="U42" s="1565">
        <f t="shared" si="13"/>
        <v>100</v>
      </c>
      <c r="V42" s="1564" t="s">
        <v>8</v>
      </c>
      <c r="W42" s="1565">
        <f t="shared" si="14"/>
        <v>100</v>
      </c>
      <c r="X42" s="1566"/>
      <c r="Y42" s="337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8"/>
      <c r="Q43" s="1559" t="str">
        <f t="shared" si="11"/>
        <v>内部装修</v>
      </c>
      <c r="R43" s="1560" t="s">
        <v>8</v>
      </c>
      <c r="S43" s="1561">
        <f t="shared" si="12"/>
        <v>100</v>
      </c>
      <c r="T43" s="1560" t="s">
        <v>8</v>
      </c>
      <c r="U43" s="1561">
        <f t="shared" si="13"/>
        <v>100</v>
      </c>
      <c r="V43" s="1560" t="s">
        <v>8</v>
      </c>
      <c r="W43" s="1561">
        <f t="shared" si="14"/>
        <v>100</v>
      </c>
      <c r="X43" s="1554"/>
      <c r="Y43" s="3378"/>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8"/>
      <c r="Q44" s="1559" t="str">
        <f t="shared" si="11"/>
        <v>内部装修维护情况</v>
      </c>
      <c r="R44" s="1560" t="s">
        <v>8</v>
      </c>
      <c r="S44" s="1561">
        <f t="shared" si="12"/>
        <v>100</v>
      </c>
      <c r="T44" s="1560" t="s">
        <v>8</v>
      </c>
      <c r="U44" s="1561">
        <f t="shared" si="13"/>
        <v>100</v>
      </c>
      <c r="V44" s="1560" t="s">
        <v>8</v>
      </c>
      <c r="W44" s="1561">
        <f t="shared" si="14"/>
        <v>100</v>
      </c>
      <c r="X44" s="1554"/>
      <c r="Y44" s="337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8"/>
      <c r="Q45" s="1147">
        <f t="shared" si="11"/>
        <v>111</v>
      </c>
      <c r="R45" s="1555" t="s">
        <v>8</v>
      </c>
      <c r="S45" s="1556">
        <f t="shared" si="12"/>
        <v>100</v>
      </c>
      <c r="T45" s="1555" t="s">
        <v>8</v>
      </c>
      <c r="U45" s="1556">
        <f t="shared" si="13"/>
        <v>100</v>
      </c>
      <c r="V45" s="1555" t="s">
        <v>8</v>
      </c>
      <c r="W45" s="1556">
        <f t="shared" si="14"/>
        <v>100</v>
      </c>
      <c r="X45" s="1557"/>
      <c r="Y45" s="337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8"/>
      <c r="Q46" s="1559">
        <f t="shared" si="11"/>
        <v>111</v>
      </c>
      <c r="R46" s="1560" t="s">
        <v>8</v>
      </c>
      <c r="S46" s="1561">
        <f t="shared" si="12"/>
        <v>100</v>
      </c>
      <c r="T46" s="1560" t="s">
        <v>8</v>
      </c>
      <c r="U46" s="1561">
        <f t="shared" si="13"/>
        <v>100</v>
      </c>
      <c r="V46" s="1560" t="s">
        <v>8</v>
      </c>
      <c r="W46" s="1561">
        <f t="shared" si="14"/>
        <v>100</v>
      </c>
      <c r="X46" s="1554"/>
      <c r="Y46" s="3378"/>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0"/>
      <c r="Q47" s="1559">
        <f t="shared" si="11"/>
        <v>111</v>
      </c>
      <c r="R47" s="1560" t="s">
        <v>8</v>
      </c>
      <c r="S47" s="1561">
        <f t="shared" si="12"/>
        <v>100</v>
      </c>
      <c r="T47" s="1560" t="s">
        <v>8</v>
      </c>
      <c r="U47" s="1561">
        <f t="shared" si="13"/>
        <v>100</v>
      </c>
      <c r="V47" s="1560" t="s">
        <v>8</v>
      </c>
      <c r="W47" s="1561">
        <f t="shared" si="14"/>
        <v>100</v>
      </c>
      <c r="X47" s="1554"/>
      <c r="Y47" s="3480"/>
      <c r="Z47" s="1562">
        <f t="shared" si="15"/>
        <v>111</v>
      </c>
      <c r="AA47" s="1563">
        <f t="shared" si="3"/>
        <v>1</v>
      </c>
      <c r="AB47" s="1563">
        <f t="shared" si="4"/>
        <v>1</v>
      </c>
      <c r="AC47" s="1563">
        <f t="shared" si="5"/>
        <v>1</v>
      </c>
    </row>
    <row r="48" spans="1:29" ht="14.4">
      <c r="A48" s="607" t="s">
        <v>736</v>
      </c>
      <c r="B48" s="887"/>
      <c r="C48" s="2591" t="s">
        <v>1</v>
      </c>
      <c r="D48" s="2592"/>
      <c r="E48" s="2593"/>
      <c r="F48" s="2594"/>
      <c r="G48" s="2595"/>
      <c r="H48" s="2596"/>
      <c r="I48" s="2593"/>
      <c r="J48" s="2596"/>
      <c r="K48" s="1597"/>
      <c r="L48" s="2130"/>
      <c r="M48" s="2120"/>
      <c r="N48" s="2120"/>
      <c r="O48" s="2120"/>
      <c r="P48" s="3395" t="str">
        <f>A48</f>
        <v>成交单价（元/平方米）</v>
      </c>
      <c r="Q48" s="3373"/>
      <c r="R48" s="3479">
        <f>E48</f>
        <v>0</v>
      </c>
      <c r="S48" s="3479"/>
      <c r="T48" s="3479">
        <f>G48</f>
        <v>0</v>
      </c>
      <c r="U48" s="3479"/>
      <c r="V48" s="3479">
        <f>I48</f>
        <v>0</v>
      </c>
      <c r="W48" s="3479"/>
      <c r="X48" s="1546"/>
      <c r="Y48" s="1568"/>
      <c r="Z48" s="1546"/>
      <c r="AA48" s="1546"/>
      <c r="AB48" s="1546"/>
      <c r="AC48" s="1546"/>
    </row>
    <row r="49" spans="1:29" ht="15" thickBot="1">
      <c r="A49" s="615" t="s">
        <v>2760</v>
      </c>
      <c r="B49" s="888"/>
      <c r="C49" s="2597" t="e">
        <f>R50</f>
        <v>#DIV/0!</v>
      </c>
      <c r="D49" s="2598"/>
      <c r="E49" s="2599" t="e">
        <f>R49</f>
        <v>#DIV/0!</v>
      </c>
      <c r="F49" s="2599"/>
      <c r="G49" s="2597" t="e">
        <f>T49</f>
        <v>#DIV/0!</v>
      </c>
      <c r="H49" s="2598"/>
      <c r="I49" s="2599" t="e">
        <f>V49</f>
        <v>#DIV/0!</v>
      </c>
      <c r="J49" s="2598"/>
      <c r="K49" s="1598"/>
      <c r="L49" s="2130"/>
      <c r="M49" s="2120"/>
      <c r="N49" s="2120"/>
      <c r="O49" s="2120"/>
      <c r="P49" s="3395" t="str">
        <f>A49</f>
        <v>比较价格（元/平方米）</v>
      </c>
      <c r="Q49" s="3373"/>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6"/>
      <c r="Y49" s="1546"/>
      <c r="Z49" s="1546"/>
      <c r="AA49" s="1546"/>
      <c r="AB49" s="1546"/>
      <c r="AC49" s="1546"/>
    </row>
    <row r="50" spans="1:29" ht="15" thickBot="1">
      <c r="A50" s="621" t="s">
        <v>2937</v>
      </c>
      <c r="B50" s="622"/>
      <c r="C50" s="2600" t="e">
        <f>R50</f>
        <v>#DIV/0!</v>
      </c>
      <c r="D50" s="2600"/>
      <c r="E50" s="2600"/>
      <c r="F50" s="2600"/>
      <c r="G50" s="2600"/>
      <c r="H50" s="2600"/>
      <c r="I50" s="2600"/>
      <c r="J50" s="2600"/>
      <c r="K50" s="1599"/>
      <c r="L50" s="2130"/>
      <c r="M50" s="2120"/>
      <c r="N50" s="2120"/>
      <c r="O50" s="2120"/>
      <c r="P50" s="3484" t="str">
        <f>A50</f>
        <v>估价对象XX用房的比较价格（楼面单价，元/平方米）</v>
      </c>
      <c r="Q50" s="3395"/>
      <c r="R50" s="3478" t="e">
        <f>IF(F1="售价",ROUND(AVERAGE(R49:V49),0),ROUND(AVERAGE(R49:V49),1))</f>
        <v>#DIV/0!</v>
      </c>
      <c r="S50" s="3478"/>
      <c r="T50" s="3478"/>
      <c r="U50" s="3478"/>
      <c r="V50" s="3478"/>
      <c r="W50" s="347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7" t="str">
        <f>YEAR(C7)&amp;"-"&amp;MONTH(C7)</f>
        <v>2019-7</v>
      </c>
      <c r="D59" s="2759">
        <f>EDATE(C59,-1)</f>
        <v>43617</v>
      </c>
      <c r="E59" s="2759">
        <f t="shared" ref="E59:O59" si="16">EDATE(D59,-1)</f>
        <v>43586</v>
      </c>
      <c r="F59" s="2759">
        <f t="shared" si="16"/>
        <v>43556</v>
      </c>
      <c r="G59" s="2759">
        <f t="shared" si="16"/>
        <v>43525</v>
      </c>
      <c r="H59" s="2759">
        <f t="shared" si="16"/>
        <v>43497</v>
      </c>
      <c r="I59" s="2759">
        <f t="shared" si="16"/>
        <v>43466</v>
      </c>
      <c r="J59" s="2759">
        <f t="shared" si="16"/>
        <v>43435</v>
      </c>
      <c r="K59" s="2759">
        <f t="shared" si="16"/>
        <v>43405</v>
      </c>
      <c r="L59" s="2759">
        <f t="shared" si="16"/>
        <v>43374</v>
      </c>
      <c r="M59" s="2759">
        <f t="shared" si="16"/>
        <v>43344</v>
      </c>
      <c r="N59" s="2759">
        <f t="shared" si="16"/>
        <v>43313</v>
      </c>
      <c r="O59" s="2759">
        <f t="shared" si="16"/>
        <v>43282</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1" t="s">
        <v>2558</v>
      </c>
      <c r="C83" s="2562" t="s">
        <v>2559</v>
      </c>
      <c r="D83" s="2562" t="s">
        <v>2560</v>
      </c>
      <c r="E83" s="2562" t="s">
        <v>2561</v>
      </c>
      <c r="F83" s="2562" t="s">
        <v>2562</v>
      </c>
      <c r="G83" s="2562" t="s">
        <v>2563</v>
      </c>
      <c r="H83" s="674"/>
      <c r="I83" s="674"/>
      <c r="J83" s="674"/>
      <c r="K83" s="674"/>
      <c r="L83" s="674"/>
      <c r="M83" s="2565"/>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79" t="s">
        <v>522</v>
      </c>
      <c r="D4" s="3380"/>
      <c r="E4" s="3403" t="s">
        <v>523</v>
      </c>
      <c r="F4" s="3404"/>
      <c r="G4" s="3379" t="s">
        <v>524</v>
      </c>
      <c r="H4" s="3380"/>
      <c r="I4" s="3379" t="s">
        <v>525</v>
      </c>
      <c r="J4" s="3380"/>
      <c r="K4" s="514" t="s">
        <v>526</v>
      </c>
      <c r="L4" s="2119"/>
      <c r="M4" s="2120"/>
      <c r="N4" s="2120"/>
      <c r="O4" s="2120"/>
      <c r="P4" s="3381" t="s">
        <v>527</v>
      </c>
      <c r="Q4" s="3382"/>
      <c r="R4" s="3367" t="s">
        <v>523</v>
      </c>
      <c r="S4" s="3368"/>
      <c r="T4" s="3367" t="s">
        <v>524</v>
      </c>
      <c r="U4" s="3368"/>
      <c r="V4" s="3387" t="s">
        <v>525</v>
      </c>
      <c r="W4" s="3387"/>
      <c r="X4" s="1554"/>
      <c r="Y4" s="3367" t="s">
        <v>527</v>
      </c>
      <c r="Z4" s="3368"/>
      <c r="AA4" s="3362" t="s">
        <v>523</v>
      </c>
      <c r="AB4" s="3363" t="s">
        <v>524</v>
      </c>
      <c r="AC4" s="3362" t="s">
        <v>525</v>
      </c>
    </row>
    <row r="5" spans="1:29">
      <c r="A5" s="515"/>
      <c r="B5" s="516"/>
      <c r="C5" s="3390" t="s">
        <v>2931</v>
      </c>
      <c r="D5" s="3391"/>
      <c r="E5" s="3405" t="s">
        <v>2932</v>
      </c>
      <c r="F5" s="3406"/>
      <c r="G5" s="3390" t="s">
        <v>2933</v>
      </c>
      <c r="H5" s="3391"/>
      <c r="I5" s="3390" t="s">
        <v>2934</v>
      </c>
      <c r="J5" s="3391"/>
      <c r="K5" s="514"/>
      <c r="L5" s="2119"/>
      <c r="M5" s="2120"/>
      <c r="N5" s="2120"/>
      <c r="O5" s="2120"/>
      <c r="P5" s="3383"/>
      <c r="Q5" s="3384"/>
      <c r="R5" s="3369"/>
      <c r="S5" s="3370"/>
      <c r="T5" s="3369"/>
      <c r="U5" s="3370"/>
      <c r="V5" s="3387"/>
      <c r="W5" s="3387"/>
      <c r="X5" s="1554"/>
      <c r="Y5" s="3369"/>
      <c r="Z5" s="3370"/>
      <c r="AA5" s="3363"/>
      <c r="AB5" s="3363"/>
      <c r="AC5" s="3363"/>
    </row>
    <row r="6" spans="1:29" ht="15" thickBot="1">
      <c r="A6" s="517"/>
      <c r="B6" s="518"/>
      <c r="C6" s="3388" t="s">
        <v>2935</v>
      </c>
      <c r="D6" s="3389"/>
      <c r="E6" s="3407" t="s">
        <v>2935</v>
      </c>
      <c r="F6" s="3408"/>
      <c r="G6" s="3388" t="s">
        <v>2935</v>
      </c>
      <c r="H6" s="3389"/>
      <c r="I6" s="3388" t="s">
        <v>2935</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5" thickBot="1">
      <c r="A7" s="2867"/>
      <c r="B7" s="2874" t="s">
        <v>529</v>
      </c>
      <c r="C7" s="519">
        <f>'数据-取费表'!B2</f>
        <v>43676</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5" t="s">
        <v>530</v>
      </c>
      <c r="Q7" s="3374"/>
      <c r="R7" s="1555" t="s">
        <v>8</v>
      </c>
      <c r="S7" s="1556">
        <f t="shared" ref="S7:S15" si="0">F7</f>
        <v>0</v>
      </c>
      <c r="T7" s="1555" t="s">
        <v>8</v>
      </c>
      <c r="U7" s="1556">
        <f t="shared" ref="U7:U15" si="1">H7</f>
        <v>0</v>
      </c>
      <c r="V7" s="1555" t="s">
        <v>8</v>
      </c>
      <c r="W7" s="1556">
        <f t="shared" ref="W7:W15" si="2">J7</f>
        <v>0</v>
      </c>
      <c r="X7" s="1557"/>
      <c r="Y7" s="3365" t="s">
        <v>530</v>
      </c>
      <c r="Z7" s="3366"/>
      <c r="AA7" s="1558" t="e">
        <f>D7/F7</f>
        <v>#DIV/0!</v>
      </c>
      <c r="AB7" s="1558" t="e">
        <f>D7/H7</f>
        <v>#DIV/0!</v>
      </c>
      <c r="AC7" s="1558" t="e">
        <f>D7/J7</f>
        <v>#DIV/0!</v>
      </c>
    </row>
    <row r="8" spans="1:29" s="1216"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40" si="3">D8/F8</f>
        <v>#DIV/0!</v>
      </c>
      <c r="AB8" s="1558" t="e">
        <f t="shared" ref="AB8:AB40" si="4">D8/H8</f>
        <v>#DIV/0!</v>
      </c>
      <c r="AC8" s="1558" t="e">
        <f t="shared" ref="AC8:AC40" si="5">D8/J8</f>
        <v>#DIV/0!</v>
      </c>
    </row>
    <row r="9" spans="1:29" s="1216" customFormat="1" ht="14.4">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3" t="s">
        <v>535</v>
      </c>
      <c r="Q9" s="1147" t="str">
        <f t="shared" ref="Q9:Q15" si="6">B9</f>
        <v>用途</v>
      </c>
      <c r="R9" s="1555" t="s">
        <v>8</v>
      </c>
      <c r="S9" s="1556">
        <f t="shared" si="0"/>
        <v>100</v>
      </c>
      <c r="T9" s="1555" t="s">
        <v>8</v>
      </c>
      <c r="U9" s="1556">
        <f t="shared" si="1"/>
        <v>100</v>
      </c>
      <c r="V9" s="1555" t="s">
        <v>8</v>
      </c>
      <c r="W9" s="1556">
        <f t="shared" si="2"/>
        <v>100</v>
      </c>
      <c r="X9" s="1557"/>
      <c r="Y9" s="3330" t="s">
        <v>536</v>
      </c>
      <c r="Z9" s="1146" t="str">
        <f t="shared" ref="Z9:Z15" si="7">Q9</f>
        <v>用途</v>
      </c>
      <c r="AA9" s="1558">
        <f t="shared" si="3"/>
        <v>1</v>
      </c>
      <c r="AB9" s="1558">
        <f t="shared" si="4"/>
        <v>1</v>
      </c>
      <c r="AC9" s="1558">
        <f t="shared" si="5"/>
        <v>1</v>
      </c>
    </row>
    <row r="10" spans="1:29" s="1334" customFormat="1" ht="28.8">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3"/>
      <c r="Q11" s="1147" t="str">
        <f t="shared" si="6"/>
        <v>容积率</v>
      </c>
      <c r="R11" s="1555" t="s">
        <v>8</v>
      </c>
      <c r="S11" s="1556" t="e">
        <f t="shared" si="0"/>
        <v>#N/A</v>
      </c>
      <c r="T11" s="1555" t="s">
        <v>8</v>
      </c>
      <c r="U11" s="1556" t="e">
        <f t="shared" si="1"/>
        <v>#N/A</v>
      </c>
      <c r="V11" s="1555" t="s">
        <v>8</v>
      </c>
      <c r="W11" s="1556" t="e">
        <f t="shared" si="2"/>
        <v>#N/A</v>
      </c>
      <c r="X11" s="1557"/>
      <c r="Y11" s="333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3"/>
      <c r="Q14" s="1147">
        <f t="shared" si="6"/>
        <v>111</v>
      </c>
      <c r="R14" s="1555" t="s">
        <v>8</v>
      </c>
      <c r="S14" s="1556">
        <f t="shared" si="0"/>
        <v>100</v>
      </c>
      <c r="T14" s="1555" t="s">
        <v>8</v>
      </c>
      <c r="U14" s="1556">
        <f t="shared" si="1"/>
        <v>100</v>
      </c>
      <c r="V14" s="1555" t="s">
        <v>8</v>
      </c>
      <c r="W14" s="1556">
        <f t="shared" si="2"/>
        <v>100</v>
      </c>
      <c r="X14" s="1557"/>
      <c r="Y14" s="3330"/>
      <c r="Z14" s="1146">
        <f t="shared" si="7"/>
        <v>111</v>
      </c>
      <c r="AA14" s="1558">
        <f t="shared" si="3"/>
        <v>1</v>
      </c>
      <c r="AB14" s="1558">
        <f t="shared" si="4"/>
        <v>1</v>
      </c>
      <c r="AC14" s="1558">
        <f t="shared" si="5"/>
        <v>1</v>
      </c>
    </row>
    <row r="15" spans="1:29" ht="69">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5" t="s">
        <v>540</v>
      </c>
      <c r="Q15" s="1559" t="str">
        <f t="shared" si="6"/>
        <v>产业集聚程度</v>
      </c>
      <c r="R15" s="1560" t="s">
        <v>8</v>
      </c>
      <c r="S15" s="1561">
        <f t="shared" si="0"/>
        <v>100</v>
      </c>
      <c r="T15" s="1560" t="s">
        <v>8</v>
      </c>
      <c r="U15" s="1561">
        <f t="shared" si="1"/>
        <v>100</v>
      </c>
      <c r="V15" s="1560" t="s">
        <v>8</v>
      </c>
      <c r="W15" s="1561">
        <f t="shared" si="2"/>
        <v>100</v>
      </c>
      <c r="X15" s="1554"/>
      <c r="Y15" s="337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6"/>
      <c r="Q16" s="1559"/>
      <c r="R16" s="1560"/>
      <c r="S16" s="1561"/>
      <c r="T16" s="1560"/>
      <c r="U16" s="1561"/>
      <c r="V16" s="1560"/>
      <c r="W16" s="1561"/>
      <c r="X16" s="1554"/>
      <c r="Y16" s="3376"/>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6"/>
      <c r="Q17" s="1559" t="str">
        <f>B17</f>
        <v>交通便捷度</v>
      </c>
      <c r="R17" s="1560" t="s">
        <v>8</v>
      </c>
      <c r="S17" s="1561">
        <f>F17</f>
        <v>100</v>
      </c>
      <c r="T17" s="1560" t="s">
        <v>8</v>
      </c>
      <c r="U17" s="1561">
        <f>H17</f>
        <v>100</v>
      </c>
      <c r="V17" s="1560" t="s">
        <v>8</v>
      </c>
      <c r="W17" s="1561">
        <f>J17</f>
        <v>100</v>
      </c>
      <c r="X17" s="1554"/>
      <c r="Y17" s="337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6"/>
      <c r="Q18" s="1559"/>
      <c r="R18" s="1560"/>
      <c r="S18" s="1561"/>
      <c r="T18" s="1560"/>
      <c r="U18" s="1561"/>
      <c r="V18" s="1560"/>
      <c r="W18" s="1561"/>
      <c r="X18" s="1554"/>
      <c r="Y18" s="3376"/>
      <c r="Z18" s="1562"/>
      <c r="AA18" s="1563">
        <v>1</v>
      </c>
      <c r="AB18" s="1563">
        <v>1</v>
      </c>
      <c r="AC18" s="1563">
        <v>1</v>
      </c>
    </row>
    <row r="19" spans="1:29" ht="41.4">
      <c r="A19" s="532"/>
      <c r="B19" s="2567"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6"/>
      <c r="Q19" s="1559" t="str">
        <f>B19</f>
        <v>公共配套设施</v>
      </c>
      <c r="R19" s="1560" t="s">
        <v>8</v>
      </c>
      <c r="S19" s="1561">
        <f>F19</f>
        <v>100</v>
      </c>
      <c r="T19" s="1560" t="s">
        <v>8</v>
      </c>
      <c r="U19" s="1561">
        <f>H19</f>
        <v>100</v>
      </c>
      <c r="V19" s="1560" t="s">
        <v>8</v>
      </c>
      <c r="W19" s="1561">
        <f>J19</f>
        <v>100</v>
      </c>
      <c r="X19" s="1554"/>
      <c r="Y19" s="337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6"/>
      <c r="Q20" s="1559"/>
      <c r="R20" s="1560"/>
      <c r="S20" s="1561"/>
      <c r="T20" s="1560"/>
      <c r="U20" s="1561"/>
      <c r="V20" s="1560"/>
      <c r="W20" s="1561"/>
      <c r="X20" s="1554"/>
      <c r="Y20" s="3376"/>
      <c r="Z20" s="1562"/>
      <c r="AA20" s="1563">
        <v>1</v>
      </c>
      <c r="AB20" s="1563">
        <v>1</v>
      </c>
      <c r="AC20" s="1563">
        <v>1</v>
      </c>
    </row>
    <row r="21" spans="1:29" ht="41.4">
      <c r="A21" s="532"/>
      <c r="B21" s="2555"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6"/>
      <c r="Q21" s="2543" t="str">
        <f>B21</f>
        <v>基础设施水平</v>
      </c>
      <c r="R21" s="1560" t="s">
        <v>8</v>
      </c>
      <c r="S21" s="1561">
        <f>F21</f>
        <v>100</v>
      </c>
      <c r="T21" s="1560" t="s">
        <v>8</v>
      </c>
      <c r="U21" s="1561">
        <f>H21</f>
        <v>100</v>
      </c>
      <c r="V21" s="1560" t="s">
        <v>8</v>
      </c>
      <c r="W21" s="1561">
        <f>J21</f>
        <v>100</v>
      </c>
      <c r="X21" s="2545"/>
      <c r="Y21" s="3376"/>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8"/>
      <c r="M22" s="2120"/>
      <c r="N22" s="2120"/>
      <c r="O22" s="2127"/>
      <c r="P22" s="3376"/>
      <c r="Q22" s="2543"/>
      <c r="R22" s="1560"/>
      <c r="S22" s="1561"/>
      <c r="T22" s="1560"/>
      <c r="U22" s="1561"/>
      <c r="V22" s="1560"/>
      <c r="W22" s="1561"/>
      <c r="X22" s="2545"/>
      <c r="Y22" s="3376"/>
      <c r="Z22" s="2544"/>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6"/>
      <c r="Q23" s="1559" t="str">
        <f>B23</f>
        <v>环境质量</v>
      </c>
      <c r="R23" s="1560" t="s">
        <v>8</v>
      </c>
      <c r="S23" s="1561">
        <f>F23</f>
        <v>100</v>
      </c>
      <c r="T23" s="1560" t="s">
        <v>8</v>
      </c>
      <c r="U23" s="1561">
        <f>H23</f>
        <v>100</v>
      </c>
      <c r="V23" s="1560" t="s">
        <v>8</v>
      </c>
      <c r="W23" s="1561">
        <f>J23</f>
        <v>100</v>
      </c>
      <c r="X23" s="1554"/>
      <c r="Y23" s="337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6"/>
      <c r="Q24" s="1559"/>
      <c r="R24" s="1560"/>
      <c r="S24" s="1561"/>
      <c r="T24" s="1560"/>
      <c r="U24" s="1561"/>
      <c r="V24" s="1560"/>
      <c r="W24" s="1561"/>
      <c r="X24" s="1554"/>
      <c r="Y24" s="337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6"/>
      <c r="Q25" s="1559">
        <f>B25</f>
        <v>111</v>
      </c>
      <c r="R25" s="1560" t="s">
        <v>8</v>
      </c>
      <c r="S25" s="1561">
        <f>F25</f>
        <v>100</v>
      </c>
      <c r="T25" s="1560" t="s">
        <v>8</v>
      </c>
      <c r="U25" s="1561">
        <f>H25</f>
        <v>100</v>
      </c>
      <c r="V25" s="1560" t="s">
        <v>8</v>
      </c>
      <c r="W25" s="1561">
        <f>J25</f>
        <v>100</v>
      </c>
      <c r="X25" s="1554"/>
      <c r="Y25" s="337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6"/>
      <c r="Q26" s="1559">
        <f t="shared" ref="Q26:Q40" si="11">B26</f>
        <v>111</v>
      </c>
      <c r="R26" s="1560" t="s">
        <v>8</v>
      </c>
      <c r="S26" s="1561">
        <f>F26</f>
        <v>100</v>
      </c>
      <c r="T26" s="1560" t="s">
        <v>8</v>
      </c>
      <c r="U26" s="1561">
        <f>H26</f>
        <v>100</v>
      </c>
      <c r="V26" s="1560" t="s">
        <v>8</v>
      </c>
      <c r="W26" s="1561">
        <f>J26</f>
        <v>100</v>
      </c>
      <c r="X26" s="1554"/>
      <c r="Y26" s="337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6"/>
      <c r="Q27" s="1147">
        <f t="shared" si="11"/>
        <v>111</v>
      </c>
      <c r="R27" s="1555" t="s">
        <v>8</v>
      </c>
      <c r="S27" s="1556">
        <f>F27</f>
        <v>100</v>
      </c>
      <c r="T27" s="1555" t="s">
        <v>8</v>
      </c>
      <c r="U27" s="1556">
        <f>H27</f>
        <v>100</v>
      </c>
      <c r="V27" s="1555" t="s">
        <v>8</v>
      </c>
      <c r="W27" s="1556">
        <f>J27</f>
        <v>100</v>
      </c>
      <c r="X27" s="1557"/>
      <c r="Y27" s="3376"/>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6"/>
      <c r="Q28" s="1559">
        <f t="shared" si="11"/>
        <v>111</v>
      </c>
      <c r="R28" s="1560" t="s">
        <v>8</v>
      </c>
      <c r="S28" s="1561">
        <f t="shared" ref="S28:S40" si="12">F28</f>
        <v>100</v>
      </c>
      <c r="T28" s="1560" t="s">
        <v>8</v>
      </c>
      <c r="U28" s="1561">
        <f t="shared" ref="U28:U40" si="13">H28</f>
        <v>100</v>
      </c>
      <c r="V28" s="1560" t="s">
        <v>8</v>
      </c>
      <c r="W28" s="1561">
        <f t="shared" ref="W28:W40" si="14">J28</f>
        <v>100</v>
      </c>
      <c r="X28" s="1554"/>
      <c r="Y28" s="3376"/>
      <c r="Z28" s="1562">
        <f t="shared" ref="Z28:Z40" si="15">Q28</f>
        <v>111</v>
      </c>
      <c r="AA28" s="1563">
        <f t="shared" si="3"/>
        <v>1</v>
      </c>
      <c r="AB28" s="1563">
        <f t="shared" si="4"/>
        <v>1</v>
      </c>
      <c r="AC28" s="1563">
        <f t="shared" si="5"/>
        <v>1</v>
      </c>
    </row>
    <row r="29" spans="1:29" ht="15">
      <c r="A29" s="2862"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7" t="s">
        <v>550</v>
      </c>
      <c r="Q29" s="1559" t="str">
        <f t="shared" si="11"/>
        <v>建筑类型</v>
      </c>
      <c r="R29" s="1560" t="s">
        <v>8</v>
      </c>
      <c r="S29" s="1561">
        <f t="shared" si="12"/>
        <v>100</v>
      </c>
      <c r="T29" s="1560" t="s">
        <v>8</v>
      </c>
      <c r="U29" s="1561">
        <f t="shared" si="13"/>
        <v>100</v>
      </c>
      <c r="V29" s="1560" t="s">
        <v>8</v>
      </c>
      <c r="W29" s="1561">
        <f t="shared" si="14"/>
        <v>100</v>
      </c>
      <c r="X29" s="1554"/>
      <c r="Y29" s="337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8"/>
      <c r="Q30" s="1591" t="str">
        <f t="shared" si="11"/>
        <v>项目建筑规模</v>
      </c>
      <c r="R30" s="1564" t="s">
        <v>8</v>
      </c>
      <c r="S30" s="1565" t="e">
        <f t="shared" si="12"/>
        <v>#N/A</v>
      </c>
      <c r="T30" s="1564" t="s">
        <v>8</v>
      </c>
      <c r="U30" s="1565" t="e">
        <f t="shared" si="13"/>
        <v>#N/A</v>
      </c>
      <c r="V30" s="1564" t="s">
        <v>8</v>
      </c>
      <c r="W30" s="1565" t="e">
        <f t="shared" si="14"/>
        <v>#N/A</v>
      </c>
      <c r="X30" s="1566"/>
      <c r="Y30" s="337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8"/>
      <c r="Q31" s="1559" t="str">
        <f t="shared" si="11"/>
        <v>建筑结构</v>
      </c>
      <c r="R31" s="1560" t="s">
        <v>8</v>
      </c>
      <c r="S31" s="1561">
        <f t="shared" si="12"/>
        <v>100</v>
      </c>
      <c r="T31" s="1560" t="s">
        <v>8</v>
      </c>
      <c r="U31" s="1561">
        <f t="shared" si="13"/>
        <v>100</v>
      </c>
      <c r="V31" s="1560" t="s">
        <v>8</v>
      </c>
      <c r="W31" s="1561">
        <f t="shared" si="14"/>
        <v>100</v>
      </c>
      <c r="X31" s="1554"/>
      <c r="Y31" s="337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8"/>
      <c r="Q32" s="1559" t="str">
        <f t="shared" si="11"/>
        <v>公共部分装修</v>
      </c>
      <c r="R32" s="1560" t="s">
        <v>8</v>
      </c>
      <c r="S32" s="1561">
        <f t="shared" si="12"/>
        <v>100</v>
      </c>
      <c r="T32" s="1560" t="s">
        <v>8</v>
      </c>
      <c r="U32" s="1561">
        <f t="shared" si="13"/>
        <v>100</v>
      </c>
      <c r="V32" s="1560" t="s">
        <v>8</v>
      </c>
      <c r="W32" s="1561">
        <f t="shared" si="14"/>
        <v>100</v>
      </c>
      <c r="X32" s="1554"/>
      <c r="Y32" s="337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8"/>
      <c r="Q33" s="1559" t="str">
        <f t="shared" si="11"/>
        <v>成新度</v>
      </c>
      <c r="R33" s="1560" t="s">
        <v>8</v>
      </c>
      <c r="S33" s="1561" t="e">
        <f t="shared" si="12"/>
        <v>#N/A</v>
      </c>
      <c r="T33" s="1560" t="s">
        <v>8</v>
      </c>
      <c r="U33" s="1561" t="e">
        <f t="shared" si="13"/>
        <v>#N/A</v>
      </c>
      <c r="V33" s="1560" t="s">
        <v>8</v>
      </c>
      <c r="W33" s="1561" t="e">
        <f t="shared" si="14"/>
        <v>#N/A</v>
      </c>
      <c r="X33" s="1554"/>
      <c r="Y33" s="337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8"/>
      <c r="Q34" s="1147" t="str">
        <f t="shared" si="11"/>
        <v>物业管理</v>
      </c>
      <c r="R34" s="1555" t="s">
        <v>8</v>
      </c>
      <c r="S34" s="1556">
        <f t="shared" si="12"/>
        <v>100</v>
      </c>
      <c r="T34" s="1555" t="s">
        <v>8</v>
      </c>
      <c r="U34" s="1556">
        <f t="shared" si="13"/>
        <v>100</v>
      </c>
      <c r="V34" s="1555" t="s">
        <v>8</v>
      </c>
      <c r="W34" s="1556">
        <f t="shared" si="14"/>
        <v>100</v>
      </c>
      <c r="X34" s="1557"/>
      <c r="Y34" s="337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8" t="s">
        <v>550</v>
      </c>
      <c r="Q35" s="1559" t="str">
        <f t="shared" si="11"/>
        <v>市政基础设施</v>
      </c>
      <c r="R35" s="1560" t="s">
        <v>8</v>
      </c>
      <c r="S35" s="1561">
        <f t="shared" si="12"/>
        <v>100</v>
      </c>
      <c r="T35" s="1560" t="s">
        <v>8</v>
      </c>
      <c r="U35" s="1561">
        <f t="shared" si="13"/>
        <v>100</v>
      </c>
      <c r="V35" s="1560" t="s">
        <v>8</v>
      </c>
      <c r="W35" s="1561">
        <f t="shared" si="14"/>
        <v>100</v>
      </c>
      <c r="X35" s="1554"/>
      <c r="Y35" s="337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8"/>
      <c r="Q36" s="1559" t="str">
        <f t="shared" si="11"/>
        <v>内部装修</v>
      </c>
      <c r="R36" s="1560" t="s">
        <v>8</v>
      </c>
      <c r="S36" s="1561">
        <f t="shared" si="12"/>
        <v>100</v>
      </c>
      <c r="T36" s="1560" t="s">
        <v>8</v>
      </c>
      <c r="U36" s="1561">
        <f t="shared" si="13"/>
        <v>100</v>
      </c>
      <c r="V36" s="1560" t="s">
        <v>8</v>
      </c>
      <c r="W36" s="1561">
        <f t="shared" si="14"/>
        <v>100</v>
      </c>
      <c r="X36" s="1554"/>
      <c r="Y36" s="337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8"/>
      <c r="Q37" s="1559" t="str">
        <f t="shared" si="11"/>
        <v>内部装修状况</v>
      </c>
      <c r="R37" s="1560" t="s">
        <v>8</v>
      </c>
      <c r="S37" s="1561">
        <f t="shared" si="12"/>
        <v>100</v>
      </c>
      <c r="T37" s="1560" t="s">
        <v>8</v>
      </c>
      <c r="U37" s="1561">
        <f t="shared" si="13"/>
        <v>100</v>
      </c>
      <c r="V37" s="1560" t="s">
        <v>8</v>
      </c>
      <c r="W37" s="1561">
        <f t="shared" si="14"/>
        <v>100</v>
      </c>
      <c r="X37" s="1554"/>
      <c r="Y37" s="337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8"/>
      <c r="Q38" s="1591">
        <f t="shared" si="11"/>
        <v>111</v>
      </c>
      <c r="R38" s="1564" t="s">
        <v>8</v>
      </c>
      <c r="S38" s="1565">
        <f t="shared" si="12"/>
        <v>100</v>
      </c>
      <c r="T38" s="1564" t="s">
        <v>8</v>
      </c>
      <c r="U38" s="1565">
        <f t="shared" si="13"/>
        <v>100</v>
      </c>
      <c r="V38" s="1564" t="s">
        <v>8</v>
      </c>
      <c r="W38" s="1565">
        <f t="shared" si="14"/>
        <v>100</v>
      </c>
      <c r="X38" s="1566"/>
      <c r="Y38" s="337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8"/>
      <c r="Q39" s="1559">
        <f t="shared" si="11"/>
        <v>111</v>
      </c>
      <c r="R39" s="1560" t="s">
        <v>8</v>
      </c>
      <c r="S39" s="1561">
        <f t="shared" si="12"/>
        <v>100</v>
      </c>
      <c r="T39" s="1560" t="s">
        <v>8</v>
      </c>
      <c r="U39" s="1561">
        <f t="shared" si="13"/>
        <v>100</v>
      </c>
      <c r="V39" s="1560" t="s">
        <v>8</v>
      </c>
      <c r="W39" s="1561">
        <f t="shared" si="14"/>
        <v>100</v>
      </c>
      <c r="X39" s="1554"/>
      <c r="Y39" s="3378"/>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0"/>
      <c r="Q40" s="1559">
        <f t="shared" si="11"/>
        <v>111</v>
      </c>
      <c r="R40" s="1560" t="s">
        <v>8</v>
      </c>
      <c r="S40" s="1561">
        <f t="shared" si="12"/>
        <v>100</v>
      </c>
      <c r="T40" s="1560" t="s">
        <v>8</v>
      </c>
      <c r="U40" s="1561">
        <f t="shared" si="13"/>
        <v>100</v>
      </c>
      <c r="V40" s="1560" t="s">
        <v>8</v>
      </c>
      <c r="W40" s="1561">
        <f t="shared" si="14"/>
        <v>100</v>
      </c>
      <c r="X40" s="1554"/>
      <c r="Y40" s="3480"/>
      <c r="Z40" s="1562">
        <f t="shared" si="15"/>
        <v>111</v>
      </c>
      <c r="AA40" s="1563">
        <f t="shared" si="3"/>
        <v>1</v>
      </c>
      <c r="AB40" s="1563">
        <f t="shared" si="4"/>
        <v>1</v>
      </c>
      <c r="AC40" s="1563">
        <f t="shared" si="5"/>
        <v>1</v>
      </c>
    </row>
    <row r="41" spans="1:29" ht="14.4">
      <c r="A41" s="607" t="s">
        <v>736</v>
      </c>
      <c r="B41" s="887"/>
      <c r="C41" s="2591" t="s">
        <v>1</v>
      </c>
      <c r="D41" s="2592"/>
      <c r="E41" s="2593"/>
      <c r="F41" s="2594"/>
      <c r="G41" s="2595"/>
      <c r="H41" s="2596"/>
      <c r="I41" s="2593"/>
      <c r="J41" s="2596"/>
      <c r="K41" s="1597"/>
      <c r="L41" s="2130"/>
      <c r="M41" s="2131"/>
      <c r="N41" s="2120"/>
      <c r="O41" s="2131"/>
      <c r="P41" s="3373" t="str">
        <f>A41</f>
        <v>成交单价（元/平方米）</v>
      </c>
      <c r="Q41" s="3373"/>
      <c r="R41" s="3479">
        <f>E41</f>
        <v>0</v>
      </c>
      <c r="S41" s="3479"/>
      <c r="T41" s="3479">
        <f>G41</f>
        <v>0</v>
      </c>
      <c r="U41" s="3479"/>
      <c r="V41" s="3479">
        <f>I41</f>
        <v>0</v>
      </c>
      <c r="W41" s="3479"/>
      <c r="X41" s="1546"/>
      <c r="Y41" s="1568"/>
      <c r="Z41" s="1546"/>
      <c r="AA41" s="1546"/>
      <c r="AB41" s="1546"/>
      <c r="AC41" s="1546"/>
    </row>
    <row r="42" spans="1:29" ht="15" thickBot="1">
      <c r="A42" s="615" t="s">
        <v>2760</v>
      </c>
      <c r="B42" s="888"/>
      <c r="C42" s="2597" t="e">
        <f>R43</f>
        <v>#DIV/0!</v>
      </c>
      <c r="D42" s="2598"/>
      <c r="E42" s="2599" t="e">
        <f>R42</f>
        <v>#DIV/0!</v>
      </c>
      <c r="F42" s="2599"/>
      <c r="G42" s="2597" t="e">
        <f>T42</f>
        <v>#DIV/0!</v>
      </c>
      <c r="H42" s="2598"/>
      <c r="I42" s="2599" t="e">
        <f>V42</f>
        <v>#DIV/0!</v>
      </c>
      <c r="J42" s="2598"/>
      <c r="K42" s="1598"/>
      <c r="L42" s="2130"/>
      <c r="M42" s="2131"/>
      <c r="N42" s="2120"/>
      <c r="O42" s="2131"/>
      <c r="P42" s="3373" t="str">
        <f>A42</f>
        <v>比较价格（元/平方米）</v>
      </c>
      <c r="Q42" s="3373"/>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6"/>
      <c r="Y42" s="1546"/>
      <c r="Z42" s="1546"/>
      <c r="AA42" s="1546"/>
      <c r="AB42" s="1546"/>
      <c r="AC42" s="1546"/>
    </row>
    <row r="43" spans="1:29" ht="15" thickBot="1">
      <c r="A43" s="621" t="s">
        <v>2937</v>
      </c>
      <c r="B43" s="622"/>
      <c r="C43" s="2600" t="e">
        <f>R43</f>
        <v>#DIV/0!</v>
      </c>
      <c r="D43" s="2600"/>
      <c r="E43" s="2600"/>
      <c r="F43" s="2600"/>
      <c r="G43" s="2600"/>
      <c r="H43" s="2600"/>
      <c r="I43" s="2600"/>
      <c r="J43" s="2600"/>
      <c r="K43" s="1599"/>
      <c r="L43" s="2130"/>
      <c r="M43" s="2131"/>
      <c r="N43" s="2131"/>
      <c r="O43" s="2131"/>
      <c r="P43" s="3394" t="str">
        <f>A43</f>
        <v>估价对象XX用房的比较价格（楼面单价，元/平方米）</v>
      </c>
      <c r="Q43" s="3395"/>
      <c r="R43" s="3478" t="e">
        <f>IF(F1="售价",ROUND(AVERAGE(R42:V42),0),ROUND(AVERAGE(R42:V42),1))</f>
        <v>#DIV/0!</v>
      </c>
      <c r="S43" s="3478"/>
      <c r="T43" s="3478"/>
      <c r="U43" s="3478"/>
      <c r="V43" s="3478"/>
      <c r="W43" s="347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7" t="str">
        <f>YEAR(C7)&amp;"-"&amp;MONTH(C7)</f>
        <v>2019-7</v>
      </c>
      <c r="D52" s="2759">
        <f>EDATE(C52,-1)</f>
        <v>43617</v>
      </c>
      <c r="E52" s="2759">
        <f t="shared" ref="E52:O52" si="16">EDATE(D52,-1)</f>
        <v>43586</v>
      </c>
      <c r="F52" s="2759">
        <f t="shared" si="16"/>
        <v>43556</v>
      </c>
      <c r="G52" s="2759">
        <f t="shared" si="16"/>
        <v>43525</v>
      </c>
      <c r="H52" s="2759">
        <f t="shared" si="16"/>
        <v>43497</v>
      </c>
      <c r="I52" s="2759">
        <f t="shared" si="16"/>
        <v>43466</v>
      </c>
      <c r="J52" s="2759">
        <f t="shared" si="16"/>
        <v>43435</v>
      </c>
      <c r="K52" s="2759">
        <f t="shared" si="16"/>
        <v>43405</v>
      </c>
      <c r="L52" s="2759">
        <f t="shared" si="16"/>
        <v>43374</v>
      </c>
      <c r="M52" s="2759">
        <f t="shared" si="16"/>
        <v>43344</v>
      </c>
      <c r="N52" s="2759">
        <f t="shared" si="16"/>
        <v>43313</v>
      </c>
      <c r="O52" s="2759">
        <f t="shared" si="16"/>
        <v>43282</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1" t="s">
        <v>2558</v>
      </c>
      <c r="C76" s="2562" t="s">
        <v>2559</v>
      </c>
      <c r="D76" s="2562" t="s">
        <v>2560</v>
      </c>
      <c r="E76" s="2562" t="s">
        <v>2561</v>
      </c>
      <c r="F76" s="2562" t="s">
        <v>2562</v>
      </c>
      <c r="G76" s="2562"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9" t="s">
        <v>798</v>
      </c>
      <c r="D4" s="3380"/>
      <c r="E4" s="3379" t="s">
        <v>799</v>
      </c>
      <c r="F4" s="3380"/>
      <c r="G4" s="3379" t="s">
        <v>800</v>
      </c>
      <c r="H4" s="3380"/>
      <c r="I4" s="3379" t="s">
        <v>801</v>
      </c>
      <c r="J4" s="3380"/>
      <c r="K4" s="514" t="s">
        <v>802</v>
      </c>
      <c r="L4" s="2119"/>
      <c r="M4" s="2120"/>
      <c r="N4" s="2120"/>
      <c r="O4" s="2120"/>
      <c r="P4" s="3381" t="s">
        <v>803</v>
      </c>
      <c r="Q4" s="3382"/>
      <c r="R4" s="3367" t="s">
        <v>799</v>
      </c>
      <c r="S4" s="3368"/>
      <c r="T4" s="3367" t="s">
        <v>800</v>
      </c>
      <c r="U4" s="3368"/>
      <c r="V4" s="3387" t="s">
        <v>801</v>
      </c>
      <c r="W4" s="3387"/>
      <c r="X4" s="1554"/>
      <c r="Y4" s="3367" t="s">
        <v>803</v>
      </c>
      <c r="Z4" s="3368"/>
      <c r="AA4" s="3362" t="s">
        <v>799</v>
      </c>
      <c r="AB4" s="3363" t="s">
        <v>800</v>
      </c>
      <c r="AC4" s="3362" t="s">
        <v>801</v>
      </c>
    </row>
    <row r="5" spans="1:29">
      <c r="A5" s="515"/>
      <c r="B5" s="516"/>
      <c r="C5" s="3390" t="s">
        <v>2931</v>
      </c>
      <c r="D5" s="3391"/>
      <c r="E5" s="3390" t="s">
        <v>2932</v>
      </c>
      <c r="F5" s="3391"/>
      <c r="G5" s="3390" t="s">
        <v>2933</v>
      </c>
      <c r="H5" s="3391"/>
      <c r="I5" s="3390" t="s">
        <v>2934</v>
      </c>
      <c r="J5" s="3391"/>
      <c r="K5" s="514"/>
      <c r="L5" s="2119"/>
      <c r="M5" s="2120"/>
      <c r="N5" s="2120"/>
      <c r="O5" s="2120"/>
      <c r="P5" s="3383"/>
      <c r="Q5" s="3384"/>
      <c r="R5" s="3369"/>
      <c r="S5" s="3370"/>
      <c r="T5" s="3369"/>
      <c r="U5" s="3370"/>
      <c r="V5" s="3387"/>
      <c r="W5" s="3387"/>
      <c r="X5" s="1554"/>
      <c r="Y5" s="3369"/>
      <c r="Z5" s="3370"/>
      <c r="AA5" s="3363"/>
      <c r="AB5" s="3363"/>
      <c r="AC5" s="3363"/>
    </row>
    <row r="6" spans="1:29" ht="15" thickBot="1">
      <c r="A6" s="517"/>
      <c r="B6" s="518"/>
      <c r="C6" s="3388" t="s">
        <v>2935</v>
      </c>
      <c r="D6" s="3389"/>
      <c r="E6" s="3392" t="s">
        <v>2935</v>
      </c>
      <c r="F6" s="3393"/>
      <c r="G6" s="3388" t="s">
        <v>2935</v>
      </c>
      <c r="H6" s="3389"/>
      <c r="I6" s="3388" t="s">
        <v>2935</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5" thickBot="1">
      <c r="A7" s="2867"/>
      <c r="B7" s="2874" t="s">
        <v>529</v>
      </c>
      <c r="C7" s="519">
        <f>'数据-取费表'!B2</f>
        <v>43676</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5" t="s">
        <v>530</v>
      </c>
      <c r="Q7" s="3374"/>
      <c r="R7" s="1555" t="s">
        <v>8</v>
      </c>
      <c r="S7" s="1556">
        <f t="shared" ref="S7:S14" si="0">F7</f>
        <v>0</v>
      </c>
      <c r="T7" s="1555" t="s">
        <v>8</v>
      </c>
      <c r="U7" s="1556">
        <f t="shared" ref="U7:U14" si="1">H7</f>
        <v>0</v>
      </c>
      <c r="V7" s="1555" t="s">
        <v>8</v>
      </c>
      <c r="W7" s="1556">
        <f t="shared" ref="W7:W14" si="2">J7</f>
        <v>0</v>
      </c>
      <c r="X7" s="1557"/>
      <c r="Y7" s="3365" t="s">
        <v>530</v>
      </c>
      <c r="Z7" s="3366"/>
      <c r="AA7" s="1558" t="e">
        <f>D7/F7</f>
        <v>#DIV/0!</v>
      </c>
      <c r="AB7" s="1558" t="e">
        <f>D7/H7</f>
        <v>#DIV/0!</v>
      </c>
      <c r="AC7" s="1558" t="e">
        <f>D7/J7</f>
        <v>#DIV/0!</v>
      </c>
    </row>
    <row r="8" spans="1:29" s="1216"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36" si="3">D8/F8</f>
        <v>#DIV/0!</v>
      </c>
      <c r="AB8" s="1558" t="e">
        <f t="shared" ref="AB8:AB36" si="4">D8/H8</f>
        <v>#DIV/0!</v>
      </c>
      <c r="AC8" s="1558" t="e">
        <f t="shared" ref="AC8:AC36" si="5">D8/J8</f>
        <v>#DIV/0!</v>
      </c>
    </row>
    <row r="9" spans="1:29" s="1216" customFormat="1" ht="14.4">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3"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8.8">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3"/>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96.6">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5" t="s">
        <v>540</v>
      </c>
      <c r="Q14" s="1559" t="str">
        <f t="shared" si="6"/>
        <v>交通便捷度</v>
      </c>
      <c r="R14" s="1560" t="s">
        <v>8</v>
      </c>
      <c r="S14" s="1561">
        <f t="shared" si="0"/>
        <v>100</v>
      </c>
      <c r="T14" s="1560" t="s">
        <v>8</v>
      </c>
      <c r="U14" s="1561">
        <f t="shared" si="1"/>
        <v>100</v>
      </c>
      <c r="V14" s="1560" t="s">
        <v>8</v>
      </c>
      <c r="W14" s="1561">
        <f t="shared" si="2"/>
        <v>100</v>
      </c>
      <c r="X14" s="1554"/>
      <c r="Y14" s="337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6"/>
      <c r="Q15" s="1559"/>
      <c r="R15" s="1560"/>
      <c r="S15" s="1561"/>
      <c r="T15" s="1560"/>
      <c r="U15" s="1561"/>
      <c r="V15" s="1560"/>
      <c r="W15" s="1561"/>
      <c r="X15" s="1554"/>
      <c r="Y15" s="3376"/>
      <c r="Z15" s="1562"/>
      <c r="AA15" s="1563">
        <v>1</v>
      </c>
      <c r="AB15" s="1563">
        <v>1</v>
      </c>
      <c r="AC15" s="1563">
        <v>1</v>
      </c>
    </row>
    <row r="16" spans="1:29" ht="41.4">
      <c r="A16" s="515"/>
      <c r="B16" s="2567"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6"/>
      <c r="Q16" s="1559" t="str">
        <f>B16</f>
        <v>公共配套设施</v>
      </c>
      <c r="R16" s="1560" t="s">
        <v>8</v>
      </c>
      <c r="S16" s="1561">
        <f>F16</f>
        <v>100</v>
      </c>
      <c r="T16" s="1560" t="s">
        <v>8</v>
      </c>
      <c r="U16" s="1561">
        <f>H16</f>
        <v>100</v>
      </c>
      <c r="V16" s="1560" t="s">
        <v>8</v>
      </c>
      <c r="W16" s="1561">
        <f>J16</f>
        <v>100</v>
      </c>
      <c r="X16" s="1554"/>
      <c r="Y16" s="337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6"/>
      <c r="Q17" s="1559"/>
      <c r="R17" s="1560"/>
      <c r="S17" s="1561"/>
      <c r="T17" s="1560"/>
      <c r="U17" s="1561"/>
      <c r="V17" s="1560"/>
      <c r="W17" s="1561"/>
      <c r="X17" s="1554"/>
      <c r="Y17" s="3376"/>
      <c r="Z17" s="1562"/>
      <c r="AA17" s="1563">
        <v>1</v>
      </c>
      <c r="AB17" s="1563">
        <v>1</v>
      </c>
      <c r="AC17" s="1563">
        <v>1</v>
      </c>
    </row>
    <row r="18" spans="1:29" ht="41.4">
      <c r="A18" s="515"/>
      <c r="B18" s="2555"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6"/>
      <c r="Q18" s="2543" t="str">
        <f>B18</f>
        <v>基础设施水平</v>
      </c>
      <c r="R18" s="1560" t="s">
        <v>8</v>
      </c>
      <c r="S18" s="1561">
        <f>F18</f>
        <v>100</v>
      </c>
      <c r="T18" s="1560" t="s">
        <v>8</v>
      </c>
      <c r="U18" s="1561">
        <f>H18</f>
        <v>100</v>
      </c>
      <c r="V18" s="1560" t="s">
        <v>8</v>
      </c>
      <c r="W18" s="1561">
        <f>J18</f>
        <v>100</v>
      </c>
      <c r="X18" s="2545"/>
      <c r="Y18" s="3376"/>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8"/>
      <c r="M19" s="2120"/>
      <c r="N19" s="2120"/>
      <c r="O19" s="2127"/>
      <c r="P19" s="3376"/>
      <c r="Q19" s="2543"/>
      <c r="R19" s="1560"/>
      <c r="S19" s="1561"/>
      <c r="T19" s="1560"/>
      <c r="U19" s="1561"/>
      <c r="V19" s="1560"/>
      <c r="W19" s="1561"/>
      <c r="X19" s="2545"/>
      <c r="Y19" s="3376"/>
      <c r="Z19" s="2544"/>
      <c r="AA19" s="1563">
        <v>1</v>
      </c>
      <c r="AB19" s="1563">
        <v>1</v>
      </c>
      <c r="AC19" s="1563">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6"/>
      <c r="Q20" s="1559" t="str">
        <f>B20</f>
        <v>自然及人文环境</v>
      </c>
      <c r="R20" s="1560" t="s">
        <v>8</v>
      </c>
      <c r="S20" s="1561">
        <f>F20</f>
        <v>100</v>
      </c>
      <c r="T20" s="1560" t="s">
        <v>8</v>
      </c>
      <c r="U20" s="1561">
        <f>H20</f>
        <v>100</v>
      </c>
      <c r="V20" s="1560" t="s">
        <v>8</v>
      </c>
      <c r="W20" s="1561">
        <f>J20</f>
        <v>100</v>
      </c>
      <c r="X20" s="1554"/>
      <c r="Y20" s="337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6"/>
      <c r="Q21" s="1559"/>
      <c r="R21" s="1560"/>
      <c r="S21" s="1561"/>
      <c r="T21" s="1560"/>
      <c r="U21" s="1561"/>
      <c r="V21" s="1560"/>
      <c r="W21" s="1561"/>
      <c r="X21" s="1554"/>
      <c r="Y21" s="337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6"/>
      <c r="Q22" s="1559" t="str">
        <f>B22</f>
        <v>楼层</v>
      </c>
      <c r="R22" s="1560" t="s">
        <v>8</v>
      </c>
      <c r="S22" s="1561">
        <f>F22</f>
        <v>100</v>
      </c>
      <c r="T22" s="1560" t="s">
        <v>8</v>
      </c>
      <c r="U22" s="1561">
        <f>H22</f>
        <v>100</v>
      </c>
      <c r="V22" s="1560" t="s">
        <v>8</v>
      </c>
      <c r="W22" s="1561">
        <f>J22</f>
        <v>100</v>
      </c>
      <c r="X22" s="1554"/>
      <c r="Y22" s="337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6"/>
      <c r="Q23" s="1559">
        <f>B23</f>
        <v>111</v>
      </c>
      <c r="R23" s="1560" t="s">
        <v>8</v>
      </c>
      <c r="S23" s="1561">
        <f>F23</f>
        <v>100</v>
      </c>
      <c r="T23" s="1560" t="s">
        <v>8</v>
      </c>
      <c r="U23" s="1561">
        <f>H23</f>
        <v>100</v>
      </c>
      <c r="V23" s="1560" t="s">
        <v>8</v>
      </c>
      <c r="W23" s="1561">
        <f>J23</f>
        <v>100</v>
      </c>
      <c r="X23" s="1554"/>
      <c r="Y23" s="337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6"/>
      <c r="Q24" s="1559">
        <f t="shared" ref="Q24:Q36" si="11">B24</f>
        <v>111</v>
      </c>
      <c r="R24" s="1560" t="s">
        <v>8</v>
      </c>
      <c r="S24" s="1561">
        <f>F24</f>
        <v>100</v>
      </c>
      <c r="T24" s="1560" t="s">
        <v>8</v>
      </c>
      <c r="U24" s="1561">
        <f>H24</f>
        <v>100</v>
      </c>
      <c r="V24" s="1560" t="s">
        <v>8</v>
      </c>
      <c r="W24" s="1561">
        <f>J24</f>
        <v>100</v>
      </c>
      <c r="X24" s="1554"/>
      <c r="Y24" s="3376"/>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6"/>
      <c r="Q25" s="1147">
        <f t="shared" si="11"/>
        <v>111</v>
      </c>
      <c r="R25" s="1555" t="s">
        <v>8</v>
      </c>
      <c r="S25" s="1556">
        <f>F25</f>
        <v>100</v>
      </c>
      <c r="T25" s="1555" t="s">
        <v>8</v>
      </c>
      <c r="U25" s="1556">
        <f>H25</f>
        <v>100</v>
      </c>
      <c r="V25" s="1555" t="s">
        <v>8</v>
      </c>
      <c r="W25" s="1556">
        <f>J25</f>
        <v>100</v>
      </c>
      <c r="X25" s="1557"/>
      <c r="Y25" s="3376"/>
      <c r="Z25" s="1146">
        <f>Q25</f>
        <v>111</v>
      </c>
      <c r="AA25" s="1563">
        <f>D25/F25</f>
        <v>1</v>
      </c>
      <c r="AB25" s="1563">
        <f>D25/H25</f>
        <v>1</v>
      </c>
      <c r="AC25" s="1563">
        <f>D25/J25</f>
        <v>1</v>
      </c>
    </row>
    <row r="26" spans="1:29" ht="15">
      <c r="A26" s="2862"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8"/>
      <c r="Q27" s="1591" t="str">
        <f t="shared" si="11"/>
        <v>项目停车位配比</v>
      </c>
      <c r="R27" s="1564" t="s">
        <v>8</v>
      </c>
      <c r="S27" s="1565">
        <f t="shared" si="12"/>
        <v>100</v>
      </c>
      <c r="T27" s="1564" t="s">
        <v>8</v>
      </c>
      <c r="U27" s="1565">
        <f t="shared" si="13"/>
        <v>100</v>
      </c>
      <c r="V27" s="1564" t="s">
        <v>8</v>
      </c>
      <c r="W27" s="1565">
        <f t="shared" si="14"/>
        <v>100</v>
      </c>
      <c r="X27" s="1566"/>
      <c r="Y27" s="337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8"/>
      <c r="Q28" s="1559" t="str">
        <f t="shared" si="11"/>
        <v>公共部分装修</v>
      </c>
      <c r="R28" s="1560" t="s">
        <v>8</v>
      </c>
      <c r="S28" s="1561">
        <f t="shared" si="12"/>
        <v>100</v>
      </c>
      <c r="T28" s="1560" t="s">
        <v>8</v>
      </c>
      <c r="U28" s="1561">
        <f t="shared" si="13"/>
        <v>100</v>
      </c>
      <c r="V28" s="1560" t="s">
        <v>8</v>
      </c>
      <c r="W28" s="1561">
        <f t="shared" si="14"/>
        <v>100</v>
      </c>
      <c r="X28" s="1554"/>
      <c r="Y28" s="337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8"/>
      <c r="Q29" s="1559" t="str">
        <f t="shared" si="11"/>
        <v>成新率</v>
      </c>
      <c r="R29" s="1560" t="s">
        <v>8</v>
      </c>
      <c r="S29" s="1561" t="e">
        <f t="shared" si="12"/>
        <v>#N/A</v>
      </c>
      <c r="T29" s="1560" t="s">
        <v>8</v>
      </c>
      <c r="U29" s="1561" t="e">
        <f t="shared" si="13"/>
        <v>#N/A</v>
      </c>
      <c r="V29" s="1560" t="s">
        <v>8</v>
      </c>
      <c r="W29" s="1561" t="e">
        <f t="shared" si="14"/>
        <v>#N/A</v>
      </c>
      <c r="X29" s="1554"/>
      <c r="Y29" s="337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8"/>
      <c r="Q30" s="1559" t="str">
        <f t="shared" si="11"/>
        <v>物业等级</v>
      </c>
      <c r="R30" s="1560" t="s">
        <v>8</v>
      </c>
      <c r="S30" s="1561">
        <f t="shared" si="12"/>
        <v>100</v>
      </c>
      <c r="T30" s="1560" t="s">
        <v>8</v>
      </c>
      <c r="U30" s="1561">
        <f t="shared" si="13"/>
        <v>100</v>
      </c>
      <c r="V30" s="1560" t="s">
        <v>8</v>
      </c>
      <c r="W30" s="1561">
        <f t="shared" si="14"/>
        <v>100</v>
      </c>
      <c r="X30" s="1554"/>
      <c r="Y30" s="337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8"/>
      <c r="Q31" s="1147" t="str">
        <f t="shared" si="11"/>
        <v>停车位面积</v>
      </c>
      <c r="R31" s="1555" t="s">
        <v>8</v>
      </c>
      <c r="S31" s="1556" t="e">
        <f t="shared" si="12"/>
        <v>#N/A</v>
      </c>
      <c r="T31" s="1555" t="s">
        <v>8</v>
      </c>
      <c r="U31" s="1556" t="e">
        <f t="shared" si="13"/>
        <v>#N/A</v>
      </c>
      <c r="V31" s="1555" t="s">
        <v>8</v>
      </c>
      <c r="W31" s="1556" t="e">
        <f t="shared" si="14"/>
        <v>#N/A</v>
      </c>
      <c r="X31" s="1557"/>
      <c r="Y31" s="337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8" t="s">
        <v>550</v>
      </c>
      <c r="Q32" s="1559" t="str">
        <f t="shared" si="11"/>
        <v>车位类型</v>
      </c>
      <c r="R32" s="1560" t="s">
        <v>8</v>
      </c>
      <c r="S32" s="1561">
        <f t="shared" si="12"/>
        <v>100</v>
      </c>
      <c r="T32" s="1560" t="s">
        <v>8</v>
      </c>
      <c r="U32" s="1561">
        <f t="shared" si="13"/>
        <v>100</v>
      </c>
      <c r="V32" s="1560" t="s">
        <v>8</v>
      </c>
      <c r="W32" s="1561">
        <f t="shared" si="14"/>
        <v>100</v>
      </c>
      <c r="X32" s="1554"/>
      <c r="Y32" s="337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8"/>
      <c r="Q33" s="1559" t="str">
        <f t="shared" si="11"/>
        <v>是否直接入户</v>
      </c>
      <c r="R33" s="1560" t="s">
        <v>8</v>
      </c>
      <c r="S33" s="1561">
        <f t="shared" si="12"/>
        <v>100</v>
      </c>
      <c r="T33" s="1560" t="s">
        <v>8</v>
      </c>
      <c r="U33" s="1561">
        <f t="shared" si="13"/>
        <v>100</v>
      </c>
      <c r="V33" s="1560" t="s">
        <v>8</v>
      </c>
      <c r="W33" s="1561">
        <f t="shared" si="14"/>
        <v>100</v>
      </c>
      <c r="X33" s="1554"/>
      <c r="Y33" s="337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8"/>
      <c r="Q34" s="1559">
        <f t="shared" si="11"/>
        <v>111</v>
      </c>
      <c r="R34" s="1560" t="s">
        <v>8</v>
      </c>
      <c r="S34" s="1561">
        <f t="shared" si="12"/>
        <v>100</v>
      </c>
      <c r="T34" s="1560" t="s">
        <v>8</v>
      </c>
      <c r="U34" s="1561">
        <f t="shared" si="13"/>
        <v>100</v>
      </c>
      <c r="V34" s="1560" t="s">
        <v>8</v>
      </c>
      <c r="W34" s="1561">
        <f t="shared" si="14"/>
        <v>100</v>
      </c>
      <c r="X34" s="1554"/>
      <c r="Y34" s="337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8"/>
      <c r="Q35" s="1591">
        <f t="shared" si="11"/>
        <v>111</v>
      </c>
      <c r="R35" s="1564" t="s">
        <v>8</v>
      </c>
      <c r="S35" s="1565">
        <f t="shared" si="12"/>
        <v>100</v>
      </c>
      <c r="T35" s="1564" t="s">
        <v>8</v>
      </c>
      <c r="U35" s="1565">
        <f t="shared" si="13"/>
        <v>100</v>
      </c>
      <c r="V35" s="1564" t="s">
        <v>8</v>
      </c>
      <c r="W35" s="1565">
        <f t="shared" si="14"/>
        <v>100</v>
      </c>
      <c r="X35" s="1566"/>
      <c r="Y35" s="3378"/>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8"/>
      <c r="Q36" s="1559">
        <f t="shared" si="11"/>
        <v>111</v>
      </c>
      <c r="R36" s="1560" t="s">
        <v>8</v>
      </c>
      <c r="S36" s="1561">
        <f t="shared" si="12"/>
        <v>100</v>
      </c>
      <c r="T36" s="1560" t="s">
        <v>8</v>
      </c>
      <c r="U36" s="1561">
        <f t="shared" si="13"/>
        <v>100</v>
      </c>
      <c r="V36" s="1560" t="s">
        <v>8</v>
      </c>
      <c r="W36" s="1561">
        <f t="shared" si="14"/>
        <v>100</v>
      </c>
      <c r="X36" s="1554"/>
      <c r="Y36" s="3378"/>
      <c r="Z36" s="1562">
        <f t="shared" si="15"/>
        <v>111</v>
      </c>
      <c r="AA36" s="1563">
        <f t="shared" si="3"/>
        <v>1</v>
      </c>
      <c r="AB36" s="1563">
        <f t="shared" si="4"/>
        <v>1</v>
      </c>
      <c r="AC36" s="1563">
        <f t="shared" si="5"/>
        <v>1</v>
      </c>
    </row>
    <row r="37" spans="1:29" ht="14.4">
      <c r="A37" s="1832" t="s">
        <v>2077</v>
      </c>
      <c r="B37" s="1833" t="s">
        <v>2078</v>
      </c>
      <c r="C37" s="2591" t="s">
        <v>1</v>
      </c>
      <c r="D37" s="2592"/>
      <c r="E37" s="2593"/>
      <c r="F37" s="2594"/>
      <c r="G37" s="2595"/>
      <c r="H37" s="2596"/>
      <c r="I37" s="2593"/>
      <c r="J37" s="2596"/>
      <c r="K37" s="1597"/>
      <c r="L37" s="2130"/>
      <c r="M37" s="2131"/>
      <c r="N37" s="2120"/>
      <c r="O37" s="2131"/>
      <c r="P37" s="3373" t="str">
        <f>A37</f>
        <v>成交单价</v>
      </c>
      <c r="Q37" s="3373"/>
      <c r="R37" s="3479">
        <f>E37</f>
        <v>0</v>
      </c>
      <c r="S37" s="3479"/>
      <c r="T37" s="3479">
        <f>G37</f>
        <v>0</v>
      </c>
      <c r="U37" s="3479"/>
      <c r="V37" s="3479">
        <f>I37</f>
        <v>0</v>
      </c>
      <c r="W37" s="3479"/>
      <c r="X37" s="1546"/>
      <c r="Y37" s="1568"/>
      <c r="Z37" s="1546"/>
      <c r="AA37" s="1546"/>
      <c r="AB37" s="1546"/>
      <c r="AC37" s="1546"/>
    </row>
    <row r="38" spans="1:29" ht="15" thickBot="1">
      <c r="A38" s="615" t="s">
        <v>2760</v>
      </c>
      <c r="B38" s="888"/>
      <c r="C38" s="2597" t="e">
        <f>R39</f>
        <v>#DIV/0!</v>
      </c>
      <c r="D38" s="2598"/>
      <c r="E38" s="2599" t="e">
        <f>R38</f>
        <v>#DIV/0!</v>
      </c>
      <c r="F38" s="2599"/>
      <c r="G38" s="2597" t="e">
        <f>T38</f>
        <v>#DIV/0!</v>
      </c>
      <c r="H38" s="2598"/>
      <c r="I38" s="2599" t="e">
        <f>V38</f>
        <v>#DIV/0!</v>
      </c>
      <c r="J38" s="2598"/>
      <c r="K38" s="1598"/>
      <c r="L38" s="2130"/>
      <c r="M38" s="2131"/>
      <c r="N38" s="2131"/>
      <c r="O38" s="2131"/>
      <c r="P38" s="3373" t="str">
        <f>A38</f>
        <v>比较价格（元/平方米）</v>
      </c>
      <c r="Q38" s="3373"/>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6"/>
      <c r="Y38" s="1546"/>
      <c r="Z38" s="1546"/>
      <c r="AA38" s="1546"/>
      <c r="AB38" s="1546"/>
      <c r="AC38" s="1546"/>
    </row>
    <row r="39" spans="1:29" ht="15" thickBot="1">
      <c r="A39" s="621" t="s">
        <v>2937</v>
      </c>
      <c r="B39" s="622"/>
      <c r="C39" s="2600" t="e">
        <f>R39</f>
        <v>#DIV/0!</v>
      </c>
      <c r="D39" s="2600"/>
      <c r="E39" s="2600"/>
      <c r="F39" s="2600"/>
      <c r="G39" s="2600"/>
      <c r="H39" s="2600"/>
      <c r="I39" s="2600"/>
      <c r="J39" s="2600"/>
      <c r="K39" s="1599"/>
      <c r="L39" s="2130"/>
      <c r="M39" s="2131"/>
      <c r="N39" s="2131"/>
      <c r="O39" s="2131"/>
      <c r="P39" s="3394" t="str">
        <f>A39</f>
        <v>估价对象XX用房的比较价格（楼面单价，元/平方米）</v>
      </c>
      <c r="Q39" s="3395"/>
      <c r="R39" s="3478" t="e">
        <f>IF(F1="售价",ROUND(AVERAGE(R38:V38),0),ROUND(AVERAGE(R38:V38),1))</f>
        <v>#DIV/0!</v>
      </c>
      <c r="S39" s="3478"/>
      <c r="T39" s="3478"/>
      <c r="U39" s="3478"/>
      <c r="V39" s="3478"/>
      <c r="W39" s="347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7" t="str">
        <f>YEAR(C7)&amp;"-"&amp;MONTH(C7)</f>
        <v>2019-7</v>
      </c>
      <c r="D48" s="2759">
        <f>EDATE(C48,-1)</f>
        <v>43617</v>
      </c>
      <c r="E48" s="2759">
        <f t="shared" ref="E48:O48" si="16">EDATE(D48,-1)</f>
        <v>43586</v>
      </c>
      <c r="F48" s="2759">
        <f t="shared" si="16"/>
        <v>43556</v>
      </c>
      <c r="G48" s="2759">
        <f t="shared" si="16"/>
        <v>43525</v>
      </c>
      <c r="H48" s="2759">
        <f t="shared" si="16"/>
        <v>43497</v>
      </c>
      <c r="I48" s="2759">
        <f t="shared" si="16"/>
        <v>43466</v>
      </c>
      <c r="J48" s="2759">
        <f t="shared" si="16"/>
        <v>43435</v>
      </c>
      <c r="K48" s="2759">
        <f t="shared" si="16"/>
        <v>43405</v>
      </c>
      <c r="L48" s="2759">
        <f t="shared" si="16"/>
        <v>43374</v>
      </c>
      <c r="M48" s="2759">
        <f t="shared" si="16"/>
        <v>43344</v>
      </c>
      <c r="N48" s="2759">
        <f t="shared" si="16"/>
        <v>43313</v>
      </c>
      <c r="O48" s="2759">
        <f t="shared" si="16"/>
        <v>43282</v>
      </c>
      <c r="P48" s="2146"/>
      <c r="Q48" s="2147"/>
      <c r="R48" s="2147"/>
      <c r="S48" s="2147"/>
      <c r="T48" s="2147"/>
      <c r="U48" s="2147"/>
      <c r="V48" s="2147"/>
      <c r="W48" s="2147"/>
      <c r="X48" s="2147"/>
      <c r="Y48" s="2147"/>
      <c r="Z48" s="2147"/>
      <c r="AA48" s="2147"/>
      <c r="AB48" s="2147"/>
      <c r="AC48" s="2147"/>
    </row>
    <row r="49" spans="1:29" s="1216" customFormat="1">
      <c r="A49" s="647"/>
      <c r="B49" s="648"/>
      <c r="C49" s="2758">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1" t="s">
        <v>2558</v>
      </c>
      <c r="C67" s="2562" t="s">
        <v>2559</v>
      </c>
      <c r="D67" s="2562" t="s">
        <v>2560</v>
      </c>
      <c r="E67" s="2562" t="s">
        <v>2561</v>
      </c>
      <c r="F67" s="2562" t="s">
        <v>2562</v>
      </c>
      <c r="G67" s="2562" t="s">
        <v>2563</v>
      </c>
      <c r="H67" s="674"/>
      <c r="I67" s="674"/>
      <c r="J67" s="674"/>
      <c r="K67" s="674"/>
      <c r="L67" s="674"/>
      <c r="M67" s="2565"/>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受贵公司委托，我公司对浙江省杭州市萧山区进化镇天乐村出让国有建设用地使用权抵押价格进行了预评估。</v>
      </c>
    </row>
    <row r="5" spans="1:4" ht="17.399999999999999">
      <c r="A5" s="1780" t="s">
        <v>1905</v>
      </c>
    </row>
    <row r="6" spans="1:4" ht="69.599999999999994">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萧山区进化镇天乐村出让国有建设用地使用权。根据《国有土地使用证》[]，估价对象（分摊）出让国有建设用地使用权面积为153132平方米。根据《建设工程规划许可证》[]、《出让合同》[]，估价对象规划建筑面积为191218.2平方米。</v>
      </c>
    </row>
    <row r="7" spans="1:4" ht="87">
      <c r="A7" s="2828" t="s">
        <v>2748</v>
      </c>
    </row>
    <row r="8" spans="1:4" ht="17.399999999999999">
      <c r="A8" s="1780" t="s">
        <v>1906</v>
      </c>
    </row>
    <row r="9" spans="1:4" ht="69.599999999999994">
      <c r="A9" s="1782" t="str">
        <f>IF(项目基本情况!B8="抵押",IF(项目基本情况!B5=项目基本情况!B6,定义!C51,定义!B51),定义!D51)</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2019年7月30日（评估专业人员勘察现场之日）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根据委托估价方介绍及评估专业人员现场勘查，本次评估估价对象实际土地开发程度为红线外市政基础设施达“七通”（即通电、、、、、、）、宗地红线内场地未平整，。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根据《国有土地使用证》[]，估价对象（分摊）出让国有建设用地使用权面积为153132平方米。根据《建设工程规划许可证》[]、《出让合同》[]，估价对象规划建筑面积为191218.2平方米。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0"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7月30日，在规划利用条件下、设定土地开发程度为红线外“七通”、宗地内场地未平整，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79" t="s">
        <v>798</v>
      </c>
      <c r="D4" s="3380"/>
      <c r="E4" s="3403" t="s">
        <v>799</v>
      </c>
      <c r="F4" s="3404"/>
      <c r="G4" s="3379" t="s">
        <v>800</v>
      </c>
      <c r="H4" s="3380"/>
      <c r="I4" s="3379" t="s">
        <v>801</v>
      </c>
      <c r="J4" s="3380"/>
      <c r="K4" s="514" t="s">
        <v>802</v>
      </c>
      <c r="L4" s="2119"/>
      <c r="M4" s="2120"/>
      <c r="N4" s="2120"/>
      <c r="O4" s="2120"/>
      <c r="P4" s="3381" t="s">
        <v>803</v>
      </c>
      <c r="Q4" s="3382"/>
      <c r="R4" s="3367" t="s">
        <v>799</v>
      </c>
      <c r="S4" s="3368"/>
      <c r="T4" s="3367" t="s">
        <v>800</v>
      </c>
      <c r="U4" s="3368"/>
      <c r="V4" s="3387" t="s">
        <v>801</v>
      </c>
      <c r="W4" s="3387"/>
      <c r="X4" s="1554"/>
      <c r="Y4" s="3367" t="s">
        <v>803</v>
      </c>
      <c r="Z4" s="3368"/>
      <c r="AA4" s="3362" t="s">
        <v>799</v>
      </c>
      <c r="AB4" s="3363" t="s">
        <v>800</v>
      </c>
      <c r="AC4" s="3362" t="s">
        <v>801</v>
      </c>
    </row>
    <row r="5" spans="1:29">
      <c r="A5" s="515"/>
      <c r="B5" s="516"/>
      <c r="C5" s="3390" t="s">
        <v>2931</v>
      </c>
      <c r="D5" s="3391"/>
      <c r="E5" s="3405" t="s">
        <v>2932</v>
      </c>
      <c r="F5" s="3406"/>
      <c r="G5" s="3390" t="s">
        <v>2933</v>
      </c>
      <c r="H5" s="3391"/>
      <c r="I5" s="3390" t="s">
        <v>2934</v>
      </c>
      <c r="J5" s="3391"/>
      <c r="K5" s="514"/>
      <c r="L5" s="2119"/>
      <c r="M5" s="2120"/>
      <c r="N5" s="2120"/>
      <c r="O5" s="2120"/>
      <c r="P5" s="3383"/>
      <c r="Q5" s="3384"/>
      <c r="R5" s="3369"/>
      <c r="S5" s="3370"/>
      <c r="T5" s="3369"/>
      <c r="U5" s="3370"/>
      <c r="V5" s="3387"/>
      <c r="W5" s="3387"/>
      <c r="X5" s="1554"/>
      <c r="Y5" s="3369"/>
      <c r="Z5" s="3370"/>
      <c r="AA5" s="3363"/>
      <c r="AB5" s="3363"/>
      <c r="AC5" s="3363"/>
    </row>
    <row r="6" spans="1:29" ht="15" thickBot="1">
      <c r="A6" s="517"/>
      <c r="B6" s="518"/>
      <c r="C6" s="3388" t="s">
        <v>2935</v>
      </c>
      <c r="D6" s="3389"/>
      <c r="E6" s="3407" t="s">
        <v>2935</v>
      </c>
      <c r="F6" s="3408"/>
      <c r="G6" s="3388" t="s">
        <v>2935</v>
      </c>
      <c r="H6" s="3389"/>
      <c r="I6" s="3388" t="s">
        <v>2935</v>
      </c>
      <c r="J6" s="3389"/>
      <c r="K6" s="514" t="s">
        <v>528</v>
      </c>
      <c r="L6" s="2119"/>
      <c r="M6" s="2120"/>
      <c r="N6" s="2120"/>
      <c r="O6" s="2120"/>
      <c r="P6" s="3385"/>
      <c r="Q6" s="3386"/>
      <c r="R6" s="3369"/>
      <c r="S6" s="3370"/>
      <c r="T6" s="3371"/>
      <c r="U6" s="3372"/>
      <c r="V6" s="3387"/>
      <c r="W6" s="3387"/>
      <c r="X6" s="1554"/>
      <c r="Y6" s="3371"/>
      <c r="Z6" s="3372"/>
      <c r="AA6" s="3364"/>
      <c r="AB6" s="3364"/>
      <c r="AC6" s="3364"/>
    </row>
    <row r="7" spans="1:29" s="1216" customFormat="1" ht="15" thickBot="1">
      <c r="A7" s="2867"/>
      <c r="B7" s="2874" t="s">
        <v>529</v>
      </c>
      <c r="C7" s="519">
        <f>'数据-取费表'!B2</f>
        <v>43676</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5" t="s">
        <v>530</v>
      </c>
      <c r="Q7" s="3374"/>
      <c r="R7" s="1555" t="s">
        <v>8</v>
      </c>
      <c r="S7" s="1556">
        <f t="shared" ref="S7:S14" si="0">F7</f>
        <v>0</v>
      </c>
      <c r="T7" s="1555" t="s">
        <v>8</v>
      </c>
      <c r="U7" s="1556">
        <f t="shared" ref="U7:U14" si="1">H7</f>
        <v>0</v>
      </c>
      <c r="V7" s="1555" t="s">
        <v>8</v>
      </c>
      <c r="W7" s="1556">
        <f t="shared" ref="W7:W14" si="2">J7</f>
        <v>0</v>
      </c>
      <c r="X7" s="1557"/>
      <c r="Y7" s="3365" t="s">
        <v>530</v>
      </c>
      <c r="Z7" s="3366"/>
      <c r="AA7" s="1558" t="e">
        <f>D7/F7</f>
        <v>#DIV/0!</v>
      </c>
      <c r="AB7" s="1558" t="e">
        <f>D7/H7</f>
        <v>#DIV/0!</v>
      </c>
      <c r="AC7" s="1558" t="e">
        <f>D7/J7</f>
        <v>#DIV/0!</v>
      </c>
    </row>
    <row r="8" spans="1:29" s="1216"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5" t="s">
        <v>533</v>
      </c>
      <c r="Q8" s="3366"/>
      <c r="R8" s="1555" t="s">
        <v>8</v>
      </c>
      <c r="S8" s="1556">
        <f t="shared" si="0"/>
        <v>0</v>
      </c>
      <c r="T8" s="1555" t="s">
        <v>8</v>
      </c>
      <c r="U8" s="1556">
        <f t="shared" si="1"/>
        <v>0</v>
      </c>
      <c r="V8" s="1555" t="s">
        <v>8</v>
      </c>
      <c r="W8" s="1556">
        <f t="shared" si="2"/>
        <v>0</v>
      </c>
      <c r="X8" s="1557"/>
      <c r="Y8" s="3365" t="s">
        <v>533</v>
      </c>
      <c r="Z8" s="3366"/>
      <c r="AA8" s="1558" t="e">
        <f t="shared" ref="AA8:AA34" si="3">D8/F8</f>
        <v>#DIV/0!</v>
      </c>
      <c r="AB8" s="1558" t="e">
        <f t="shared" ref="AB8:AB34" si="4">D8/H8</f>
        <v>#DIV/0!</v>
      </c>
      <c r="AC8" s="1558" t="e">
        <f t="shared" ref="AC8:AC34" si="5">D8/J8</f>
        <v>#DIV/0!</v>
      </c>
    </row>
    <row r="9" spans="1:29" s="1216" customFormat="1" ht="14.4">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3" t="s">
        <v>535</v>
      </c>
      <c r="Q9" s="1147" t="str">
        <f t="shared" ref="Q9:Q14" si="6">B9</f>
        <v>用途</v>
      </c>
      <c r="R9" s="1555" t="s">
        <v>8</v>
      </c>
      <c r="S9" s="1556">
        <f t="shared" si="0"/>
        <v>100</v>
      </c>
      <c r="T9" s="1555" t="s">
        <v>8</v>
      </c>
      <c r="U9" s="1556">
        <f t="shared" si="1"/>
        <v>100</v>
      </c>
      <c r="V9" s="1555" t="s">
        <v>8</v>
      </c>
      <c r="W9" s="1556">
        <f t="shared" si="2"/>
        <v>100</v>
      </c>
      <c r="X9" s="1557"/>
      <c r="Y9" s="3330" t="s">
        <v>536</v>
      </c>
      <c r="Z9" s="1146" t="str">
        <f t="shared" ref="Z9:Z14" si="7">Q9</f>
        <v>用途</v>
      </c>
      <c r="AA9" s="1558">
        <f t="shared" si="3"/>
        <v>1</v>
      </c>
      <c r="AB9" s="1558">
        <f t="shared" si="4"/>
        <v>1</v>
      </c>
      <c r="AC9" s="1558">
        <f t="shared" si="5"/>
        <v>1</v>
      </c>
    </row>
    <row r="10" spans="1:29" s="1334" customFormat="1" ht="28.8">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3"/>
      <c r="Q10" s="1147" t="str">
        <f t="shared" si="6"/>
        <v>土地使用年限（年）</v>
      </c>
      <c r="R10" s="1555" t="s">
        <v>8</v>
      </c>
      <c r="S10" s="1556">
        <f t="shared" si="0"/>
        <v>100</v>
      </c>
      <c r="T10" s="1555" t="s">
        <v>8</v>
      </c>
      <c r="U10" s="1556">
        <f t="shared" si="1"/>
        <v>100</v>
      </c>
      <c r="V10" s="1555" t="s">
        <v>8</v>
      </c>
      <c r="W10" s="1556">
        <f t="shared" si="2"/>
        <v>100</v>
      </c>
      <c r="X10" s="1557"/>
      <c r="Y10" s="3330"/>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3"/>
      <c r="Q11" s="1147">
        <f t="shared" si="6"/>
        <v>111</v>
      </c>
      <c r="R11" s="1555" t="s">
        <v>8</v>
      </c>
      <c r="S11" s="1556">
        <f t="shared" si="0"/>
        <v>100</v>
      </c>
      <c r="T11" s="1555" t="s">
        <v>8</v>
      </c>
      <c r="U11" s="1556">
        <f t="shared" si="1"/>
        <v>100</v>
      </c>
      <c r="V11" s="1555" t="s">
        <v>8</v>
      </c>
      <c r="W11" s="1556">
        <f t="shared" si="2"/>
        <v>100</v>
      </c>
      <c r="X11" s="1557"/>
      <c r="Y11" s="3330"/>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3"/>
      <c r="Q12" s="1147">
        <f t="shared" si="6"/>
        <v>111</v>
      </c>
      <c r="R12" s="1555" t="s">
        <v>8</v>
      </c>
      <c r="S12" s="1556">
        <f t="shared" si="0"/>
        <v>100</v>
      </c>
      <c r="T12" s="1555" t="s">
        <v>8</v>
      </c>
      <c r="U12" s="1556">
        <f t="shared" si="1"/>
        <v>100</v>
      </c>
      <c r="V12" s="1555" t="s">
        <v>8</v>
      </c>
      <c r="W12" s="1556">
        <f t="shared" si="2"/>
        <v>100</v>
      </c>
      <c r="X12" s="1557"/>
      <c r="Y12" s="3330"/>
      <c r="Z12" s="1146">
        <f t="shared" si="7"/>
        <v>111</v>
      </c>
      <c r="AA12" s="1558">
        <f>D12/F12</f>
        <v>1</v>
      </c>
      <c r="AB12" s="1558">
        <f>D12/H12</f>
        <v>1</v>
      </c>
      <c r="AC12" s="1558">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3"/>
      <c r="Q13" s="1147">
        <f t="shared" si="6"/>
        <v>111</v>
      </c>
      <c r="R13" s="1555" t="s">
        <v>8</v>
      </c>
      <c r="S13" s="1556">
        <f t="shared" si="0"/>
        <v>100</v>
      </c>
      <c r="T13" s="1555" t="s">
        <v>8</v>
      </c>
      <c r="U13" s="1556">
        <f t="shared" si="1"/>
        <v>100</v>
      </c>
      <c r="V13" s="1555" t="s">
        <v>8</v>
      </c>
      <c r="W13" s="1556">
        <f t="shared" si="2"/>
        <v>100</v>
      </c>
      <c r="X13" s="1557"/>
      <c r="Y13" s="3330"/>
      <c r="Z13" s="1146">
        <f t="shared" si="7"/>
        <v>111</v>
      </c>
      <c r="AA13" s="1558">
        <f t="shared" si="3"/>
        <v>1</v>
      </c>
      <c r="AB13" s="1558">
        <f t="shared" si="4"/>
        <v>1</v>
      </c>
      <c r="AC13" s="1558">
        <f t="shared" si="5"/>
        <v>1</v>
      </c>
    </row>
    <row r="14" spans="1:29" ht="96.6">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5" t="s">
        <v>540</v>
      </c>
      <c r="Q14" s="1559" t="str">
        <f t="shared" si="6"/>
        <v>交通便捷度</v>
      </c>
      <c r="R14" s="1560" t="s">
        <v>8</v>
      </c>
      <c r="S14" s="1561">
        <f t="shared" si="0"/>
        <v>100</v>
      </c>
      <c r="T14" s="1560" t="s">
        <v>8</v>
      </c>
      <c r="U14" s="1561">
        <f t="shared" si="1"/>
        <v>100</v>
      </c>
      <c r="V14" s="1560" t="s">
        <v>8</v>
      </c>
      <c r="W14" s="1561">
        <f t="shared" si="2"/>
        <v>100</v>
      </c>
      <c r="X14" s="1554"/>
      <c r="Y14" s="337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6"/>
      <c r="Q15" s="1559"/>
      <c r="R15" s="1560"/>
      <c r="S15" s="1561"/>
      <c r="T15" s="1560"/>
      <c r="U15" s="1561"/>
      <c r="V15" s="1560"/>
      <c r="W15" s="1561"/>
      <c r="X15" s="1554"/>
      <c r="Y15" s="3376"/>
      <c r="Z15" s="1562"/>
      <c r="AA15" s="1563">
        <v>1</v>
      </c>
      <c r="AB15" s="1563">
        <v>1</v>
      </c>
      <c r="AC15" s="1563">
        <v>1</v>
      </c>
    </row>
    <row r="16" spans="1:29" ht="41.4">
      <c r="A16" s="532"/>
      <c r="B16" s="2567"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6"/>
      <c r="Q16" s="1559" t="str">
        <f>B16</f>
        <v>公共配套设施</v>
      </c>
      <c r="R16" s="1560" t="s">
        <v>8</v>
      </c>
      <c r="S16" s="1561">
        <f>F16</f>
        <v>100</v>
      </c>
      <c r="T16" s="1560" t="s">
        <v>8</v>
      </c>
      <c r="U16" s="1561">
        <f>H16</f>
        <v>100</v>
      </c>
      <c r="V16" s="1560" t="s">
        <v>8</v>
      </c>
      <c r="W16" s="1561">
        <f>J16</f>
        <v>100</v>
      </c>
      <c r="X16" s="1554"/>
      <c r="Y16" s="337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6"/>
      <c r="Q17" s="1559"/>
      <c r="R17" s="1560"/>
      <c r="S17" s="1561"/>
      <c r="T17" s="1560"/>
      <c r="U17" s="1561"/>
      <c r="V17" s="1560"/>
      <c r="W17" s="1561"/>
      <c r="X17" s="1554"/>
      <c r="Y17" s="3376"/>
      <c r="Z17" s="1562"/>
      <c r="AA17" s="1563">
        <v>1</v>
      </c>
      <c r="AB17" s="1563">
        <v>1</v>
      </c>
      <c r="AC17" s="1563">
        <v>1</v>
      </c>
    </row>
    <row r="18" spans="1:29" ht="41.4">
      <c r="A18" s="532"/>
      <c r="B18" s="2555"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6"/>
      <c r="Q18" s="2543" t="str">
        <f>B18</f>
        <v>基础设施水平</v>
      </c>
      <c r="R18" s="1560" t="s">
        <v>8</v>
      </c>
      <c r="S18" s="1561">
        <f>F18</f>
        <v>100</v>
      </c>
      <c r="T18" s="1560" t="s">
        <v>8</v>
      </c>
      <c r="U18" s="1561">
        <f>H18</f>
        <v>100</v>
      </c>
      <c r="V18" s="1560" t="s">
        <v>8</v>
      </c>
      <c r="W18" s="1561">
        <f>J18</f>
        <v>100</v>
      </c>
      <c r="X18" s="2545"/>
      <c r="Y18" s="3376"/>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8"/>
      <c r="M19" s="2120"/>
      <c r="N19" s="2120"/>
      <c r="O19" s="2127"/>
      <c r="P19" s="3376"/>
      <c r="Q19" s="2543"/>
      <c r="R19" s="1560"/>
      <c r="S19" s="1561"/>
      <c r="T19" s="1560"/>
      <c r="U19" s="1561"/>
      <c r="V19" s="1560"/>
      <c r="W19" s="1561"/>
      <c r="X19" s="2545"/>
      <c r="Y19" s="3376"/>
      <c r="Z19" s="2544"/>
      <c r="AA19" s="1563">
        <v>1</v>
      </c>
      <c r="AB19" s="1563">
        <v>1</v>
      </c>
      <c r="AC19" s="1563">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6"/>
      <c r="Q20" s="1559" t="str">
        <f>B20</f>
        <v>自然及人文环境</v>
      </c>
      <c r="R20" s="1560" t="s">
        <v>8</v>
      </c>
      <c r="S20" s="1561">
        <f>F20</f>
        <v>100</v>
      </c>
      <c r="T20" s="1560" t="s">
        <v>8</v>
      </c>
      <c r="U20" s="1561">
        <f>H20</f>
        <v>100</v>
      </c>
      <c r="V20" s="1560" t="s">
        <v>8</v>
      </c>
      <c r="W20" s="1561">
        <f>J20</f>
        <v>100</v>
      </c>
      <c r="X20" s="1554"/>
      <c r="Y20" s="337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6"/>
      <c r="Q21" s="1559"/>
      <c r="R21" s="1560"/>
      <c r="S21" s="1561"/>
      <c r="T21" s="1560"/>
      <c r="U21" s="1561"/>
      <c r="V21" s="1560"/>
      <c r="W21" s="1561"/>
      <c r="X21" s="1554"/>
      <c r="Y21" s="337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6"/>
      <c r="Q22" s="1559" t="str">
        <f>B22</f>
        <v>楼层</v>
      </c>
      <c r="R22" s="1560" t="s">
        <v>8</v>
      </c>
      <c r="S22" s="1561">
        <f>F22</f>
        <v>100</v>
      </c>
      <c r="T22" s="1560" t="s">
        <v>8</v>
      </c>
      <c r="U22" s="1561">
        <f>H22</f>
        <v>100</v>
      </c>
      <c r="V22" s="1560" t="s">
        <v>8</v>
      </c>
      <c r="W22" s="1561">
        <f>J22</f>
        <v>100</v>
      </c>
      <c r="X22" s="1554"/>
      <c r="Y22" s="337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6"/>
      <c r="Q23" s="1559">
        <f>B23</f>
        <v>111</v>
      </c>
      <c r="R23" s="1560" t="s">
        <v>8</v>
      </c>
      <c r="S23" s="1561">
        <f>F23</f>
        <v>100</v>
      </c>
      <c r="T23" s="1560" t="s">
        <v>8</v>
      </c>
      <c r="U23" s="1561">
        <f>H23</f>
        <v>100</v>
      </c>
      <c r="V23" s="1560" t="s">
        <v>8</v>
      </c>
      <c r="W23" s="1561">
        <f>J23</f>
        <v>100</v>
      </c>
      <c r="X23" s="1554"/>
      <c r="Y23" s="337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6"/>
      <c r="Q24" s="1559">
        <f t="shared" ref="Q24:Q34" si="11">B24</f>
        <v>111</v>
      </c>
      <c r="R24" s="1560" t="s">
        <v>8</v>
      </c>
      <c r="S24" s="1561">
        <f>F24</f>
        <v>100</v>
      </c>
      <c r="T24" s="1560" t="s">
        <v>8</v>
      </c>
      <c r="U24" s="1561">
        <f>H24</f>
        <v>100</v>
      </c>
      <c r="V24" s="1560" t="s">
        <v>8</v>
      </c>
      <c r="W24" s="1561">
        <f>J24</f>
        <v>100</v>
      </c>
      <c r="X24" s="1554"/>
      <c r="Y24" s="3376"/>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6"/>
      <c r="Q25" s="1147">
        <f t="shared" si="11"/>
        <v>111</v>
      </c>
      <c r="R25" s="1555" t="s">
        <v>8</v>
      </c>
      <c r="S25" s="1556">
        <f>F25</f>
        <v>100</v>
      </c>
      <c r="T25" s="1555" t="s">
        <v>8</v>
      </c>
      <c r="U25" s="1556">
        <f>H25</f>
        <v>100</v>
      </c>
      <c r="V25" s="1555" t="s">
        <v>8</v>
      </c>
      <c r="W25" s="1556">
        <f>J25</f>
        <v>100</v>
      </c>
      <c r="X25" s="1557"/>
      <c r="Y25" s="3376"/>
      <c r="Z25" s="1146">
        <f>Q25</f>
        <v>111</v>
      </c>
      <c r="AA25" s="1563">
        <f>D25/F25</f>
        <v>1</v>
      </c>
      <c r="AB25" s="1563">
        <f>D25/H25</f>
        <v>1</v>
      </c>
      <c r="AC25" s="1563">
        <f>D25/J25</f>
        <v>1</v>
      </c>
    </row>
    <row r="26" spans="1:29" ht="15">
      <c r="A26" s="2862"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8"/>
      <c r="Q27" s="1591" t="str">
        <f t="shared" si="11"/>
        <v>成新率</v>
      </c>
      <c r="R27" s="1564" t="s">
        <v>8</v>
      </c>
      <c r="S27" s="1565" t="e">
        <f t="shared" si="12"/>
        <v>#N/A</v>
      </c>
      <c r="T27" s="1564" t="s">
        <v>8</v>
      </c>
      <c r="U27" s="1565" t="e">
        <f t="shared" si="13"/>
        <v>#N/A</v>
      </c>
      <c r="V27" s="1564" t="s">
        <v>8</v>
      </c>
      <c r="W27" s="1565" t="e">
        <f t="shared" si="14"/>
        <v>#N/A</v>
      </c>
      <c r="X27" s="1566"/>
      <c r="Y27" s="337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8"/>
      <c r="Q28" s="1559" t="str">
        <f t="shared" si="11"/>
        <v>物业等级</v>
      </c>
      <c r="R28" s="1560" t="s">
        <v>8</v>
      </c>
      <c r="S28" s="1561">
        <f t="shared" si="12"/>
        <v>100</v>
      </c>
      <c r="T28" s="1560" t="s">
        <v>8</v>
      </c>
      <c r="U28" s="1561">
        <f t="shared" si="13"/>
        <v>100</v>
      </c>
      <c r="V28" s="1560" t="s">
        <v>8</v>
      </c>
      <c r="W28" s="1561">
        <f t="shared" si="14"/>
        <v>100</v>
      </c>
      <c r="X28" s="1554"/>
      <c r="Y28" s="337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8"/>
      <c r="Q29" s="1559" t="str">
        <f t="shared" si="11"/>
        <v>有无电梯</v>
      </c>
      <c r="R29" s="1560" t="s">
        <v>8</v>
      </c>
      <c r="S29" s="1561">
        <f t="shared" si="12"/>
        <v>100</v>
      </c>
      <c r="T29" s="1560" t="s">
        <v>8</v>
      </c>
      <c r="U29" s="1561">
        <f t="shared" si="13"/>
        <v>100</v>
      </c>
      <c r="V29" s="1560" t="s">
        <v>8</v>
      </c>
      <c r="W29" s="1561">
        <f t="shared" si="14"/>
        <v>100</v>
      </c>
      <c r="X29" s="1554"/>
      <c r="Y29" s="337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8"/>
      <c r="Q30" s="1559" t="str">
        <f t="shared" si="11"/>
        <v>建筑面积</v>
      </c>
      <c r="R30" s="1560" t="s">
        <v>8</v>
      </c>
      <c r="S30" s="1561" t="e">
        <f t="shared" si="12"/>
        <v>#N/A</v>
      </c>
      <c r="T30" s="1560" t="s">
        <v>8</v>
      </c>
      <c r="U30" s="1561" t="e">
        <f t="shared" si="13"/>
        <v>#N/A</v>
      </c>
      <c r="V30" s="1560" t="s">
        <v>8</v>
      </c>
      <c r="W30" s="1561" t="e">
        <f t="shared" si="14"/>
        <v>#N/A</v>
      </c>
      <c r="X30" s="1554"/>
      <c r="Y30" s="337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8"/>
      <c r="Q31" s="1147" t="str">
        <f t="shared" si="11"/>
        <v>是否封闭</v>
      </c>
      <c r="R31" s="1555" t="s">
        <v>8</v>
      </c>
      <c r="S31" s="1556">
        <f t="shared" si="12"/>
        <v>100</v>
      </c>
      <c r="T31" s="1555" t="s">
        <v>8</v>
      </c>
      <c r="U31" s="1556">
        <f t="shared" si="13"/>
        <v>100</v>
      </c>
      <c r="V31" s="1555" t="s">
        <v>8</v>
      </c>
      <c r="W31" s="1556">
        <f t="shared" si="14"/>
        <v>100</v>
      </c>
      <c r="X31" s="1557"/>
      <c r="Y31" s="337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8" t="s">
        <v>550</v>
      </c>
      <c r="Q32" s="1559">
        <f t="shared" si="11"/>
        <v>111</v>
      </c>
      <c r="R32" s="1560" t="s">
        <v>8</v>
      </c>
      <c r="S32" s="1561">
        <f t="shared" si="12"/>
        <v>100</v>
      </c>
      <c r="T32" s="1560" t="s">
        <v>8</v>
      </c>
      <c r="U32" s="1561">
        <f t="shared" si="13"/>
        <v>100</v>
      </c>
      <c r="V32" s="1560" t="s">
        <v>8</v>
      </c>
      <c r="W32" s="1561">
        <f t="shared" si="14"/>
        <v>100</v>
      </c>
      <c r="X32" s="1554"/>
      <c r="Y32" s="337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8"/>
      <c r="Q33" s="1559">
        <f t="shared" si="11"/>
        <v>111</v>
      </c>
      <c r="R33" s="1560" t="s">
        <v>8</v>
      </c>
      <c r="S33" s="1561">
        <f t="shared" si="12"/>
        <v>100</v>
      </c>
      <c r="T33" s="1560" t="s">
        <v>8</v>
      </c>
      <c r="U33" s="1561">
        <f t="shared" si="13"/>
        <v>100</v>
      </c>
      <c r="V33" s="1560" t="s">
        <v>8</v>
      </c>
      <c r="W33" s="1561">
        <f t="shared" si="14"/>
        <v>100</v>
      </c>
      <c r="X33" s="1554"/>
      <c r="Y33" s="3378"/>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8"/>
      <c r="Q34" s="1559">
        <f t="shared" si="11"/>
        <v>111</v>
      </c>
      <c r="R34" s="1560" t="s">
        <v>8</v>
      </c>
      <c r="S34" s="1561">
        <f t="shared" si="12"/>
        <v>100</v>
      </c>
      <c r="T34" s="1560" t="s">
        <v>8</v>
      </c>
      <c r="U34" s="1561">
        <f t="shared" si="13"/>
        <v>100</v>
      </c>
      <c r="V34" s="1560" t="s">
        <v>8</v>
      </c>
      <c r="W34" s="1561">
        <f t="shared" si="14"/>
        <v>100</v>
      </c>
      <c r="X34" s="1554"/>
      <c r="Y34" s="3378"/>
      <c r="Z34" s="1562">
        <f t="shared" si="15"/>
        <v>111</v>
      </c>
      <c r="AA34" s="1563">
        <f t="shared" si="3"/>
        <v>1</v>
      </c>
      <c r="AB34" s="1563">
        <f t="shared" si="4"/>
        <v>1</v>
      </c>
      <c r="AC34" s="1563">
        <f t="shared" si="5"/>
        <v>1</v>
      </c>
    </row>
    <row r="35" spans="1:29" ht="14.4">
      <c r="A35" s="607" t="s">
        <v>736</v>
      </c>
      <c r="B35" s="887"/>
      <c r="C35" s="2591" t="s">
        <v>1</v>
      </c>
      <c r="D35" s="2592"/>
      <c r="E35" s="2593"/>
      <c r="F35" s="2594"/>
      <c r="G35" s="2595"/>
      <c r="H35" s="2596"/>
      <c r="I35" s="2593"/>
      <c r="J35" s="2596"/>
      <c r="K35" s="1597"/>
      <c r="L35" s="2130"/>
      <c r="M35" s="2131"/>
      <c r="N35" s="2120"/>
      <c r="O35" s="2131"/>
      <c r="P35" s="3373" t="str">
        <f>A35</f>
        <v>成交单价（元/平方米）</v>
      </c>
      <c r="Q35" s="3373"/>
      <c r="R35" s="3479">
        <f>E35</f>
        <v>0</v>
      </c>
      <c r="S35" s="3479"/>
      <c r="T35" s="3479">
        <f>G35</f>
        <v>0</v>
      </c>
      <c r="U35" s="3479"/>
      <c r="V35" s="3479">
        <f>I35</f>
        <v>0</v>
      </c>
      <c r="W35" s="3479"/>
      <c r="X35" s="1546"/>
      <c r="Y35" s="1568"/>
      <c r="Z35" s="1546"/>
      <c r="AA35" s="1546"/>
      <c r="AB35" s="1546"/>
      <c r="AC35" s="1546"/>
    </row>
    <row r="36" spans="1:29" ht="15" thickBot="1">
      <c r="A36" s="615" t="s">
        <v>2760</v>
      </c>
      <c r="B36" s="888"/>
      <c r="C36" s="2597" t="e">
        <f>R37</f>
        <v>#DIV/0!</v>
      </c>
      <c r="D36" s="2598"/>
      <c r="E36" s="2599" t="e">
        <f>R36</f>
        <v>#DIV/0!</v>
      </c>
      <c r="F36" s="2599"/>
      <c r="G36" s="2597" t="e">
        <f>T36</f>
        <v>#DIV/0!</v>
      </c>
      <c r="H36" s="2598"/>
      <c r="I36" s="2599" t="e">
        <f>V36</f>
        <v>#DIV/0!</v>
      </c>
      <c r="J36" s="2598"/>
      <c r="K36" s="1598"/>
      <c r="L36" s="2130"/>
      <c r="M36" s="2131"/>
      <c r="N36" s="2120"/>
      <c r="O36" s="2131"/>
      <c r="P36" s="3373" t="str">
        <f>A36</f>
        <v>比较价格（元/平方米）</v>
      </c>
      <c r="Q36" s="3373"/>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6"/>
      <c r="Y36" s="1546"/>
      <c r="Z36" s="1546"/>
      <c r="AA36" s="1546"/>
      <c r="AB36" s="1546"/>
      <c r="AC36" s="1546"/>
    </row>
    <row r="37" spans="1:29" ht="15" thickBot="1">
      <c r="A37" s="621" t="s">
        <v>2937</v>
      </c>
      <c r="B37" s="622"/>
      <c r="C37" s="2600" t="e">
        <f>R37</f>
        <v>#DIV/0!</v>
      </c>
      <c r="D37" s="2600"/>
      <c r="E37" s="2600"/>
      <c r="F37" s="2600"/>
      <c r="G37" s="2600"/>
      <c r="H37" s="2600"/>
      <c r="I37" s="2600"/>
      <c r="J37" s="2600"/>
      <c r="K37" s="1599"/>
      <c r="L37" s="2130"/>
      <c r="M37" s="2131"/>
      <c r="N37" s="2131"/>
      <c r="O37" s="2131"/>
      <c r="P37" s="3394" t="str">
        <f>A37</f>
        <v>估价对象XX用房的比较价格（楼面单价，元/平方米）</v>
      </c>
      <c r="Q37" s="3395"/>
      <c r="R37" s="3478" t="e">
        <f>IF(F1="售价",ROUND(AVERAGE(R36:V36),0),ROUND(AVERAGE(R36:V36),1))</f>
        <v>#DIV/0!</v>
      </c>
      <c r="S37" s="3478"/>
      <c r="T37" s="3478"/>
      <c r="U37" s="3478"/>
      <c r="V37" s="3478"/>
      <c r="W37" s="347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7" t="str">
        <f>YEAR(C7)&amp;"-"&amp;MONTH(C7)</f>
        <v>2019-7</v>
      </c>
      <c r="D46" s="2759">
        <f>EDATE(C46,-1)</f>
        <v>43617</v>
      </c>
      <c r="E46" s="2759">
        <f t="shared" ref="E46:O46" si="16">EDATE(D46,-1)</f>
        <v>43586</v>
      </c>
      <c r="F46" s="2759">
        <f t="shared" si="16"/>
        <v>43556</v>
      </c>
      <c r="G46" s="2759">
        <f t="shared" si="16"/>
        <v>43525</v>
      </c>
      <c r="H46" s="2759">
        <f t="shared" si="16"/>
        <v>43497</v>
      </c>
      <c r="I46" s="2759">
        <f t="shared" si="16"/>
        <v>43466</v>
      </c>
      <c r="J46" s="2759">
        <f t="shared" si="16"/>
        <v>43435</v>
      </c>
      <c r="K46" s="2759">
        <f t="shared" si="16"/>
        <v>43405</v>
      </c>
      <c r="L46" s="2759">
        <f t="shared" si="16"/>
        <v>43374</v>
      </c>
      <c r="M46" s="2759">
        <f t="shared" si="16"/>
        <v>43344</v>
      </c>
      <c r="N46" s="2759">
        <f t="shared" si="16"/>
        <v>43313</v>
      </c>
      <c r="O46" s="2759">
        <f t="shared" si="16"/>
        <v>43282</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1" t="s">
        <v>2558</v>
      </c>
      <c r="C65" s="2562" t="s">
        <v>2559</v>
      </c>
      <c r="D65" s="2562" t="s">
        <v>2560</v>
      </c>
      <c r="E65" s="2562" t="s">
        <v>2561</v>
      </c>
      <c r="F65" s="2562" t="s">
        <v>2562</v>
      </c>
      <c r="G65" s="2562" t="s">
        <v>2563</v>
      </c>
      <c r="H65" s="674"/>
      <c r="I65" s="674"/>
      <c r="J65" s="674"/>
      <c r="K65" s="674"/>
      <c r="L65" s="674"/>
      <c r="M65" s="2565"/>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8" t="s">
        <v>2304</v>
      </c>
      <c r="D1" s="3489"/>
      <c r="E1" s="3489"/>
      <c r="F1" s="3489"/>
      <c r="G1" s="3489"/>
      <c r="H1" s="3489"/>
      <c r="I1" s="3489"/>
      <c r="J1" s="3489"/>
      <c r="K1" s="3489"/>
      <c r="L1" s="3489"/>
      <c r="M1" s="3489"/>
      <c r="N1" s="3489"/>
      <c r="O1" s="3489"/>
      <c r="P1" s="3489"/>
      <c r="Q1" s="3489"/>
      <c r="R1" s="3489"/>
      <c r="S1" s="349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2788</v>
      </c>
      <c r="C1" s="2959">
        <f>项目基本情况!D3</f>
        <v>43676</v>
      </c>
      <c r="H1" s="2893">
        <f>IF(C1&gt;C13,0,MATCH(C1,C$13:C$100,-1))+IF(SUMIF(C13:C100,C1,D13:D100)=0,13,12)</f>
        <v>13</v>
      </c>
      <c r="I1" s="2893">
        <f ca="1">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2819</v>
      </c>
      <c r="C2" s="2960">
        <f>'数据-取费表'!B22</f>
        <v>3</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6" t="s">
        <v>2038</v>
      </c>
      <c r="B1" s="3196"/>
      <c r="C1" s="3196"/>
      <c r="D1" s="3196"/>
      <c r="E1" s="3196"/>
      <c r="F1" s="3196"/>
      <c r="G1" s="3196"/>
      <c r="H1" s="3196"/>
      <c r="I1" s="3196"/>
      <c r="J1" s="3196"/>
      <c r="K1" s="3196"/>
      <c r="L1" s="3196"/>
      <c r="M1" s="3196"/>
      <c r="N1" s="3196"/>
      <c r="O1" s="3196"/>
      <c r="P1" s="3196"/>
      <c r="Q1" s="3196"/>
      <c r="R1" s="3196"/>
    </row>
    <row r="2" spans="1:18">
      <c r="A2" s="1793" t="s">
        <v>2040</v>
      </c>
      <c r="B2" s="1793"/>
      <c r="C2" s="1793"/>
      <c r="D2" s="1793"/>
      <c r="E2" s="1793"/>
      <c r="F2" s="1793"/>
      <c r="G2" s="1793"/>
      <c r="H2" s="1793"/>
      <c r="I2" s="1794"/>
      <c r="J2" s="1794"/>
      <c r="K2" s="1795" t="str">
        <f>"估价期日："&amp;TEXT(项目基本情况!D3,"yyyy年m月d日;;")</f>
        <v>估价期日：2019年7月30日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200" t="s">
        <v>2031</v>
      </c>
      <c r="F3" s="3200"/>
      <c r="G3" s="3200"/>
      <c r="H3" s="3200" t="s">
        <v>2032</v>
      </c>
      <c r="I3" s="3200"/>
      <c r="J3" s="3200"/>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3" t="s">
        <v>2042</v>
      </c>
      <c r="F4" s="2613" t="s">
        <v>2744</v>
      </c>
      <c r="G4" s="2613" t="s">
        <v>2036</v>
      </c>
      <c r="H4" s="2613" t="s">
        <v>2037</v>
      </c>
      <c r="I4" s="2613" t="s">
        <v>2745</v>
      </c>
      <c r="J4" s="2613" t="s">
        <v>2036</v>
      </c>
      <c r="K4" s="3198"/>
      <c r="L4" s="3198"/>
      <c r="M4" s="3197"/>
      <c r="N4" s="3199"/>
      <c r="O4" s="3197"/>
      <c r="P4" s="3198"/>
      <c r="Q4" s="3198"/>
      <c r="R4" s="3198"/>
    </row>
    <row r="5" spans="1:18" ht="135" customHeight="1">
      <c r="A5" s="1929" t="s">
        <v>2655</v>
      </c>
      <c r="B5" s="2822" t="s">
        <v>2653</v>
      </c>
      <c r="C5" s="2612">
        <v>22</v>
      </c>
      <c r="D5" s="2611" t="s">
        <v>2654</v>
      </c>
      <c r="E5" s="1796">
        <f>项目基本情况!B12</f>
        <v>0</v>
      </c>
      <c r="F5" s="2611">
        <v>258</v>
      </c>
      <c r="G5" s="1796">
        <f>项目基本情况!B13</f>
        <v>0</v>
      </c>
      <c r="H5" s="2611">
        <v>1.5</v>
      </c>
      <c r="I5" s="2611">
        <v>1.5</v>
      </c>
      <c r="J5" s="2611">
        <v>1.5</v>
      </c>
      <c r="K5" s="1796" t="str">
        <f>"红线外"&amp;项目基本情况!T40&amp;"、宗地红线内"&amp;项目基本情况!B35</f>
        <v>红线外七通、宗地红线内场地未平整</v>
      </c>
      <c r="L5" s="1796" t="str">
        <f>"红线外"&amp;项目基本情况!T40&amp;"、宗地红线内场地"&amp;项目基本情况!D36</f>
        <v>红线外七通、宗地红线内场地未平整</v>
      </c>
      <c r="M5" s="1796">
        <f>IF(项目基本情况!B16="出让",项目基本情况!D20,"——")</f>
        <v>0</v>
      </c>
      <c r="N5" s="1796">
        <f>项目基本情况!C22</f>
        <v>153132</v>
      </c>
      <c r="O5" s="1796">
        <f>项目基本情况!C21</f>
        <v>191218.19999999998</v>
      </c>
      <c r="P5" s="1796">
        <f ca="1">结果表!E42</f>
        <v>7289</v>
      </c>
      <c r="Q5" s="1796">
        <f ca="1">结果表!D42</f>
        <v>5837</v>
      </c>
      <c r="R5" s="1797">
        <f ca="1">结果表!C42</f>
        <v>111618</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f ca="1">结果表!O39</f>
        <v>111618</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1" t="s">
        <v>2065</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2066</v>
      </c>
      <c r="B5" s="3204"/>
      <c r="C5" s="3204"/>
      <c r="D5" s="3204"/>
    </row>
    <row r="6" spans="1:4">
      <c r="A6" s="3201" t="s">
        <v>2044</v>
      </c>
      <c r="B6" s="3201"/>
      <c r="C6" s="3201"/>
      <c r="D6" s="3201"/>
    </row>
    <row r="7" spans="1:4" ht="33" customHeight="1">
      <c r="A7" s="3201" t="s">
        <v>2575</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2068</v>
      </c>
      <c r="B12" s="3204"/>
      <c r="C12" s="3204"/>
      <c r="D12" s="3204"/>
    </row>
    <row r="13" spans="1:4">
      <c r="A13" s="3202" t="s">
        <v>2746</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2702</v>
      </c>
      <c r="B17" s="3201"/>
      <c r="C17" s="3201"/>
      <c r="D17" s="3201"/>
    </row>
    <row r="18" spans="1:4">
      <c r="A18" s="3201" t="s">
        <v>2694</v>
      </c>
      <c r="B18" s="3201"/>
      <c r="C18" s="3201"/>
      <c r="D18" s="3201"/>
    </row>
    <row r="19" spans="1:4">
      <c r="A19" s="2823" t="s">
        <v>2695</v>
      </c>
      <c r="B19" s="2823" t="s">
        <v>2696</v>
      </c>
      <c r="C19" s="2823" t="s">
        <v>2697</v>
      </c>
      <c r="D19" s="2823" t="s">
        <v>2698</v>
      </c>
    </row>
    <row r="20" spans="1:4">
      <c r="A20" s="2823" t="str">
        <f>项目基本情况!B4</f>
        <v>土地估价师</v>
      </c>
      <c r="B20" s="2823">
        <f>项目基本情况!C4</f>
        <v>0</v>
      </c>
      <c r="C20" s="2825"/>
      <c r="D20" s="1786" t="s">
        <v>2703</v>
      </c>
    </row>
    <row r="21" spans="1:4">
      <c r="A21" s="2823" t="str">
        <f>项目基本情况!D4</f>
        <v>土地估价师</v>
      </c>
      <c r="B21" s="2823">
        <f>项目基本情况!E4</f>
        <v>0</v>
      </c>
      <c r="C21" s="2825"/>
      <c r="D21" s="1786" t="s">
        <v>2704</v>
      </c>
    </row>
    <row r="23" spans="1:4">
      <c r="A23" s="3201" t="s">
        <v>2699</v>
      </c>
      <c r="B23" s="3201"/>
      <c r="C23" s="3201"/>
      <c r="D23" s="3201"/>
    </row>
    <row r="24" spans="1:4">
      <c r="A24" s="2823" t="s">
        <v>2695</v>
      </c>
      <c r="B24" s="2823" t="s">
        <v>2700</v>
      </c>
      <c r="C24" s="2823" t="s">
        <v>2697</v>
      </c>
      <c r="D24" s="2823" t="s">
        <v>2698</v>
      </c>
    </row>
    <row r="25" spans="1:4">
      <c r="A25" s="2826" t="s">
        <v>2701</v>
      </c>
      <c r="B25" s="2823" t="s">
        <v>952</v>
      </c>
      <c r="C25" s="2825"/>
      <c r="D25" s="1786" t="s">
        <v>2704</v>
      </c>
    </row>
    <row r="29" spans="1:4">
      <c r="D29" s="2824" t="s">
        <v>2039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3" t="s">
        <v>53</v>
      </c>
      <c r="B15" s="3214" t="s">
        <v>846</v>
      </c>
      <c r="C15" s="3210"/>
    </row>
    <row r="16" spans="1:7" ht="14.4">
      <c r="A16" s="3213"/>
      <c r="B16" s="3211" t="s">
        <v>54</v>
      </c>
      <c r="C16" s="1168" t="s">
        <v>53</v>
      </c>
    </row>
    <row r="17" spans="1:3" ht="14.4">
      <c r="A17" s="3213"/>
      <c r="B17" s="3211"/>
      <c r="C17" s="1168" t="s">
        <v>55</v>
      </c>
    </row>
    <row r="18" spans="1:3" ht="14.4">
      <c r="A18" s="3213"/>
      <c r="B18" s="3211"/>
      <c r="C18" s="1168" t="s">
        <v>56</v>
      </c>
    </row>
    <row r="19" spans="1:3" ht="14.4">
      <c r="A19" s="3213"/>
      <c r="B19" s="3209" t="s">
        <v>57</v>
      </c>
      <c r="C19" s="3210"/>
    </row>
    <row r="20" spans="1:3" ht="14.4">
      <c r="A20" s="1169" t="s">
        <v>58</v>
      </c>
      <c r="B20" s="1170"/>
      <c r="C20" s="1171"/>
    </row>
    <row r="21" spans="1:3" ht="14.4">
      <c r="A21" s="3212" t="s">
        <v>59</v>
      </c>
      <c r="B21" s="3209" t="s">
        <v>60</v>
      </c>
      <c r="C21" s="3210"/>
    </row>
    <row r="22" spans="1:3" ht="14.4">
      <c r="A22" s="3212"/>
      <c r="B22" s="3209" t="s">
        <v>61</v>
      </c>
      <c r="C22" s="3210"/>
    </row>
    <row r="23" spans="1:3" ht="14.4">
      <c r="A23" s="3212"/>
      <c r="B23" s="3209" t="s">
        <v>62</v>
      </c>
      <c r="C23" s="3210"/>
    </row>
    <row r="24" spans="1:3" ht="14.4">
      <c r="A24" s="3212"/>
      <c r="B24" s="3215" t="s">
        <v>63</v>
      </c>
      <c r="C24" s="1172" t="s">
        <v>837</v>
      </c>
    </row>
    <row r="25" spans="1:3" ht="14.4">
      <c r="A25" s="3212"/>
      <c r="B25" s="3216"/>
      <c r="C25" s="1172" t="s">
        <v>838</v>
      </c>
    </row>
    <row r="26" spans="1:3" ht="14.4">
      <c r="A26" s="3212"/>
      <c r="B26" s="3216"/>
      <c r="C26" s="1172" t="s">
        <v>839</v>
      </c>
    </row>
    <row r="27" spans="1:3" ht="14.4">
      <c r="A27" s="3212"/>
      <c r="B27" s="3216"/>
      <c r="C27" s="1172" t="s">
        <v>840</v>
      </c>
    </row>
    <row r="28" spans="1:3" ht="14.4">
      <c r="A28" s="3212"/>
      <c r="B28" s="3216"/>
      <c r="C28" s="1172" t="s">
        <v>841</v>
      </c>
    </row>
    <row r="29" spans="1:3" ht="14.4">
      <c r="A29" s="3212"/>
      <c r="B29" s="3216"/>
      <c r="C29" s="1172" t="s">
        <v>842</v>
      </c>
    </row>
    <row r="30" spans="1:3" ht="14.4">
      <c r="A30" s="3212"/>
      <c r="B30" s="3216"/>
      <c r="C30" s="1172" t="s">
        <v>843</v>
      </c>
    </row>
    <row r="31" spans="1:3" ht="14.4">
      <c r="A31" s="3212"/>
      <c r="B31" s="3216"/>
      <c r="C31" s="1172" t="s">
        <v>844</v>
      </c>
    </row>
    <row r="32" spans="1:3" ht="14.4">
      <c r="A32" s="3212"/>
      <c r="B32" s="3216"/>
      <c r="C32" s="1172" t="s">
        <v>1646</v>
      </c>
    </row>
    <row r="33" spans="1:3" ht="14.4">
      <c r="A33" s="3212"/>
      <c r="B33" s="3206" t="s">
        <v>1652</v>
      </c>
      <c r="C33" s="1172" t="s">
        <v>1647</v>
      </c>
    </row>
    <row r="34" spans="1:3" ht="14.4">
      <c r="A34" s="3212"/>
      <c r="B34" s="3207"/>
      <c r="C34" s="1177" t="s">
        <v>1648</v>
      </c>
    </row>
    <row r="35" spans="1:3" ht="14.4">
      <c r="A35" s="3212"/>
      <c r="B35" s="3207"/>
      <c r="C35" s="1178" t="s">
        <v>1649</v>
      </c>
    </row>
    <row r="36" spans="1:3" ht="14.4">
      <c r="A36" s="3212"/>
      <c r="B36" s="3207"/>
      <c r="C36" s="1178" t="s">
        <v>1650</v>
      </c>
    </row>
    <row r="37" spans="1:3" ht="14.4">
      <c r="A37" s="3212"/>
      <c r="B37" s="320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9" customWidth="1"/>
    <col min="2" max="5" width="22.6640625" style="3129"/>
    <col min="6" max="6" width="25.6640625" style="3129" customWidth="1"/>
    <col min="7" max="16384" width="22.6640625" style="3129"/>
  </cols>
  <sheetData>
    <row r="2" spans="1:6" ht="20.25" customHeight="1">
      <c r="A2" s="3126" t="s">
        <v>1907</v>
      </c>
      <c r="B2" s="3127">
        <f ca="1">TODAY()</f>
        <v>43676</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2982</v>
      </c>
      <c r="B14" s="3131">
        <f ca="1">IF(C14&lt;B2,"已过期",1120040230)</f>
        <v>1120040230</v>
      </c>
      <c r="C14" s="3135">
        <v>43835</v>
      </c>
      <c r="D14" s="3136" t="s">
        <v>2983</v>
      </c>
      <c r="E14" s="3131">
        <f ca="1">IF(F14&lt;B2,"已过期",98030020)</f>
        <v>98030020</v>
      </c>
      <c r="F14" s="3134">
        <v>47118</v>
      </c>
    </row>
    <row r="15" spans="1:6" ht="20.25" customHeight="1">
      <c r="A15" s="3131" t="s">
        <v>2574</v>
      </c>
      <c r="B15" s="3131">
        <f ca="1">IF(C15&lt;B2,"已过期",1120070085)</f>
        <v>1120070085</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17" t="s">
        <v>1926</v>
      </c>
      <c r="B25" s="3217"/>
      <c r="C25" s="3217"/>
      <c r="D25" s="3217"/>
      <c r="E25" s="3217"/>
      <c r="F25" s="3217"/>
      <c r="G25" s="3217"/>
    </row>
    <row r="26" spans="1:7" ht="20.25" customHeight="1">
      <c r="A26" s="3218" t="s">
        <v>1927</v>
      </c>
      <c r="B26" s="3218"/>
      <c r="C26" s="3218"/>
      <c r="D26" s="3218" t="s">
        <v>1928</v>
      </c>
      <c r="E26" s="3218"/>
      <c r="F26" s="321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2545</v>
      </c>
      <c r="R1" s="2546"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4" t="s">
        <v>2956</v>
      </c>
      <c r="C18" s="1541"/>
    </row>
    <row r="19" spans="1:3" ht="14.4">
      <c r="A19" s="8" t="s">
        <v>120</v>
      </c>
      <c r="B19" s="3064" t="s">
        <v>2964</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萧山区进化镇天乐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30日，在规划利用条件下、设定土地开发程度为红线外“七通”、宗地内场地未平整，设定用途为，剩余土地使用年限为的出让国有建设用地使用权价格。</v>
      </c>
      <c r="D53" s="1753"/>
      <c r="E53" s="1753"/>
    </row>
    <row r="54" spans="1:5">
      <c r="A54" s="321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土地案例</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2019-07-30T01:48:23Z</dcterms:modified>
</cp:coreProperties>
</file>