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45" yWindow="240" windowWidth="11565" windowHeight="940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G35" i="9" l="1"/>
  <c r="E38" i="9"/>
  <c r="C38" i="9"/>
  <c r="B38" i="9"/>
  <c r="U18" i="1"/>
  <c r="H17" i="4"/>
  <c r="E37" i="9" l="1"/>
  <c r="C37" i="9"/>
  <c r="B37" i="9" l="1"/>
  <c r="G21" i="6"/>
  <c r="D59" i="21"/>
  <c r="E59" i="21" s="1"/>
  <c r="E73" i="39"/>
  <c r="F73" i="39" s="1"/>
  <c r="G73" i="39" s="1"/>
  <c r="H73" i="39" s="1"/>
  <c r="I73" i="39" s="1"/>
  <c r="J73" i="39" s="1"/>
  <c r="K73" i="39" s="1"/>
  <c r="L73" i="39" s="1"/>
  <c r="M73" i="39" s="1"/>
  <c r="N73" i="39" s="1"/>
  <c r="D73" i="39"/>
  <c r="D119" i="39"/>
  <c r="E119" i="39" s="1"/>
  <c r="F119" i="39" s="1"/>
  <c r="G119" i="39" s="1"/>
  <c r="H119" i="39" s="1"/>
  <c r="I40" i="39"/>
  <c r="G40" i="39"/>
  <c r="E40" i="39"/>
  <c r="I48" i="39"/>
  <c r="G48" i="39"/>
  <c r="E48" i="39"/>
  <c r="I7" i="39"/>
  <c r="G7" i="39"/>
  <c r="E7" i="39"/>
  <c r="I13" i="39"/>
  <c r="G13" i="39"/>
  <c r="I9" i="39"/>
  <c r="G9" i="39"/>
  <c r="E9" i="39"/>
  <c r="G20" i="6"/>
  <c r="F19" i="6"/>
  <c r="AT13" i="3"/>
  <c r="AN13" i="3"/>
  <c r="D3" i="4"/>
  <c r="Q6" i="59" l="1"/>
  <c r="P6" i="59"/>
  <c r="O6" i="59"/>
  <c r="N6" i="59"/>
  <c r="AH5" i="59"/>
  <c r="AG5" i="59"/>
  <c r="AE5" i="59"/>
  <c r="AF5" i="59"/>
  <c r="AD5" i="59"/>
  <c r="Q5" i="59"/>
  <c r="P5" i="59"/>
  <c r="O5" i="59"/>
  <c r="N5" i="59"/>
  <c r="AH6" i="59"/>
  <c r="AG6" i="59"/>
  <c r="AE6" i="59"/>
  <c r="AF6" i="59" s="1"/>
  <c r="AD6" i="59"/>
  <c r="Q7" i="59"/>
  <c r="Q8" i="59"/>
  <c r="P7" i="59"/>
  <c r="P8" i="59"/>
  <c r="O7" i="59"/>
  <c r="O8" i="59"/>
  <c r="N7" i="59"/>
  <c r="N8"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s="1"/>
  <c r="AF3" i="59" s="1"/>
  <c r="I3" i="59"/>
  <c r="AH10" i="59"/>
  <c r="AG10" i="59"/>
  <c r="AE10" i="59"/>
  <c r="AF10" i="59" s="1"/>
  <c r="AD10" i="59"/>
  <c r="Q10" i="59"/>
  <c r="Q11" i="59"/>
  <c r="P10" i="59"/>
  <c r="P11" i="59"/>
  <c r="O10" i="59"/>
  <c r="O11" i="59"/>
  <c r="N10" i="59"/>
  <c r="N11" i="59"/>
  <c r="AH11" i="59"/>
  <c r="AG11" i="59"/>
  <c r="AE11" i="59"/>
  <c r="AF11" i="59"/>
  <c r="AD11" i="59"/>
  <c r="Q12" i="59"/>
  <c r="P12" i="59"/>
  <c r="O12" i="59"/>
  <c r="N12" i="59"/>
  <c r="M19" i="46"/>
  <c r="J50" i="15"/>
  <c r="J51" i="15" s="1"/>
  <c r="D14" i="59"/>
  <c r="AH12" i="59"/>
  <c r="AG12" i="59"/>
  <c r="AE12" i="59"/>
  <c r="AF12" i="59" s="1"/>
  <c r="AD12" i="59"/>
  <c r="AE13" i="59"/>
  <c r="AF13" i="59" s="1"/>
  <c r="AG13" i="59"/>
  <c r="AH13" i="59"/>
  <c r="AD13" i="59"/>
  <c r="Q13" i="59"/>
  <c r="P13" i="59"/>
  <c r="O13" i="59"/>
  <c r="N13" i="59"/>
  <c r="N14" i="59"/>
  <c r="Q14" i="59"/>
  <c r="P14" i="59"/>
  <c r="O14" i="59"/>
  <c r="K59" i="15"/>
  <c r="P62" i="15" s="1"/>
  <c r="Q74" i="44"/>
  <c r="Q61" i="44"/>
  <c r="Q60" i="44"/>
  <c r="Q53" i="44"/>
  <c r="J51" i="44"/>
  <c r="J52" i="44"/>
  <c r="M48" i="44"/>
  <c r="A16" i="55"/>
  <c r="A15" i="55"/>
  <c r="B66" i="63"/>
  <c r="A10" i="55"/>
  <c r="B61" i="63" s="1"/>
  <c r="A9" i="55"/>
  <c r="B60" i="63"/>
  <c r="A8" i="55"/>
  <c r="A6" i="54"/>
  <c r="A8" i="54"/>
  <c r="A7" i="54"/>
  <c r="B51" i="63" s="1"/>
  <c r="A28" i="51"/>
  <c r="A27" i="51"/>
  <c r="B20" i="63" s="1"/>
  <c r="Q15" i="59"/>
  <c r="O15" i="59"/>
  <c r="N16" i="59"/>
  <c r="O16" i="59"/>
  <c r="P16" i="59"/>
  <c r="Q16" i="59"/>
  <c r="N15" i="59"/>
  <c r="P15" i="59"/>
  <c r="K75" i="9"/>
  <c r="K6" i="4"/>
  <c r="O76" i="9" s="1"/>
  <c r="B22" i="31"/>
  <c r="E15" i="66"/>
  <c r="F15" i="66"/>
  <c r="E16" i="66"/>
  <c r="F16" i="66"/>
  <c r="E17" i="66"/>
  <c r="F17" i="66"/>
  <c r="E18" i="66"/>
  <c r="F18" i="66"/>
  <c r="E19" i="66"/>
  <c r="F19" i="66"/>
  <c r="E20" i="66"/>
  <c r="F20" i="66"/>
  <c r="E21" i="66"/>
  <c r="F21" i="66"/>
  <c r="E22" i="66"/>
  <c r="F22" i="66"/>
  <c r="E23" i="66"/>
  <c r="F23" i="66"/>
  <c r="B3" i="66"/>
  <c r="B13" i="59"/>
  <c r="B12" i="59" s="1"/>
  <c r="B11" i="59" s="1"/>
  <c r="E13" i="59"/>
  <c r="E12" i="59"/>
  <c r="E11" i="59"/>
  <c r="E10" i="59"/>
  <c r="E9" i="59" s="1"/>
  <c r="E8" i="59" s="1"/>
  <c r="E7" i="59" s="1"/>
  <c r="E6" i="59" s="1"/>
  <c r="E5" i="59" s="1"/>
  <c r="U13" i="59"/>
  <c r="S13" i="59"/>
  <c r="AD3" i="59"/>
  <c r="AG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s="1"/>
  <c r="AG27" i="59"/>
  <c r="AH27" i="59"/>
  <c r="AH28" i="59"/>
  <c r="AG28" i="59"/>
  <c r="AE28" i="59"/>
  <c r="AF28" i="59"/>
  <c r="AD28" i="59"/>
  <c r="AD29" i="59"/>
  <c r="AE29" i="59"/>
  <c r="AF29" i="59"/>
  <c r="AG29" i="59"/>
  <c r="AH29" i="59"/>
  <c r="AA25" i="59"/>
  <c r="AA27" i="59"/>
  <c r="S2" i="31"/>
  <c r="M2" i="31"/>
  <c r="N2" i="31"/>
  <c r="O2" i="31"/>
  <c r="P2" i="31"/>
  <c r="Q2" i="31"/>
  <c r="R2" i="31"/>
  <c r="C13" i="59"/>
  <c r="C12" i="59"/>
  <c r="C3" i="65"/>
  <c r="C1" i="65"/>
  <c r="N1" i="65" s="1"/>
  <c r="T13" i="59"/>
  <c r="D13" i="59"/>
  <c r="B76" i="63"/>
  <c r="M5" i="54"/>
  <c r="B41" i="63" s="1"/>
  <c r="A23" i="51"/>
  <c r="Y12" i="46"/>
  <c r="AA9" i="46"/>
  <c r="AB9" i="46"/>
  <c r="AB10" i="46" s="1"/>
  <c r="AC9" i="46"/>
  <c r="AC12" i="46" s="1"/>
  <c r="AD9" i="46"/>
  <c r="AD10" i="46" s="1"/>
  <c r="AE9" i="46"/>
  <c r="AF9" i="46"/>
  <c r="AF10" i="46"/>
  <c r="AG9" i="46"/>
  <c r="AG10" i="46" s="1"/>
  <c r="AH9" i="46"/>
  <c r="AH10" i="46"/>
  <c r="AI9" i="46"/>
  <c r="AJ9" i="46"/>
  <c r="AJ10" i="46" s="1"/>
  <c r="Z9" i="46"/>
  <c r="Z10" i="46" s="1"/>
  <c r="AI10" i="46"/>
  <c r="AE10" i="46"/>
  <c r="AC10" i="46"/>
  <c r="AA10" i="46"/>
  <c r="Y10" i="46"/>
  <c r="AI12" i="46"/>
  <c r="AG12" i="46"/>
  <c r="AE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s="1"/>
  <c r="A4" i="55"/>
  <c r="B57" i="63" s="1"/>
  <c r="G5" i="54"/>
  <c r="B34" i="63" s="1"/>
  <c r="E5" i="54"/>
  <c r="B32" i="63"/>
  <c r="R2" i="54"/>
  <c r="B24" i="63" s="1"/>
  <c r="B49" i="50"/>
  <c r="B5" i="63"/>
  <c r="B40" i="50"/>
  <c r="B3" i="63" s="1"/>
  <c r="N4" i="63"/>
  <c r="B21" i="63"/>
  <c r="B67" i="63"/>
  <c r="I19" i="46"/>
  <c r="Q17" i="59"/>
  <c r="F17" i="59" s="1"/>
  <c r="P17" i="59"/>
  <c r="O17" i="59"/>
  <c r="N17" i="59"/>
  <c r="B17" i="59" s="1"/>
  <c r="D78" i="59"/>
  <c r="F77" i="59"/>
  <c r="F76" i="59" s="1"/>
  <c r="F75" i="59" s="1"/>
  <c r="E77" i="59"/>
  <c r="E76" i="59" s="1"/>
  <c r="E75" i="59" s="1"/>
  <c r="C77" i="59"/>
  <c r="D77" i="59" s="1"/>
  <c r="B77" i="59"/>
  <c r="B76" i="59" s="1"/>
  <c r="B75" i="59" s="1"/>
  <c r="D74" i="59"/>
  <c r="F73" i="59"/>
  <c r="F72" i="59" s="1"/>
  <c r="E73" i="59"/>
  <c r="E72" i="59" s="1"/>
  <c r="E71" i="59" s="1"/>
  <c r="C73" i="59"/>
  <c r="B73" i="59"/>
  <c r="F71" i="59"/>
  <c r="B72" i="59"/>
  <c r="B71" i="59" s="1"/>
  <c r="D70" i="59"/>
  <c r="Q69" i="59"/>
  <c r="P69" i="59"/>
  <c r="O69" i="59"/>
  <c r="N69" i="59"/>
  <c r="F69" i="59"/>
  <c r="F68" i="59" s="1"/>
  <c r="F67" i="59" s="1"/>
  <c r="V69" i="59"/>
  <c r="E69" i="59"/>
  <c r="U69" i="59" s="1"/>
  <c r="C69" i="59"/>
  <c r="T69" i="59" s="1"/>
  <c r="B69" i="59"/>
  <c r="Q68" i="59"/>
  <c r="P68" i="59"/>
  <c r="O68" i="59"/>
  <c r="N68"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c r="C61" i="59"/>
  <c r="T61" i="59" s="1"/>
  <c r="B61" i="59"/>
  <c r="S61" i="59" s="1"/>
  <c r="Q60" i="59"/>
  <c r="P60" i="59"/>
  <c r="O60" i="59"/>
  <c r="N60" i="59"/>
  <c r="F60" i="59"/>
  <c r="F59" i="59" s="1"/>
  <c r="Q59" i="59"/>
  <c r="P59" i="59"/>
  <c r="O59" i="59"/>
  <c r="N59" i="59"/>
  <c r="Q58" i="59"/>
  <c r="P58" i="59"/>
  <c r="O58" i="59"/>
  <c r="N58" i="59"/>
  <c r="D58" i="59"/>
  <c r="F57" i="59"/>
  <c r="V57" i="59"/>
  <c r="E57" i="59"/>
  <c r="E56" i="59" s="1"/>
  <c r="C57" i="59"/>
  <c r="B57" i="59"/>
  <c r="N57" i="59"/>
  <c r="F56" i="59"/>
  <c r="F55" i="59"/>
  <c r="B56" i="59"/>
  <c r="B55" i="59" s="1"/>
  <c r="D54" i="59"/>
  <c r="Q53" i="59"/>
  <c r="P53" i="59"/>
  <c r="O53" i="59"/>
  <c r="N53" i="59"/>
  <c r="Q52" i="59"/>
  <c r="P52" i="59"/>
  <c r="O52" i="59"/>
  <c r="N52" i="59"/>
  <c r="Q51" i="59"/>
  <c r="P51" i="59"/>
  <c r="O51" i="59"/>
  <c r="N51" i="59"/>
  <c r="Q50" i="59"/>
  <c r="F51" i="59" s="1"/>
  <c r="F52" i="59" s="1"/>
  <c r="F53" i="59" s="1"/>
  <c r="V53" i="59" s="1"/>
  <c r="P50" i="59"/>
  <c r="E51" i="59"/>
  <c r="E52" i="59"/>
  <c r="E53" i="59" s="1"/>
  <c r="U53" i="59" s="1"/>
  <c r="O50" i="59"/>
  <c r="C51" i="59" s="1"/>
  <c r="C52" i="59" s="1"/>
  <c r="N50" i="59"/>
  <c r="B51" i="59" s="1"/>
  <c r="B52" i="59" s="1"/>
  <c r="B53" i="59" s="1"/>
  <c r="S53" i="59" s="1"/>
  <c r="D50" i="59"/>
  <c r="Q49" i="59"/>
  <c r="P49" i="59"/>
  <c r="O49" i="59"/>
  <c r="N49" i="59"/>
  <c r="Q48" i="59"/>
  <c r="P48" i="59"/>
  <c r="O48" i="59"/>
  <c r="N48" i="59"/>
  <c r="Q47" i="59"/>
  <c r="P47" i="59"/>
  <c r="O47" i="59"/>
  <c r="N47" i="59"/>
  <c r="Q46" i="59"/>
  <c r="F47" i="59"/>
  <c r="F48" i="59" s="1"/>
  <c r="P46" i="59"/>
  <c r="E47" i="59" s="1"/>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s="1"/>
  <c r="E44" i="59" s="1"/>
  <c r="E45" i="59" s="1"/>
  <c r="U45" i="59" s="1"/>
  <c r="O42" i="59"/>
  <c r="C43" i="59" s="1"/>
  <c r="C44" i="59" s="1"/>
  <c r="N42" i="59"/>
  <c r="B43" i="59"/>
  <c r="B44" i="59" s="1"/>
  <c r="B45" i="59" s="1"/>
  <c r="S45" i="59" s="1"/>
  <c r="D42" i="59"/>
  <c r="Q41" i="59"/>
  <c r="P41" i="59"/>
  <c r="O41" i="59"/>
  <c r="N41" i="59"/>
  <c r="Q40" i="59"/>
  <c r="P40" i="59"/>
  <c r="O40" i="59"/>
  <c r="N40" i="59"/>
  <c r="Q39" i="59"/>
  <c r="P39" i="59"/>
  <c r="O39" i="59"/>
  <c r="N39" i="59"/>
  <c r="Q38" i="59"/>
  <c r="F39" i="59" s="1"/>
  <c r="F40" i="59" s="1"/>
  <c r="F41" i="59"/>
  <c r="V41" i="59" s="1"/>
  <c r="P38" i="59"/>
  <c r="E39" i="59"/>
  <c r="E40" i="59" s="1"/>
  <c r="O38" i="59"/>
  <c r="C39" i="59" s="1"/>
  <c r="N38" i="59"/>
  <c r="B39" i="59"/>
  <c r="D38" i="59"/>
  <c r="T37" i="59"/>
  <c r="Q37" i="59"/>
  <c r="P37" i="59"/>
  <c r="O37" i="59"/>
  <c r="N37" i="59"/>
  <c r="D37" i="59"/>
  <c r="Q36" i="59"/>
  <c r="P36" i="59"/>
  <c r="O36" i="59"/>
  <c r="N36" i="59"/>
  <c r="Q35" i="59"/>
  <c r="P35" i="59"/>
  <c r="E36" i="59" s="1"/>
  <c r="E37" i="59" s="1"/>
  <c r="O35" i="59"/>
  <c r="N35" i="59"/>
  <c r="Q34" i="59"/>
  <c r="F35" i="59"/>
  <c r="F36" i="59" s="1"/>
  <c r="P34" i="59"/>
  <c r="E35" i="59" s="1"/>
  <c r="U37" i="59"/>
  <c r="O34" i="59"/>
  <c r="C35" i="59"/>
  <c r="N34" i="59"/>
  <c r="B35" i="59"/>
  <c r="B36" i="59" s="1"/>
  <c r="B37" i="59" s="1"/>
  <c r="S37" i="59" s="1"/>
  <c r="D34" i="59"/>
  <c r="Q33" i="59"/>
  <c r="P33" i="59"/>
  <c r="O33" i="59"/>
  <c r="N33" i="59"/>
  <c r="Q32" i="59"/>
  <c r="P32" i="59"/>
  <c r="O32" i="59"/>
  <c r="N32" i="59"/>
  <c r="Q31" i="59"/>
  <c r="P31" i="59"/>
  <c r="O31" i="59"/>
  <c r="N31" i="59"/>
  <c r="Q30" i="59"/>
  <c r="F31" i="59"/>
  <c r="P30" i="59"/>
  <c r="E31" i="59" s="1"/>
  <c r="E32" i="59" s="1"/>
  <c r="E33" i="59" s="1"/>
  <c r="U33" i="59" s="1"/>
  <c r="O30" i="59"/>
  <c r="C31" i="59" s="1"/>
  <c r="D31" i="59" s="1"/>
  <c r="N30" i="59"/>
  <c r="B31" i="59"/>
  <c r="B32" i="59" s="1"/>
  <c r="B33" i="59" s="1"/>
  <c r="S33" i="59" s="1"/>
  <c r="D30" i="59"/>
  <c r="Q29" i="59"/>
  <c r="P29" i="59"/>
  <c r="O29" i="59"/>
  <c r="N29" i="59"/>
  <c r="Q28" i="59"/>
  <c r="P28" i="59"/>
  <c r="O28" i="59"/>
  <c r="Y28" i="59" s="1"/>
  <c r="Z28" i="59" s="1"/>
  <c r="N28" i="59"/>
  <c r="Q27" i="59"/>
  <c r="P27" i="59"/>
  <c r="O27" i="59"/>
  <c r="Y27" i="59" s="1"/>
  <c r="Z27" i="59" s="1"/>
  <c r="N27" i="59"/>
  <c r="Q26" i="59"/>
  <c r="P26" i="59"/>
  <c r="AA26" i="59" s="1"/>
  <c r="E27" i="59"/>
  <c r="E28" i="59" s="1"/>
  <c r="E29" i="59" s="1"/>
  <c r="U29" i="59" s="1"/>
  <c r="O26" i="59"/>
  <c r="C27" i="59"/>
  <c r="N26" i="59"/>
  <c r="B27" i="59"/>
  <c r="B28" i="59" s="1"/>
  <c r="B29" i="59" s="1"/>
  <c r="S29" i="59" s="1"/>
  <c r="D26" i="59"/>
  <c r="Q25" i="59"/>
  <c r="P25" i="59"/>
  <c r="O25" i="59"/>
  <c r="N25" i="59"/>
  <c r="X25" i="59" s="1"/>
  <c r="Q24" i="59"/>
  <c r="P24" i="59"/>
  <c r="AA24" i="59" s="1"/>
  <c r="O24" i="59"/>
  <c r="N24" i="59"/>
  <c r="Q23" i="59"/>
  <c r="P23" i="59"/>
  <c r="AA23" i="59" s="1"/>
  <c r="O23" i="59"/>
  <c r="N23" i="59"/>
  <c r="Q22" i="59"/>
  <c r="P22" i="59"/>
  <c r="E23" i="59"/>
  <c r="E24" i="59"/>
  <c r="E25" i="59" s="1"/>
  <c r="U25" i="59" s="1"/>
  <c r="O22" i="59"/>
  <c r="N22" i="59"/>
  <c r="D22" i="59"/>
  <c r="Q21" i="59"/>
  <c r="P21" i="59"/>
  <c r="AA21" i="59" s="1"/>
  <c r="O21" i="59"/>
  <c r="N21" i="59"/>
  <c r="Q20" i="59"/>
  <c r="P20" i="59"/>
  <c r="AA20" i="59" s="1"/>
  <c r="O20" i="59"/>
  <c r="N20" i="59"/>
  <c r="Q19" i="59"/>
  <c r="P19" i="59"/>
  <c r="O19" i="59"/>
  <c r="N19" i="59"/>
  <c r="Q18" i="59"/>
  <c r="F19" i="59"/>
  <c r="F20" i="59" s="1"/>
  <c r="F21" i="59" s="1"/>
  <c r="V21" i="59" s="1"/>
  <c r="P18" i="59"/>
  <c r="O18" i="59"/>
  <c r="C19" i="59"/>
  <c r="N18" i="59"/>
  <c r="D18" i="59"/>
  <c r="Y15" i="59"/>
  <c r="Z15" i="59" s="1"/>
  <c r="AB14" i="59"/>
  <c r="E19" i="59"/>
  <c r="B40" i="59"/>
  <c r="B41" i="59"/>
  <c r="S41" i="59" s="1"/>
  <c r="E41" i="59"/>
  <c r="U41" i="59" s="1"/>
  <c r="S57" i="59"/>
  <c r="AA28" i="59"/>
  <c r="F32" i="59"/>
  <c r="F33" i="59" s="1"/>
  <c r="V33" i="59"/>
  <c r="F37" i="59"/>
  <c r="V37" i="59" s="1"/>
  <c r="F44" i="59"/>
  <c r="F45" i="59"/>
  <c r="V45" i="59" s="1"/>
  <c r="F49" i="59"/>
  <c r="V49" i="59" s="1"/>
  <c r="C20" i="59"/>
  <c r="D19" i="59"/>
  <c r="C32" i="59"/>
  <c r="C36" i="59"/>
  <c r="D36" i="59" s="1"/>
  <c r="D35" i="59"/>
  <c r="D43" i="59"/>
  <c r="D51" i="59"/>
  <c r="N56" i="59"/>
  <c r="Q56" i="59"/>
  <c r="O57" i="59"/>
  <c r="U57" i="59"/>
  <c r="Q57" i="59"/>
  <c r="C60" i="59"/>
  <c r="C59" i="59" s="1"/>
  <c r="E60" i="59"/>
  <c r="E59" i="59"/>
  <c r="D61" i="59"/>
  <c r="C64" i="59"/>
  <c r="D64" i="59" s="1"/>
  <c r="E64" i="59"/>
  <c r="E63" i="59"/>
  <c r="D65" i="59"/>
  <c r="C68" i="59"/>
  <c r="D68" i="59" s="1"/>
  <c r="E68" i="59"/>
  <c r="E67" i="59"/>
  <c r="U16" i="4"/>
  <c r="S16" i="4"/>
  <c r="Q16" i="4"/>
  <c r="O16" i="4"/>
  <c r="M16" i="4"/>
  <c r="L16" i="4" s="1"/>
  <c r="K16" i="4"/>
  <c r="C67" i="59"/>
  <c r="D67" i="59" s="1"/>
  <c r="D60" i="59"/>
  <c r="D59" i="59"/>
  <c r="C63" i="59"/>
  <c r="D63" i="59" s="1"/>
  <c r="N16" i="4"/>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c r="Q31" i="39"/>
  <c r="Z31" i="39" s="1"/>
  <c r="D105" i="39"/>
  <c r="E105" i="39"/>
  <c r="F105" i="39" s="1"/>
  <c r="F31" i="39"/>
  <c r="AA31" i="39"/>
  <c r="G20" i="20"/>
  <c r="B85" i="46"/>
  <c r="C22" i="20"/>
  <c r="B54" i="46" s="1"/>
  <c r="B65" i="46"/>
  <c r="S18" i="35"/>
  <c r="S21" i="37"/>
  <c r="S21" i="34"/>
  <c r="S27" i="40"/>
  <c r="S31" i="39"/>
  <c r="C27" i="40"/>
  <c r="C31" i="39"/>
  <c r="B74" i="46"/>
  <c r="E66" i="36"/>
  <c r="H18" i="35"/>
  <c r="J18" i="35"/>
  <c r="H21" i="37"/>
  <c r="J21" i="37"/>
  <c r="E84" i="34"/>
  <c r="F84" i="34" s="1"/>
  <c r="G84" i="34" s="1"/>
  <c r="J21" i="34"/>
  <c r="H21" i="34"/>
  <c r="F21" i="33"/>
  <c r="H21" i="33"/>
  <c r="J21" i="33"/>
  <c r="F83" i="21"/>
  <c r="H21" i="21"/>
  <c r="G83" i="21"/>
  <c r="J21" i="21"/>
  <c r="W21" i="21" s="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K58" i="46"/>
  <c r="J58" i="46" s="1"/>
  <c r="D58" i="46"/>
  <c r="K50" i="46"/>
  <c r="D83" i="46"/>
  <c r="D77" i="46"/>
  <c r="B83" i="46"/>
  <c r="B82" i="46"/>
  <c r="B71" i="46"/>
  <c r="B60" i="46"/>
  <c r="B49" i="46"/>
  <c r="M87" i="46"/>
  <c r="N87" i="46"/>
  <c r="K87" i="46"/>
  <c r="J87" i="46"/>
  <c r="D87" i="46"/>
  <c r="M86" i="46"/>
  <c r="N86" i="46" s="1"/>
  <c r="D86" i="46"/>
  <c r="K86" i="46"/>
  <c r="J86" i="46" s="1"/>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G11" i="1" s="1"/>
  <c r="D12" i="1"/>
  <c r="D13" i="1"/>
  <c r="D6" i="1"/>
  <c r="D7" i="1"/>
  <c r="D8" i="1"/>
  <c r="D9" i="1"/>
  <c r="F10" i="1"/>
  <c r="AP10" i="1" s="1"/>
  <c r="D10" i="1"/>
  <c r="G10" i="1" s="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Z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A44" i="3" s="1"/>
  <c r="BC44" i="3"/>
  <c r="BB44" i="3"/>
  <c r="AZ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Z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BC128" i="3"/>
  <c r="BB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L120" i="3" s="1"/>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A115" i="3" s="1"/>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Z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BC226" i="3"/>
  <c r="BB226" i="3"/>
  <c r="AZ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s="1"/>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AZ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L319" i="3" s="1"/>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AZ477" i="3" s="1"/>
  <c r="BN477" i="3"/>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G462" i="3" s="1"/>
  <c r="H462" i="3"/>
  <c r="BT461" i="3"/>
  <c r="BS461" i="3"/>
  <c r="BR461" i="3"/>
  <c r="BQ461" i="3"/>
  <c r="BP461" i="3"/>
  <c r="BO461" i="3"/>
  <c r="BL461" i="3" s="1"/>
  <c r="AZ461" i="3" s="1"/>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AZ451" i="3" s="1"/>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AZ446" i="3" s="1"/>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L433" i="3" s="1"/>
  <c r="AZ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AZ417" i="3" s="1"/>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L405" i="3" s="1"/>
  <c r="AZ405" i="3" s="1"/>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L402" i="3" s="1"/>
  <c r="AZ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G395" i="3" s="1"/>
  <c r="H395" i="3"/>
  <c r="BT394" i="3"/>
  <c r="BS394" i="3"/>
  <c r="BR394" i="3"/>
  <c r="BQ394" i="3"/>
  <c r="BP394" i="3"/>
  <c r="BO394" i="3"/>
  <c r="BL394" i="3" s="1"/>
  <c r="AZ394" i="3" s="1"/>
  <c r="BN394" i="3"/>
  <c r="BM394" i="3"/>
  <c r="BK394" i="3"/>
  <c r="BJ394" i="3"/>
  <c r="BI394" i="3"/>
  <c r="BH394" i="3"/>
  <c r="BG394" i="3"/>
  <c r="BF394" i="3"/>
  <c r="BE394" i="3"/>
  <c r="BD394" i="3"/>
  <c r="BC394" i="3"/>
  <c r="BA394" i="3" s="1"/>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s="1"/>
  <c r="C61" i="40"/>
  <c r="H60" i="40"/>
  <c r="H59" i="40"/>
  <c r="H58" i="40"/>
  <c r="I58" i="40"/>
  <c r="C58" i="40" s="1"/>
  <c r="H57" i="40"/>
  <c r="I57" i="40"/>
  <c r="C57" i="40" s="1"/>
  <c r="H56" i="40"/>
  <c r="I56" i="40"/>
  <c r="C56" i="40" s="1"/>
  <c r="H55" i="40"/>
  <c r="I55" i="40"/>
  <c r="C55" i="40"/>
  <c r="H54" i="40"/>
  <c r="I54" i="40" s="1"/>
  <c r="C54" i="40"/>
  <c r="H63" i="39"/>
  <c r="I63" i="39" s="1"/>
  <c r="C63" i="39" s="1"/>
  <c r="H59" i="39"/>
  <c r="I59" i="39" s="1"/>
  <c r="C59" i="39" s="1"/>
  <c r="H67" i="39"/>
  <c r="I67" i="39" s="1"/>
  <c r="C67" i="39" s="1"/>
  <c r="H66" i="39"/>
  <c r="I66" i="39" s="1"/>
  <c r="C66" i="39"/>
  <c r="H65" i="39"/>
  <c r="I65" i="39" s="1"/>
  <c r="C65" i="39" s="1"/>
  <c r="H64" i="39"/>
  <c r="I64" i="39" s="1"/>
  <c r="C64" i="39" s="1"/>
  <c r="H62" i="39"/>
  <c r="I62" i="39"/>
  <c r="C62" i="39" s="1"/>
  <c r="H61" i="39"/>
  <c r="I61" i="39" s="1"/>
  <c r="C61" i="39"/>
  <c r="H60" i="39"/>
  <c r="I60" i="39" s="1"/>
  <c r="C60" i="39" s="1"/>
  <c r="L25" i="4"/>
  <c r="C109" i="9"/>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s="1"/>
  <c r="R43" i="31"/>
  <c r="R44" i="31"/>
  <c r="S44" i="31"/>
  <c r="R45" i="31"/>
  <c r="R46" i="31"/>
  <c r="S46" i="31" s="1"/>
  <c r="R47" i="31"/>
  <c r="R48" i="31"/>
  <c r="S48" i="31" s="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s="1"/>
  <c r="R75" i="31"/>
  <c r="R76" i="31"/>
  <c r="S76" i="31"/>
  <c r="R77" i="31"/>
  <c r="R78" i="31"/>
  <c r="S78" i="31" s="1"/>
  <c r="R79" i="31"/>
  <c r="R80" i="31"/>
  <c r="S80" i="31" s="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s="1"/>
  <c r="R107" i="31"/>
  <c r="R108" i="31"/>
  <c r="S108" i="31"/>
  <c r="R109" i="31"/>
  <c r="R110" i="31"/>
  <c r="S110" i="31" s="1"/>
  <c r="R111" i="31"/>
  <c r="R112" i="31"/>
  <c r="S112" i="31" s="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s="1"/>
  <c r="R139" i="31"/>
  <c r="R140" i="31"/>
  <c r="S140" i="31"/>
  <c r="R141" i="31"/>
  <c r="R142" i="31"/>
  <c r="S142" i="31" s="1"/>
  <c r="R143" i="31"/>
  <c r="R144" i="31"/>
  <c r="S144" i="31" s="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s="1"/>
  <c r="R171" i="31"/>
  <c r="R172" i="31"/>
  <c r="S172" i="31"/>
  <c r="R173" i="31"/>
  <c r="R174" i="31"/>
  <c r="S174" i="31" s="1"/>
  <c r="R175" i="31"/>
  <c r="R176" i="31"/>
  <c r="S176" i="31" s="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s="1"/>
  <c r="R203" i="31"/>
  <c r="R204" i="31"/>
  <c r="S204" i="31"/>
  <c r="R205" i="31"/>
  <c r="R206" i="31"/>
  <c r="S206" i="31" s="1"/>
  <c r="R207" i="31"/>
  <c r="R208" i="31"/>
  <c r="S208" i="31" s="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s="1"/>
  <c r="R439" i="31"/>
  <c r="R440" i="31"/>
  <c r="S440" i="31"/>
  <c r="R441" i="31"/>
  <c r="R442" i="31"/>
  <c r="S442" i="31"/>
  <c r="R443" i="31"/>
  <c r="R444" i="31"/>
  <c r="S444" i="31" s="1"/>
  <c r="R445" i="31"/>
  <c r="R446" i="31"/>
  <c r="S446" i="31"/>
  <c r="R447" i="31"/>
  <c r="R448" i="31"/>
  <c r="S448" i="31"/>
  <c r="R449" i="31"/>
  <c r="R450" i="31"/>
  <c r="S450" i="31"/>
  <c r="R451" i="31"/>
  <c r="R452" i="31"/>
  <c r="S452" i="31" s="1"/>
  <c r="R453" i="31"/>
  <c r="R454" i="31"/>
  <c r="S454" i="31"/>
  <c r="R455" i="31"/>
  <c r="R456" i="31"/>
  <c r="S456" i="31"/>
  <c r="R457" i="31"/>
  <c r="R458" i="31"/>
  <c r="S458" i="31"/>
  <c r="R459" i="31"/>
  <c r="R460" i="31"/>
  <c r="S460" i="31" s="1"/>
  <c r="R461" i="31"/>
  <c r="R462" i="31"/>
  <c r="S462" i="3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c r="R505" i="31"/>
  <c r="R506" i="31"/>
  <c r="S506" i="31"/>
  <c r="R507" i="31"/>
  <c r="R508" i="31"/>
  <c r="S508" i="31"/>
  <c r="R509" i="31"/>
  <c r="R510" i="31"/>
  <c r="S510" i="31" s="1"/>
  <c r="R511" i="31"/>
  <c r="R512" i="31"/>
  <c r="S512" i="31"/>
  <c r="R513" i="31"/>
  <c r="R514" i="31"/>
  <c r="S514" i="3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s="1"/>
  <c r="M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s="1"/>
  <c r="J10" i="39"/>
  <c r="AC10" i="39" s="1"/>
  <c r="J11" i="39"/>
  <c r="W11" i="39" s="1"/>
  <c r="J36" i="39"/>
  <c r="AC36" i="39"/>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B20"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c r="I50" i="40"/>
  <c r="J50" i="40" s="1"/>
  <c r="G50" i="40"/>
  <c r="H50" i="40"/>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O5" i="3" s="1"/>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L501" i="3" s="1"/>
  <c r="BN501" i="3"/>
  <c r="BO501" i="3"/>
  <c r="BP501" i="3"/>
  <c r="BQ501" i="3"/>
  <c r="BQ5" i="3" s="1"/>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A510" i="3" s="1"/>
  <c r="BD510" i="3"/>
  <c r="BE510" i="3"/>
  <c r="BF510" i="3"/>
  <c r="BG510" i="3"/>
  <c r="BH510" i="3"/>
  <c r="BI510" i="3"/>
  <c r="BJ510" i="3"/>
  <c r="BK510" i="3"/>
  <c r="BM510" i="3"/>
  <c r="BN510" i="3"/>
  <c r="BO510" i="3"/>
  <c r="BP510" i="3"/>
  <c r="BR510" i="3"/>
  <c r="BS510" i="3"/>
  <c r="BT510" i="3"/>
  <c r="H511" i="3"/>
  <c r="G511" i="3" s="1"/>
  <c r="AC511" i="3"/>
  <c r="BB511" i="3"/>
  <c r="BA511" i="3" s="1"/>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A512" i="3" s="1"/>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A515" i="3" s="1"/>
  <c r="BD515" i="3"/>
  <c r="BE515" i="3"/>
  <c r="BF515" i="3"/>
  <c r="BG515" i="3"/>
  <c r="BH515" i="3"/>
  <c r="BI515" i="3"/>
  <c r="BJ515" i="3"/>
  <c r="BK515" i="3"/>
  <c r="BM515" i="3"/>
  <c r="BN515" i="3"/>
  <c r="BO515" i="3"/>
  <c r="BP515" i="3"/>
  <c r="BQ515" i="3"/>
  <c r="BR515" i="3"/>
  <c r="BS515" i="3"/>
  <c r="BT515" i="3"/>
  <c r="H516" i="3"/>
  <c r="AC516" i="3"/>
  <c r="BB516" i="3"/>
  <c r="BC516" i="3"/>
  <c r="BD516" i="3"/>
  <c r="BE516" i="3"/>
  <c r="BA516" i="3" s="1"/>
  <c r="BF516" i="3"/>
  <c r="BG516" i="3"/>
  <c r="BH516" i="3"/>
  <c r="BI516" i="3"/>
  <c r="BJ516" i="3"/>
  <c r="BK516" i="3"/>
  <c r="BM516" i="3"/>
  <c r="BN516" i="3"/>
  <c r="BL516" i="3" s="1"/>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L524" i="3" s="1"/>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A541" i="3" s="1"/>
  <c r="BD541" i="3"/>
  <c r="BE541" i="3"/>
  <c r="BF541" i="3"/>
  <c r="BG541" i="3"/>
  <c r="BH541" i="3"/>
  <c r="BI541" i="3"/>
  <c r="BJ541" i="3"/>
  <c r="BK541" i="3"/>
  <c r="BM541" i="3"/>
  <c r="BN541" i="3"/>
  <c r="BO541" i="3"/>
  <c r="BP541" i="3"/>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L546" i="3" s="1"/>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L548" i="3" s="1"/>
  <c r="BR548" i="3"/>
  <c r="BS548" i="3"/>
  <c r="BT548" i="3"/>
  <c r="H549" i="3"/>
  <c r="G549" i="3" s="1"/>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L550" i="3" s="1"/>
  <c r="BN550" i="3"/>
  <c r="BO550" i="3"/>
  <c r="BP550" i="3"/>
  <c r="BR550" i="3"/>
  <c r="BS550" i="3"/>
  <c r="BT550" i="3"/>
  <c r="H551" i="3"/>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A561" i="3" s="1"/>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A564" i="3" s="1"/>
  <c r="BE564" i="3"/>
  <c r="BF564" i="3"/>
  <c r="BG564" i="3"/>
  <c r="BH564" i="3"/>
  <c r="BI564" i="3"/>
  <c r="BJ564" i="3"/>
  <c r="BK564" i="3"/>
  <c r="BM564" i="3"/>
  <c r="BN564" i="3"/>
  <c r="BO564" i="3"/>
  <c r="BP564" i="3"/>
  <c r="BR564" i="3"/>
  <c r="BS564" i="3"/>
  <c r="BT564" i="3"/>
  <c r="H565" i="3"/>
  <c r="AC565" i="3"/>
  <c r="G565" i="3" s="1"/>
  <c r="BB565" i="3"/>
  <c r="BC565" i="3"/>
  <c r="BD565" i="3"/>
  <c r="BE565" i="3"/>
  <c r="BA565" i="3" s="1"/>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s="1"/>
  <c r="J31" i="35"/>
  <c r="AC31" i="35" s="1"/>
  <c r="H31" i="35"/>
  <c r="F31" i="35"/>
  <c r="D87" i="35"/>
  <c r="E87" i="35"/>
  <c r="F87" i="35" s="1"/>
  <c r="G87" i="35" s="1"/>
  <c r="H87" i="35" s="1"/>
  <c r="I87" i="35" s="1"/>
  <c r="J87" i="35" s="1"/>
  <c r="K87" i="35" s="1"/>
  <c r="L87" i="35" s="1"/>
  <c r="M87" i="35" s="1"/>
  <c r="H34" i="37"/>
  <c r="AB34" i="37"/>
  <c r="D101" i="37"/>
  <c r="E101" i="37" s="1"/>
  <c r="F101" i="37" s="1"/>
  <c r="F34" i="37"/>
  <c r="D99" i="37"/>
  <c r="E99" i="37"/>
  <c r="H42" i="34"/>
  <c r="U42" i="34" s="1"/>
  <c r="J42" i="34"/>
  <c r="F42" i="34"/>
  <c r="J38" i="34"/>
  <c r="W38" i="34" s="1"/>
  <c r="D114" i="34"/>
  <c r="E114" i="34" s="1"/>
  <c r="F114" i="34" s="1"/>
  <c r="G114" i="34" s="1"/>
  <c r="H114" i="34" s="1"/>
  <c r="F38" i="34"/>
  <c r="D112" i="34"/>
  <c r="E112" i="34"/>
  <c r="F112" i="34"/>
  <c r="G112" i="34"/>
  <c r="H112" i="34" s="1"/>
  <c r="I112" i="34" s="1"/>
  <c r="J112" i="34" s="1"/>
  <c r="K112" i="34" s="1"/>
  <c r="L112" i="34" s="1"/>
  <c r="M112" i="34" s="1"/>
  <c r="F40" i="33"/>
  <c r="J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E78" i="40" s="1"/>
  <c r="F78" i="40" s="1"/>
  <c r="F13" i="40"/>
  <c r="S13" i="40"/>
  <c r="B122" i="40"/>
  <c r="H42" i="40" s="1"/>
  <c r="F42" i="40"/>
  <c r="AA42" i="40" s="1"/>
  <c r="B120" i="40"/>
  <c r="B118" i="40"/>
  <c r="F40" i="40"/>
  <c r="AA40" i="40" s="1"/>
  <c r="D117" i="40"/>
  <c r="E117" i="40" s="1"/>
  <c r="F117" i="40" s="1"/>
  <c r="G117" i="40" s="1"/>
  <c r="H117" i="40" s="1"/>
  <c r="I117" i="40" s="1"/>
  <c r="J117" i="40"/>
  <c r="K117" i="40" s="1"/>
  <c r="L117" i="40" s="1"/>
  <c r="M117" i="40" s="1"/>
  <c r="D115" i="40"/>
  <c r="E115" i="40" s="1"/>
  <c r="J38" i="40"/>
  <c r="AC38" i="40"/>
  <c r="F115" i="40"/>
  <c r="G115" i="40" s="1"/>
  <c r="H115" i="40" s="1"/>
  <c r="I115" i="40" s="1"/>
  <c r="J115" i="40" s="1"/>
  <c r="K115" i="40" s="1"/>
  <c r="L115" i="40" s="1"/>
  <c r="M115" i="40" s="1"/>
  <c r="H38" i="40"/>
  <c r="AB38" i="40" s="1"/>
  <c r="D113" i="40"/>
  <c r="E113" i="40"/>
  <c r="F113" i="40"/>
  <c r="M109" i="40"/>
  <c r="L109" i="40"/>
  <c r="K109" i="40"/>
  <c r="J109" i="40"/>
  <c r="I109" i="40"/>
  <c r="H109" i="40"/>
  <c r="G109" i="40"/>
  <c r="F109" i="40"/>
  <c r="E109" i="40"/>
  <c r="D109" i="40"/>
  <c r="C109" i="40"/>
  <c r="B107" i="40"/>
  <c r="F35" i="40" s="1"/>
  <c r="S35" i="40" s="1"/>
  <c r="B105" i="40"/>
  <c r="F34" i="40"/>
  <c r="AA34" i="40"/>
  <c r="B103" i="40"/>
  <c r="D102" i="40"/>
  <c r="E102" i="40"/>
  <c r="F102" i="40"/>
  <c r="G102" i="40"/>
  <c r="H102" i="40" s="1"/>
  <c r="I102" i="40" s="1"/>
  <c r="J102" i="40" s="1"/>
  <c r="K102" i="40"/>
  <c r="L102" i="40" s="1"/>
  <c r="M102" i="40" s="1"/>
  <c r="D100" i="40"/>
  <c r="E100" i="40"/>
  <c r="D98" i="40"/>
  <c r="E98" i="40"/>
  <c r="B97" i="40"/>
  <c r="D94" i="40"/>
  <c r="D92" i="40"/>
  <c r="D90" i="40"/>
  <c r="E90" i="40" s="1"/>
  <c r="F90" i="40" s="1"/>
  <c r="G90" i="40" s="1"/>
  <c r="H21" i="40"/>
  <c r="AB21" i="40"/>
  <c r="D88" i="40"/>
  <c r="E88" i="40"/>
  <c r="F88" i="40" s="1"/>
  <c r="D86" i="40"/>
  <c r="E86" i="40"/>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c r="Q37" i="40"/>
  <c r="Z37" i="40" s="1"/>
  <c r="Q36" i="40"/>
  <c r="Z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s="1"/>
  <c r="Q15" i="40"/>
  <c r="Z15" i="40" s="1"/>
  <c r="Q14" i="40"/>
  <c r="Z14" i="40"/>
  <c r="Q13" i="40"/>
  <c r="Z13" i="40" s="1"/>
  <c r="Q12" i="40"/>
  <c r="Z12" i="40"/>
  <c r="Q11" i="40"/>
  <c r="Z11" i="40" s="1"/>
  <c r="C9" i="40"/>
  <c r="C65" i="40" s="1"/>
  <c r="C67" i="40" s="1"/>
  <c r="D126" i="39"/>
  <c r="E126" i="39" s="1"/>
  <c r="F126" i="39"/>
  <c r="G126" i="39" s="1"/>
  <c r="H126" i="39" s="1"/>
  <c r="I126" i="39" s="1"/>
  <c r="J126" i="39" s="1"/>
  <c r="K126" i="39" s="1"/>
  <c r="L126" i="39" s="1"/>
  <c r="M126" i="39" s="1"/>
  <c r="D122" i="39"/>
  <c r="E122" i="39"/>
  <c r="F122" i="39"/>
  <c r="G122" i="39" s="1"/>
  <c r="H122" i="39"/>
  <c r="I122" i="39" s="1"/>
  <c r="J122" i="39" s="1"/>
  <c r="K122" i="39" s="1"/>
  <c r="L122" i="39"/>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c r="G107" i="39" s="1"/>
  <c r="H107" i="39" s="1"/>
  <c r="I107" i="39" s="1"/>
  <c r="J107" i="39"/>
  <c r="K107" i="39" s="1"/>
  <c r="L107" i="39" s="1"/>
  <c r="M107" i="39" s="1"/>
  <c r="D103" i="39"/>
  <c r="D101" i="39"/>
  <c r="E101" i="39" s="1"/>
  <c r="F101" i="39"/>
  <c r="G101" i="39" s="1"/>
  <c r="Q41" i="39"/>
  <c r="Z41" i="39" s="1"/>
  <c r="Q42" i="39"/>
  <c r="Z42" i="39"/>
  <c r="Q43" i="39"/>
  <c r="Q44" i="39"/>
  <c r="Z44" i="39"/>
  <c r="Q45" i="39"/>
  <c r="Z45" i="39" s="1"/>
  <c r="Q46" i="39"/>
  <c r="Z46" i="39"/>
  <c r="Q47" i="39"/>
  <c r="Z47" i="39" s="1"/>
  <c r="Q40" i="39"/>
  <c r="Z40" i="39"/>
  <c r="Q38" i="39"/>
  <c r="Z38" i="39" s="1"/>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D124" i="39"/>
  <c r="E124" i="39" s="1"/>
  <c r="F124" i="39" s="1"/>
  <c r="G124" i="39" s="1"/>
  <c r="H124" i="39" s="1"/>
  <c r="I124" i="39" s="1"/>
  <c r="J124" i="39" s="1"/>
  <c r="K124" i="39" s="1"/>
  <c r="L124" i="39" s="1"/>
  <c r="M124" i="39" s="1"/>
  <c r="B106" i="39"/>
  <c r="D99" i="39"/>
  <c r="E99" i="39"/>
  <c r="F99" i="39"/>
  <c r="G99" i="39" s="1"/>
  <c r="D97" i="39"/>
  <c r="D95" i="39"/>
  <c r="E95" i="39"/>
  <c r="F95" i="39" s="1"/>
  <c r="G95" i="39"/>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J25" i="37" s="1"/>
  <c r="H25" i="37"/>
  <c r="U25" i="37"/>
  <c r="B110" i="37"/>
  <c r="J39" i="37"/>
  <c r="W39" i="37" s="1"/>
  <c r="AC39" i="37"/>
  <c r="B108" i="37"/>
  <c r="C23" i="37"/>
  <c r="C19" i="37"/>
  <c r="C17" i="37"/>
  <c r="C15" i="37"/>
  <c r="B112" i="37"/>
  <c r="D107" i="37"/>
  <c r="E107" i="37"/>
  <c r="D105" i="37"/>
  <c r="E105" i="37" s="1"/>
  <c r="F105" i="37" s="1"/>
  <c r="G105" i="37" s="1"/>
  <c r="H36" i="37"/>
  <c r="D103" i="37"/>
  <c r="E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c r="F79" i="37" s="1"/>
  <c r="D75" i="37"/>
  <c r="E75" i="37" s="1"/>
  <c r="F75" i="37"/>
  <c r="D73" i="37"/>
  <c r="E73" i="37"/>
  <c r="F73" i="37" s="1"/>
  <c r="G73" i="37" s="1"/>
  <c r="D71" i="37"/>
  <c r="E71" i="37"/>
  <c r="F71" i="37" s="1"/>
  <c r="G71" i="37"/>
  <c r="F15" i="37"/>
  <c r="AA15" i="37"/>
  <c r="B68" i="37"/>
  <c r="H14" i="37"/>
  <c r="U14" i="37" s="1"/>
  <c r="B66" i="37"/>
  <c r="B64" i="37"/>
  <c r="D63" i="37"/>
  <c r="E63" i="37" s="1"/>
  <c r="F63" i="37" s="1"/>
  <c r="G63" i="37" s="1"/>
  <c r="H63" i="37"/>
  <c r="I63" i="37"/>
  <c r="J63" i="37" s="1"/>
  <c r="K63" i="37" s="1"/>
  <c r="L63" i="37" s="1"/>
  <c r="M63" i="37" s="1"/>
  <c r="M61" i="37"/>
  <c r="L61" i="37"/>
  <c r="K61" i="37"/>
  <c r="J61" i="37"/>
  <c r="I61" i="37"/>
  <c r="H61" i="37"/>
  <c r="G61" i="37"/>
  <c r="F61" i="37"/>
  <c r="E61" i="37"/>
  <c r="D61" i="37"/>
  <c r="C61" i="37"/>
  <c r="F60" i="37"/>
  <c r="G60" i="37" s="1"/>
  <c r="H60" i="37" s="1"/>
  <c r="I60" i="37" s="1"/>
  <c r="H10" i="37"/>
  <c r="AB10" i="37" s="1"/>
  <c r="U10"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W30" i="37"/>
  <c r="H30" i="37"/>
  <c r="AB30" i="37"/>
  <c r="F30" i="37"/>
  <c r="Q29" i="37"/>
  <c r="Z29" i="37" s="1"/>
  <c r="H29" i="37"/>
  <c r="AB29" i="37" s="1"/>
  <c r="U29" i="37"/>
  <c r="Q28" i="37"/>
  <c r="Z28" i="37" s="1"/>
  <c r="Q27" i="37"/>
  <c r="Z27" i="37"/>
  <c r="Q26" i="37"/>
  <c r="Z26" i="37" s="1"/>
  <c r="J26" i="37"/>
  <c r="H26" i="37"/>
  <c r="U26" i="37" s="1"/>
  <c r="AB26" i="37"/>
  <c r="F26" i="37"/>
  <c r="AA26" i="37"/>
  <c r="Q25" i="37"/>
  <c r="Z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H29" i="36"/>
  <c r="U29" i="36" s="1"/>
  <c r="AB29" i="36"/>
  <c r="D81" i="36"/>
  <c r="E81" i="36"/>
  <c r="F81" i="36" s="1"/>
  <c r="G81" i="36" s="1"/>
  <c r="H81" i="36" s="1"/>
  <c r="I81" i="36"/>
  <c r="J81" i="36" s="1"/>
  <c r="K81" i="36" s="1"/>
  <c r="L81" i="36" s="1"/>
  <c r="M81" i="36" s="1"/>
  <c r="F79" i="36"/>
  <c r="E79" i="36"/>
  <c r="D79" i="36"/>
  <c r="C79" i="36"/>
  <c r="B93" i="36"/>
  <c r="B91" i="36"/>
  <c r="B95" i="36"/>
  <c r="F34" i="36" s="1"/>
  <c r="S34" i="36" s="1"/>
  <c r="H34" i="36"/>
  <c r="D83" i="36"/>
  <c r="E83" i="36"/>
  <c r="F83" i="36"/>
  <c r="G83" i="36"/>
  <c r="H83" i="36" s="1"/>
  <c r="I83" i="36" s="1"/>
  <c r="J83" i="36" s="1"/>
  <c r="K83" i="36" s="1"/>
  <c r="L83" i="36" s="1"/>
  <c r="M83" i="36" s="1"/>
  <c r="D78" i="36"/>
  <c r="E78" i="36" s="1"/>
  <c r="F78" i="36" s="1"/>
  <c r="G78" i="36" s="1"/>
  <c r="H78" i="36" s="1"/>
  <c r="I78" i="36" s="1"/>
  <c r="J78" i="36" s="1"/>
  <c r="J26" i="36"/>
  <c r="W26" i="36" s="1"/>
  <c r="B75" i="36"/>
  <c r="F25" i="36" s="1"/>
  <c r="B73" i="36"/>
  <c r="H24" i="36" s="1"/>
  <c r="U24" i="36" s="1"/>
  <c r="J24" i="36"/>
  <c r="W24" i="36" s="1"/>
  <c r="B71" i="36"/>
  <c r="D70" i="36"/>
  <c r="H22" i="36"/>
  <c r="D68" i="36"/>
  <c r="E68" i="36" s="1"/>
  <c r="F68" i="36" s="1"/>
  <c r="D64" i="36"/>
  <c r="E64" i="36" s="1"/>
  <c r="F64" i="36"/>
  <c r="G64" i="36"/>
  <c r="J16" i="36"/>
  <c r="D62" i="36"/>
  <c r="E62" i="36"/>
  <c r="B59" i="36"/>
  <c r="B57" i="36"/>
  <c r="J12" i="36" s="1"/>
  <c r="B55" i="36"/>
  <c r="F54" i="36"/>
  <c r="G54" i="36"/>
  <c r="H54" i="36" s="1"/>
  <c r="I54" i="36" s="1"/>
  <c r="J10" i="36"/>
  <c r="AC10" i="36" s="1"/>
  <c r="W10" i="36"/>
  <c r="C51" i="36"/>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c r="Q24" i="36"/>
  <c r="Z24" i="36" s="1"/>
  <c r="Q23" i="36"/>
  <c r="Z23" i="36" s="1"/>
  <c r="J23" i="36"/>
  <c r="AC23" i="36"/>
  <c r="H23" i="36"/>
  <c r="AB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9" i="36"/>
  <c r="H9" i="36"/>
  <c r="AB9" i="36"/>
  <c r="F9" i="36"/>
  <c r="J8" i="36"/>
  <c r="AC8" i="36" s="1"/>
  <c r="H8" i="36"/>
  <c r="F8" i="36"/>
  <c r="AA8" i="36"/>
  <c r="C7" i="36"/>
  <c r="D89" i="35"/>
  <c r="H30" i="35"/>
  <c r="U30" i="35"/>
  <c r="M90" i="35"/>
  <c r="L90" i="35"/>
  <c r="K90" i="35"/>
  <c r="J90" i="35"/>
  <c r="I90" i="35"/>
  <c r="H90" i="35"/>
  <c r="G90" i="35"/>
  <c r="F90" i="35"/>
  <c r="E90" i="35"/>
  <c r="D90" i="35"/>
  <c r="C90" i="35"/>
  <c r="F85" i="35"/>
  <c r="E85" i="35"/>
  <c r="D85" i="35"/>
  <c r="C85" i="35"/>
  <c r="J27" i="35"/>
  <c r="H27" i="35"/>
  <c r="U27" i="35"/>
  <c r="F27" i="35"/>
  <c r="AA27" i="35" s="1"/>
  <c r="J22" i="35"/>
  <c r="AC22" i="35"/>
  <c r="B101" i="35"/>
  <c r="H36" i="35" s="1"/>
  <c r="B99" i="35"/>
  <c r="B97" i="35"/>
  <c r="B77" i="35"/>
  <c r="B75" i="35"/>
  <c r="J24" i="35" s="1"/>
  <c r="W24" i="35" s="1"/>
  <c r="AC24" i="35"/>
  <c r="B73" i="35"/>
  <c r="B57" i="35"/>
  <c r="B61" i="35"/>
  <c r="B59" i="35"/>
  <c r="F12" i="35" s="1"/>
  <c r="AA12" i="35" s="1"/>
  <c r="H12" i="35"/>
  <c r="U12" i="35" s="1"/>
  <c r="B131" i="34"/>
  <c r="F47" i="34" s="1"/>
  <c r="AA47" i="34" s="1"/>
  <c r="B129" i="34"/>
  <c r="B127" i="34"/>
  <c r="B99" i="34"/>
  <c r="B97" i="34"/>
  <c r="J31" i="34" s="1"/>
  <c r="B95" i="34"/>
  <c r="B93" i="34"/>
  <c r="B75" i="34"/>
  <c r="B73" i="34"/>
  <c r="B71" i="34"/>
  <c r="B130" i="33"/>
  <c r="B128" i="33"/>
  <c r="B126" i="33"/>
  <c r="J44" i="33" s="1"/>
  <c r="B98" i="33"/>
  <c r="H31" i="33" s="1"/>
  <c r="F31" i="33"/>
  <c r="B96" i="33"/>
  <c r="H30" i="33" s="1"/>
  <c r="AB30" i="33" s="1"/>
  <c r="B94" i="33"/>
  <c r="J29" i="33" s="1"/>
  <c r="B74" i="33"/>
  <c r="H14" i="33" s="1"/>
  <c r="U14" i="33" s="1"/>
  <c r="B72" i="33"/>
  <c r="B70" i="33"/>
  <c r="H12" i="33" s="1"/>
  <c r="U12" i="33" s="1"/>
  <c r="D96" i="35"/>
  <c r="E96" i="35"/>
  <c r="F96" i="35" s="1"/>
  <c r="G96" i="35"/>
  <c r="D94" i="35"/>
  <c r="E94" i="35" s="1"/>
  <c r="F94" i="35" s="1"/>
  <c r="D84" i="35"/>
  <c r="E84" i="35" s="1"/>
  <c r="F84" i="35"/>
  <c r="G84" i="35"/>
  <c r="H84" i="35" s="1"/>
  <c r="I84" i="35" s="1"/>
  <c r="J84" i="35" s="1"/>
  <c r="K84" i="35" s="1"/>
  <c r="L84" i="35" s="1"/>
  <c r="M84" i="35" s="1"/>
  <c r="D80" i="35"/>
  <c r="E80" i="35" s="1"/>
  <c r="D72" i="35"/>
  <c r="D70" i="35"/>
  <c r="E70" i="35" s="1"/>
  <c r="F70" i="35"/>
  <c r="G70" i="35"/>
  <c r="D66" i="35"/>
  <c r="E66" i="35" s="1"/>
  <c r="F66" i="35"/>
  <c r="G66" i="35"/>
  <c r="D64" i="35"/>
  <c r="E64" i="35" s="1"/>
  <c r="F64" i="35" s="1"/>
  <c r="G64" i="35" s="1"/>
  <c r="F56" i="35"/>
  <c r="G56" i="35" s="1"/>
  <c r="H56" i="35" s="1"/>
  <c r="I56" i="35" s="1"/>
  <c r="C53" i="35"/>
  <c r="H9" i="35" s="1"/>
  <c r="AB9" i="35"/>
  <c r="P39" i="35"/>
  <c r="P38" i="35"/>
  <c r="V37" i="35"/>
  <c r="T37" i="35"/>
  <c r="R37" i="35"/>
  <c r="P37" i="35"/>
  <c r="Q36" i="35"/>
  <c r="Z36" i="35"/>
  <c r="J36" i="35"/>
  <c r="Q35" i="35"/>
  <c r="Z35" i="35"/>
  <c r="Q34" i="35"/>
  <c r="Z34" i="35" s="1"/>
  <c r="H34" i="35"/>
  <c r="Q33" i="35"/>
  <c r="Z33" i="35"/>
  <c r="Q32" i="35"/>
  <c r="Z32" i="35"/>
  <c r="H32" i="35"/>
  <c r="U32" i="35" s="1"/>
  <c r="AB32" i="35"/>
  <c r="F32" i="35"/>
  <c r="AA32" i="35"/>
  <c r="Q31" i="35"/>
  <c r="Z31" i="35"/>
  <c r="AB31" i="35"/>
  <c r="AA31" i="35"/>
  <c r="Q30" i="35"/>
  <c r="Z30" i="35" s="1"/>
  <c r="Q29" i="35"/>
  <c r="Z29" i="35"/>
  <c r="Q28" i="35"/>
  <c r="Z28" i="35" s="1"/>
  <c r="J28" i="35"/>
  <c r="H28" i="35"/>
  <c r="F28" i="35"/>
  <c r="Q27" i="35"/>
  <c r="Z27" i="35"/>
  <c r="Q26" i="35"/>
  <c r="Z26" i="35" s="1"/>
  <c r="Q25" i="35"/>
  <c r="Z25" i="35" s="1"/>
  <c r="Q24" i="35"/>
  <c r="Z24" i="35" s="1"/>
  <c r="Q23" i="35"/>
  <c r="Z23" i="35"/>
  <c r="Q22" i="35"/>
  <c r="Z22" i="35"/>
  <c r="Q20" i="35"/>
  <c r="Z20" i="35" s="1"/>
  <c r="Q16" i="35"/>
  <c r="Z16" i="35"/>
  <c r="Q14" i="35"/>
  <c r="Z14" i="35" s="1"/>
  <c r="Q13" i="35"/>
  <c r="Z13" i="35" s="1"/>
  <c r="Q12" i="35"/>
  <c r="Z12" i="35" s="1"/>
  <c r="J12" i="35"/>
  <c r="Q11" i="35"/>
  <c r="Z11" i="35"/>
  <c r="Q10" i="35"/>
  <c r="Z10" i="35" s="1"/>
  <c r="Q9" i="35"/>
  <c r="Z9" i="35"/>
  <c r="J9" i="35"/>
  <c r="F9" i="35"/>
  <c r="J8" i="35"/>
  <c r="H8" i="35"/>
  <c r="F8" i="35"/>
  <c r="AA8" i="35" s="1"/>
  <c r="C7" i="35"/>
  <c r="C48" i="35" s="1"/>
  <c r="D48" i="35" s="1"/>
  <c r="E48" i="35" s="1"/>
  <c r="F48" i="35" s="1"/>
  <c r="G48" i="35" s="1"/>
  <c r="H48" i="35" s="1"/>
  <c r="I48" i="35" s="1"/>
  <c r="J48" i="35" s="1"/>
  <c r="K48" i="35" s="1"/>
  <c r="L48" i="35" s="1"/>
  <c r="D120" i="34"/>
  <c r="E120" i="34"/>
  <c r="F120" i="34" s="1"/>
  <c r="G120" i="34" s="1"/>
  <c r="H120" i="34" s="1"/>
  <c r="I120" i="34"/>
  <c r="J120" i="34"/>
  <c r="K120" i="34" s="1"/>
  <c r="L120" i="34" s="1"/>
  <c r="M120" i="34" s="1"/>
  <c r="D90" i="34"/>
  <c r="E90" i="34" s="1"/>
  <c r="C15" i="34"/>
  <c r="F67" i="34"/>
  <c r="G67" i="34"/>
  <c r="H67" i="34"/>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AB40"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c r="I92" i="34"/>
  <c r="J92" i="34" s="1"/>
  <c r="K92" i="34" s="1"/>
  <c r="L92" i="34" s="1"/>
  <c r="M92" i="34" s="1"/>
  <c r="B91" i="34"/>
  <c r="F28" i="34"/>
  <c r="S28" i="34"/>
  <c r="B89" i="34"/>
  <c r="D88" i="34"/>
  <c r="E88" i="34" s="1"/>
  <c r="F88" i="34" s="1"/>
  <c r="G88" i="34" s="1"/>
  <c r="H88" i="34"/>
  <c r="I88" i="34"/>
  <c r="J88" i="34" s="1"/>
  <c r="K88" i="34" s="1"/>
  <c r="L88" i="34" s="1"/>
  <c r="M88" i="34" s="1"/>
  <c r="D86" i="34"/>
  <c r="E86" i="34" s="1"/>
  <c r="D82" i="34"/>
  <c r="E82" i="34"/>
  <c r="F82" i="34"/>
  <c r="G82" i="34" s="1"/>
  <c r="D80" i="34"/>
  <c r="E80" i="34" s="1"/>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c r="F43" i="34"/>
  <c r="AA43" i="34" s="1"/>
  <c r="Q42" i="34"/>
  <c r="Z42" i="34"/>
  <c r="Q41" i="34"/>
  <c r="Z41" i="34" s="1"/>
  <c r="Q40" i="34"/>
  <c r="Z40" i="34" s="1"/>
  <c r="F40" i="34"/>
  <c r="S40" i="34" s="1"/>
  <c r="Q39" i="34"/>
  <c r="Z39" i="34" s="1"/>
  <c r="J39" i="34"/>
  <c r="H39" i="34"/>
  <c r="U39" i="34"/>
  <c r="F39" i="34"/>
  <c r="Q38" i="34"/>
  <c r="Z38" i="34"/>
  <c r="Q37" i="34"/>
  <c r="Z37" i="34" s="1"/>
  <c r="Q36" i="34"/>
  <c r="Z36" i="34"/>
  <c r="Q35" i="34"/>
  <c r="Z35" i="34" s="1"/>
  <c r="Q34" i="34"/>
  <c r="Z34" i="34"/>
  <c r="J34" i="34"/>
  <c r="W34" i="34" s="1"/>
  <c r="H34" i="34"/>
  <c r="AB34" i="34" s="1"/>
  <c r="F34" i="34"/>
  <c r="AA34" i="34"/>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G121" i="33" s="1"/>
  <c r="F109" i="33"/>
  <c r="E109" i="33"/>
  <c r="D109" i="33"/>
  <c r="C109" i="33"/>
  <c r="D91" i="33"/>
  <c r="E91" i="33"/>
  <c r="F91" i="33" s="1"/>
  <c r="G91" i="33"/>
  <c r="H91" i="33"/>
  <c r="I91" i="33" s="1"/>
  <c r="J91" i="33" s="1"/>
  <c r="K91" i="33" s="1"/>
  <c r="L91" i="33" s="1"/>
  <c r="M91" i="33" s="1"/>
  <c r="B88" i="33"/>
  <c r="J26" i="33"/>
  <c r="W26" i="33" s="1"/>
  <c r="AC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F27" i="33" s="1"/>
  <c r="H27" i="33"/>
  <c r="D87" i="33"/>
  <c r="E87" i="33"/>
  <c r="D85" i="33"/>
  <c r="E85" i="33" s="1"/>
  <c r="D81" i="33"/>
  <c r="E81" i="33"/>
  <c r="F81" i="33" s="1"/>
  <c r="G81" i="33" s="1"/>
  <c r="D79" i="33"/>
  <c r="E79" i="33"/>
  <c r="D77" i="33"/>
  <c r="E77" i="33" s="1"/>
  <c r="F77" i="33" s="1"/>
  <c r="G77" i="33" s="1"/>
  <c r="D69" i="33"/>
  <c r="E69" i="33"/>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s="1"/>
  <c r="J40" i="33"/>
  <c r="AC40" i="33"/>
  <c r="H40" i="33"/>
  <c r="Q39" i="33"/>
  <c r="Z39" i="33"/>
  <c r="J39" i="33"/>
  <c r="AC39" i="33" s="1"/>
  <c r="Q38" i="33"/>
  <c r="Z38" i="33" s="1"/>
  <c r="J38" i="33"/>
  <c r="AC38" i="33" s="1"/>
  <c r="H38" i="33"/>
  <c r="U38" i="33" s="1"/>
  <c r="F38" i="33"/>
  <c r="AA38" i="33" s="1"/>
  <c r="Q37" i="33"/>
  <c r="Z37" i="33"/>
  <c r="Q36" i="33"/>
  <c r="Z36" i="33" s="1"/>
  <c r="Q35" i="33"/>
  <c r="Z35" i="33"/>
  <c r="H35" i="33"/>
  <c r="AB35" i="33" s="1"/>
  <c r="Q34" i="33"/>
  <c r="Z34" i="33" s="1"/>
  <c r="Q33" i="33"/>
  <c r="Z33" i="33" s="1"/>
  <c r="J33" i="33"/>
  <c r="H33" i="33"/>
  <c r="AB33" i="33" s="1"/>
  <c r="F33" i="33"/>
  <c r="AA33" i="33"/>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J12" i="33"/>
  <c r="F12" i="33"/>
  <c r="Q11" i="33"/>
  <c r="Z11" i="33" s="1"/>
  <c r="Q10" i="33"/>
  <c r="Z10" i="33" s="1"/>
  <c r="Q9" i="33"/>
  <c r="Z9" i="33"/>
  <c r="J9" i="33"/>
  <c r="AC9" i="33" s="1"/>
  <c r="H9" i="33"/>
  <c r="U9" i="33" s="1"/>
  <c r="AB9" i="33"/>
  <c r="F9" i="33"/>
  <c r="J8" i="33"/>
  <c r="W8" i="33"/>
  <c r="H8" i="33"/>
  <c r="AB8" i="33" s="1"/>
  <c r="F8" i="33"/>
  <c r="C7" i="33"/>
  <c r="C58" i="33" s="1"/>
  <c r="M102" i="21"/>
  <c r="D102" i="21"/>
  <c r="E102" i="21"/>
  <c r="F102" i="21"/>
  <c r="G102" i="21"/>
  <c r="H102" i="21"/>
  <c r="I102" i="21"/>
  <c r="J102" i="21"/>
  <c r="K102" i="21"/>
  <c r="L102" i="21"/>
  <c r="C102" i="21"/>
  <c r="C63" i="21"/>
  <c r="F9" i="21" s="1"/>
  <c r="G18" i="20"/>
  <c r="B87" i="46"/>
  <c r="C25" i="40"/>
  <c r="G16" i="20"/>
  <c r="B81" i="46"/>
  <c r="G15" i="20"/>
  <c r="B80" i="46" s="1"/>
  <c r="C24" i="20"/>
  <c r="C21" i="20"/>
  <c r="B73" i="46" s="1"/>
  <c r="C20" i="20"/>
  <c r="B76" i="46"/>
  <c r="C18" i="20"/>
  <c r="C17" i="20"/>
  <c r="B58" i="46"/>
  <c r="C16" i="20"/>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D119" i="21"/>
  <c r="D117" i="21"/>
  <c r="E117" i="21"/>
  <c r="F117" i="21" s="1"/>
  <c r="G117" i="21" s="1"/>
  <c r="D115" i="21"/>
  <c r="E115" i="21"/>
  <c r="F115" i="21"/>
  <c r="G115" i="21" s="1"/>
  <c r="H115" i="21" s="1"/>
  <c r="I115" i="21" s="1"/>
  <c r="J115" i="21" s="1"/>
  <c r="K115" i="21" s="1"/>
  <c r="L115" i="21" s="1"/>
  <c r="M115" i="21" s="1"/>
  <c r="D113" i="21"/>
  <c r="E113" i="21"/>
  <c r="F113" i="21" s="1"/>
  <c r="D110" i="21"/>
  <c r="E110" i="21" s="1"/>
  <c r="F110" i="21"/>
  <c r="G110" i="21"/>
  <c r="H110" i="21" s="1"/>
  <c r="I110" i="21" s="1"/>
  <c r="J110" i="21" s="1"/>
  <c r="K110" i="21" s="1"/>
  <c r="L110" i="21" s="1"/>
  <c r="M110" i="21" s="1"/>
  <c r="J36" i="21"/>
  <c r="W36" i="21" s="1"/>
  <c r="D108" i="21"/>
  <c r="E108" i="21"/>
  <c r="F108" i="21" s="1"/>
  <c r="G108" i="21" s="1"/>
  <c r="H108" i="21" s="1"/>
  <c r="I108" i="21" s="1"/>
  <c r="J108" i="21" s="1"/>
  <c r="K108" i="21" s="1"/>
  <c r="L108" i="21"/>
  <c r="M108" i="21" s="1"/>
  <c r="D106" i="21"/>
  <c r="E106" i="21"/>
  <c r="F106" i="21"/>
  <c r="G106" i="21" s="1"/>
  <c r="H106" i="21" s="1"/>
  <c r="I106" i="21" s="1"/>
  <c r="J106" i="2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F79" i="21" s="1"/>
  <c r="G79" i="21" s="1"/>
  <c r="D85" i="21"/>
  <c r="D81" i="21"/>
  <c r="E81" i="21" s="1"/>
  <c r="D77" i="21"/>
  <c r="E77" i="21" s="1"/>
  <c r="B130" i="21"/>
  <c r="H46" i="21" s="1"/>
  <c r="AB46" i="21" s="1"/>
  <c r="B128" i="21"/>
  <c r="B126" i="21"/>
  <c r="J44" i="21" s="1"/>
  <c r="AC44" i="21" s="1"/>
  <c r="B98" i="21"/>
  <c r="B96" i="21"/>
  <c r="F30" i="21" s="1"/>
  <c r="S30" i="21" s="1"/>
  <c r="B94" i="21"/>
  <c r="B92" i="21"/>
  <c r="F28" i="21" s="1"/>
  <c r="S28" i="21" s="1"/>
  <c r="B90" i="21"/>
  <c r="B74" i="21"/>
  <c r="J14" i="21" s="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s="1"/>
  <c r="J38" i="21"/>
  <c r="W38" i="21" s="1"/>
  <c r="Q38" i="21"/>
  <c r="Z38" i="21"/>
  <c r="J39" i="21"/>
  <c r="AC39" i="21" s="1"/>
  <c r="Q39" i="21"/>
  <c r="Z39" i="21" s="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M5" i="3" s="1"/>
  <c r="F29" i="6" s="1"/>
  <c r="BN13" i="3"/>
  <c r="BO13" i="3"/>
  <c r="BP13" i="3"/>
  <c r="BS13" i="3"/>
  <c r="BS5" i="3" s="1"/>
  <c r="BT13" i="3"/>
  <c r="BB570" i="3"/>
  <c r="BC570" i="3"/>
  <c r="BD570" i="3"/>
  <c r="BE570" i="3"/>
  <c r="BF570" i="3"/>
  <c r="BG570" i="3"/>
  <c r="BA570"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H38" i="21"/>
  <c r="AB38" i="21" s="1"/>
  <c r="H43" i="21"/>
  <c r="AB43" i="21" s="1"/>
  <c r="F38" i="21"/>
  <c r="S38" i="21" s="1"/>
  <c r="F36" i="21"/>
  <c r="S36" i="21" s="1"/>
  <c r="F39" i="21"/>
  <c r="AA39" i="21" s="1"/>
  <c r="J40" i="21"/>
  <c r="H35" i="21"/>
  <c r="AB35" i="21" s="1"/>
  <c r="J8" i="21"/>
  <c r="AC8" i="21" s="1"/>
  <c r="H8" i="21"/>
  <c r="H10" i="21"/>
  <c r="U10" i="21" s="1"/>
  <c r="H39" i="21"/>
  <c r="AB39" i="21"/>
  <c r="J34" i="21"/>
  <c r="H36" i="21"/>
  <c r="U36" i="21" s="1"/>
  <c r="F35" i="21"/>
  <c r="AA35" i="21" s="1"/>
  <c r="J33" i="21"/>
  <c r="W33" i="21" s="1"/>
  <c r="H33" i="21"/>
  <c r="F33" i="21"/>
  <c r="AA33" i="21" s="1"/>
  <c r="J10" i="21"/>
  <c r="AC10" i="21" s="1"/>
  <c r="H26" i="21"/>
  <c r="U26" i="21" s="1"/>
  <c r="J12" i="21"/>
  <c r="H12" i="21"/>
  <c r="U12" i="21" s="1"/>
  <c r="J26" i="21"/>
  <c r="W26" i="21"/>
  <c r="F26" i="21"/>
  <c r="AA26" i="21" s="1"/>
  <c r="AB41" i="21"/>
  <c r="S10" i="39"/>
  <c r="U30" i="37"/>
  <c r="F103" i="37"/>
  <c r="G103" i="37" s="1"/>
  <c r="H103" i="37" s="1"/>
  <c r="I103" i="37" s="1"/>
  <c r="J103" i="37" s="1"/>
  <c r="K103" i="37" s="1"/>
  <c r="L103" i="37" s="1"/>
  <c r="M103" i="37" s="1"/>
  <c r="F39" i="37"/>
  <c r="S39" i="37"/>
  <c r="F29" i="36"/>
  <c r="S29" i="36" s="1"/>
  <c r="AA29" i="36"/>
  <c r="F16" i="36"/>
  <c r="AA16" i="36" s="1"/>
  <c r="W23" i="36"/>
  <c r="W22" i="36"/>
  <c r="AC31" i="36"/>
  <c r="U31" i="35"/>
  <c r="S31" i="35"/>
  <c r="W31" i="35"/>
  <c r="F36" i="34"/>
  <c r="S36" i="34"/>
  <c r="W9" i="34"/>
  <c r="S34" i="34"/>
  <c r="H39" i="33"/>
  <c r="U39" i="33" s="1"/>
  <c r="AB39" i="33"/>
  <c r="F26" i="33"/>
  <c r="AA26" i="33" s="1"/>
  <c r="U33" i="33"/>
  <c r="W38" i="33"/>
  <c r="S33" i="33"/>
  <c r="S8" i="21"/>
  <c r="H39" i="37"/>
  <c r="AB39" i="37" s="1"/>
  <c r="AB27" i="35"/>
  <c r="S10" i="40"/>
  <c r="W10" i="40"/>
  <c r="S11" i="40"/>
  <c r="U11" i="40"/>
  <c r="S36" i="40"/>
  <c r="U36" i="40"/>
  <c r="S36" i="39"/>
  <c r="AA38" i="21"/>
  <c r="AC35" i="21"/>
  <c r="U36" i="39"/>
  <c r="S42" i="39"/>
  <c r="H32" i="33"/>
  <c r="H11" i="21"/>
  <c r="U11" i="21" s="1"/>
  <c r="F100" i="40"/>
  <c r="F86" i="40"/>
  <c r="G86" i="40" s="1"/>
  <c r="J27" i="36"/>
  <c r="J34" i="36"/>
  <c r="W34" i="36" s="1"/>
  <c r="J30" i="35"/>
  <c r="W30" i="35"/>
  <c r="F22" i="35"/>
  <c r="H10" i="35"/>
  <c r="AB10" i="35" s="1"/>
  <c r="U10" i="35"/>
  <c r="AC24" i="36"/>
  <c r="M85" i="36"/>
  <c r="J29" i="36"/>
  <c r="AC29" i="36" s="1"/>
  <c r="F12" i="36"/>
  <c r="AA12" i="36" s="1"/>
  <c r="S12" i="36"/>
  <c r="F24" i="36"/>
  <c r="S10" i="36"/>
  <c r="H16" i="35"/>
  <c r="U16" i="35" s="1"/>
  <c r="H33" i="35"/>
  <c r="AB33" i="35" s="1"/>
  <c r="W8" i="35"/>
  <c r="AC8" i="35"/>
  <c r="F35" i="37"/>
  <c r="G101" i="37"/>
  <c r="H101" i="37"/>
  <c r="I101" i="37" s="1"/>
  <c r="J101" i="37" s="1"/>
  <c r="K101" i="37" s="1"/>
  <c r="L101" i="37" s="1"/>
  <c r="M101" i="37" s="1"/>
  <c r="J34" i="37"/>
  <c r="AA39" i="37"/>
  <c r="H43" i="34"/>
  <c r="H36" i="34"/>
  <c r="U36" i="34" s="1"/>
  <c r="F37" i="34"/>
  <c r="S37" i="34" s="1"/>
  <c r="AA37" i="34"/>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AC34" i="36"/>
  <c r="H29" i="35"/>
  <c r="U29" i="35" s="1"/>
  <c r="U34" i="37"/>
  <c r="AC43" i="34"/>
  <c r="J19" i="34"/>
  <c r="AC19" i="34"/>
  <c r="H37" i="33"/>
  <c r="AB37" i="33" s="1"/>
  <c r="S37" i="33"/>
  <c r="W43" i="34"/>
  <c r="AA42" i="34"/>
  <c r="S42" i="34"/>
  <c r="AC38" i="34"/>
  <c r="J37" i="33"/>
  <c r="W37" i="33" s="1"/>
  <c r="J42" i="21"/>
  <c r="AC42" i="21" s="1"/>
  <c r="J44" i="34"/>
  <c r="AC44" i="34"/>
  <c r="F44" i="34"/>
  <c r="S44" i="34"/>
  <c r="J10" i="35"/>
  <c r="W10" i="35"/>
  <c r="AL5" i="3"/>
  <c r="BQ13" i="3"/>
  <c r="F14" i="21"/>
  <c r="H14" i="21"/>
  <c r="U14" i="21" s="1"/>
  <c r="H28" i="21"/>
  <c r="AB28" i="21" s="1"/>
  <c r="J28" i="21"/>
  <c r="AC28" i="21"/>
  <c r="H30" i="21"/>
  <c r="J30" i="21"/>
  <c r="AC30" i="21" s="1"/>
  <c r="H44" i="21"/>
  <c r="U44" i="21" s="1"/>
  <c r="F44" i="21"/>
  <c r="AA44" i="21" s="1"/>
  <c r="J46" i="21"/>
  <c r="W46" i="21" s="1"/>
  <c r="F46" i="21"/>
  <c r="H26" i="33"/>
  <c r="U26" i="33" s="1"/>
  <c r="H28" i="33"/>
  <c r="AB28" i="33" s="1"/>
  <c r="F28" i="33"/>
  <c r="S28" i="33" s="1"/>
  <c r="J28" i="33"/>
  <c r="W28" i="33"/>
  <c r="F33" i="35"/>
  <c r="S33" i="35" s="1"/>
  <c r="J33" i="35"/>
  <c r="W33" i="35"/>
  <c r="F30" i="35"/>
  <c r="AA30" i="35" s="1"/>
  <c r="E89" i="35"/>
  <c r="F89" i="35"/>
  <c r="G89" i="35"/>
  <c r="H89" i="35" s="1"/>
  <c r="I89" i="35" s="1"/>
  <c r="J89" i="35" s="1"/>
  <c r="K89" i="35" s="1"/>
  <c r="L89" i="35" s="1"/>
  <c r="M89" i="35" s="1"/>
  <c r="H10" i="36"/>
  <c r="F28" i="36"/>
  <c r="S28" i="36" s="1"/>
  <c r="F27" i="36"/>
  <c r="S27" i="36"/>
  <c r="H27" i="21"/>
  <c r="J27" i="21"/>
  <c r="W27" i="21"/>
  <c r="F27" i="21"/>
  <c r="AA27" i="21" s="1"/>
  <c r="J31" i="21"/>
  <c r="AC31" i="21" s="1"/>
  <c r="H31" i="21"/>
  <c r="F31" i="21"/>
  <c r="S31" i="21" s="1"/>
  <c r="F13" i="33"/>
  <c r="AA13" i="33" s="1"/>
  <c r="S13" i="33"/>
  <c r="W29" i="33"/>
  <c r="J31" i="33"/>
  <c r="AC31" i="33"/>
  <c r="U31" i="33"/>
  <c r="H28" i="36"/>
  <c r="U28" i="36"/>
  <c r="J11" i="36"/>
  <c r="W11" i="36"/>
  <c r="E89" i="37"/>
  <c r="F89" i="37" s="1"/>
  <c r="G89" i="37" s="1"/>
  <c r="H89" i="37" s="1"/>
  <c r="I89" i="37"/>
  <c r="J89" i="37"/>
  <c r="K89" i="37" s="1"/>
  <c r="L89" i="37" s="1"/>
  <c r="M89" i="37" s="1"/>
  <c r="J29" i="37"/>
  <c r="F29" i="37"/>
  <c r="AA29" i="37" s="1"/>
  <c r="F107" i="37"/>
  <c r="G107" i="37" s="1"/>
  <c r="J37" i="37"/>
  <c r="H37" i="37"/>
  <c r="U37" i="37"/>
  <c r="H40" i="37"/>
  <c r="U40" i="37" s="1"/>
  <c r="J40" i="37"/>
  <c r="F40" i="37"/>
  <c r="AA40" i="37" s="1"/>
  <c r="F14" i="33"/>
  <c r="AA14" i="33"/>
  <c r="J14" i="33"/>
  <c r="AC14" i="33" s="1"/>
  <c r="J30" i="33"/>
  <c r="H44" i="33"/>
  <c r="U44" i="33"/>
  <c r="AC44" i="33"/>
  <c r="F44" i="33"/>
  <c r="F46" i="33"/>
  <c r="F29" i="34"/>
  <c r="S29" i="34" s="1"/>
  <c r="H47" i="34"/>
  <c r="U47" i="34" s="1"/>
  <c r="J47" i="34"/>
  <c r="F13" i="35"/>
  <c r="S13" i="35"/>
  <c r="J13" i="35"/>
  <c r="H13" i="35"/>
  <c r="U13" i="35"/>
  <c r="J25" i="35"/>
  <c r="AC25" i="35" s="1"/>
  <c r="J35" i="35"/>
  <c r="AC35" i="35"/>
  <c r="F35" i="35"/>
  <c r="AA35" i="35" s="1"/>
  <c r="S35" i="35"/>
  <c r="H35" i="35"/>
  <c r="U35" i="35"/>
  <c r="J25" i="36"/>
  <c r="AC25" i="36" s="1"/>
  <c r="W25" i="36"/>
  <c r="AA25" i="36"/>
  <c r="F13" i="37"/>
  <c r="F28" i="37"/>
  <c r="AA28" i="37"/>
  <c r="J28" i="37"/>
  <c r="AC28" i="37"/>
  <c r="H28" i="37"/>
  <c r="U28" i="37"/>
  <c r="F14" i="37"/>
  <c r="AA14" i="37"/>
  <c r="J14" i="37"/>
  <c r="W14" i="37" s="1"/>
  <c r="W35" i="35"/>
  <c r="AB13" i="35"/>
  <c r="U30" i="33"/>
  <c r="J36" i="37"/>
  <c r="AC36" i="37"/>
  <c r="AB28" i="36"/>
  <c r="U46" i="21"/>
  <c r="W30" i="21"/>
  <c r="AA28" i="21"/>
  <c r="AB31" i="33"/>
  <c r="AC28" i="33"/>
  <c r="U28" i="21"/>
  <c r="G529" i="3"/>
  <c r="G521" i="3"/>
  <c r="G517" i="3"/>
  <c r="G513" i="3"/>
  <c r="G499" i="3"/>
  <c r="G545" i="3"/>
  <c r="G539" i="3"/>
  <c r="BL553" i="3"/>
  <c r="BL535" i="3"/>
  <c r="BL491" i="3"/>
  <c r="BL533" i="3"/>
  <c r="G518" i="3"/>
  <c r="G514" i="3"/>
  <c r="G510" i="3"/>
  <c r="BL495" i="3"/>
  <c r="BA555" i="3"/>
  <c r="BA551" i="3"/>
  <c r="BA509" i="3"/>
  <c r="BA505" i="3"/>
  <c r="BA487" i="3"/>
  <c r="BA556" i="3"/>
  <c r="BA554" i="3"/>
  <c r="AZ554" i="3" s="1"/>
  <c r="BA546" i="3"/>
  <c r="AZ546" i="3" s="1"/>
  <c r="BA544" i="3"/>
  <c r="BA532" i="3"/>
  <c r="BA528" i="3"/>
  <c r="BA488" i="3"/>
  <c r="AZ488" i="3" s="1"/>
  <c r="BA20" i="3"/>
  <c r="G558" i="3"/>
  <c r="G556" i="3"/>
  <c r="G554" i="3"/>
  <c r="G546" i="3"/>
  <c r="AC542" i="3"/>
  <c r="G542" i="3" s="1"/>
  <c r="BQ542" i="3"/>
  <c r="BQ568" i="3"/>
  <c r="BQ566" i="3"/>
  <c r="BQ564" i="3"/>
  <c r="BQ562" i="3"/>
  <c r="BQ560" i="3"/>
  <c r="BQ558" i="3"/>
  <c r="BL558" i="3"/>
  <c r="BQ556" i="3"/>
  <c r="BQ554" i="3"/>
  <c r="BQ552" i="3"/>
  <c r="BQ550" i="3"/>
  <c r="BQ548" i="3"/>
  <c r="BQ546" i="3"/>
  <c r="BQ544" i="3"/>
  <c r="BL544" i="3"/>
  <c r="G544" i="3"/>
  <c r="G538" i="3"/>
  <c r="G534" i="3"/>
  <c r="G530" i="3"/>
  <c r="G522" i="3"/>
  <c r="BQ540" i="3"/>
  <c r="BQ538" i="3"/>
  <c r="BL538" i="3"/>
  <c r="BQ536" i="3"/>
  <c r="BQ534" i="3"/>
  <c r="BQ532" i="3"/>
  <c r="BL532" i="3"/>
  <c r="BQ530" i="3"/>
  <c r="BQ528" i="3"/>
  <c r="BQ526" i="3"/>
  <c r="BL526" i="3"/>
  <c r="BQ524" i="3"/>
  <c r="BQ522" i="3"/>
  <c r="BQ520" i="3"/>
  <c r="BQ518" i="3"/>
  <c r="BQ516" i="3"/>
  <c r="BQ514" i="3"/>
  <c r="BL514" i="3"/>
  <c r="BQ512" i="3"/>
  <c r="BQ510" i="3"/>
  <c r="BQ508" i="3"/>
  <c r="BL508" i="3"/>
  <c r="AC506" i="3"/>
  <c r="G506" i="3" s="1"/>
  <c r="BQ506" i="3"/>
  <c r="G498" i="3"/>
  <c r="BQ504" i="3"/>
  <c r="BQ502" i="3"/>
  <c r="BQ500" i="3"/>
  <c r="BQ498" i="3"/>
  <c r="BQ496" i="3"/>
  <c r="AC494" i="3"/>
  <c r="G494" i="3" s="1"/>
  <c r="BQ494" i="3"/>
  <c r="G492" i="3"/>
  <c r="G488" i="3"/>
  <c r="G484" i="3"/>
  <c r="G20" i="3"/>
  <c r="BQ492" i="3"/>
  <c r="BL492" i="3" s="1"/>
  <c r="BQ490" i="3"/>
  <c r="BQ488" i="3"/>
  <c r="BL488" i="3"/>
  <c r="BQ486" i="3"/>
  <c r="BQ484" i="3"/>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J25" i="21"/>
  <c r="AC25" i="21"/>
  <c r="E125" i="33"/>
  <c r="F125" i="33"/>
  <c r="G125" i="33" s="1"/>
  <c r="H43" i="33"/>
  <c r="U43" i="33"/>
  <c r="H17" i="37"/>
  <c r="U17" i="37" s="1"/>
  <c r="F23" i="37"/>
  <c r="S23" i="37"/>
  <c r="F39" i="33"/>
  <c r="AA39" i="33"/>
  <c r="E123" i="33"/>
  <c r="F42" i="33"/>
  <c r="AA42" i="33"/>
  <c r="H28" i="34"/>
  <c r="F22" i="36"/>
  <c r="S22" i="36"/>
  <c r="H35" i="34"/>
  <c r="F41" i="34"/>
  <c r="S41" i="34"/>
  <c r="H41" i="34"/>
  <c r="U41" i="34" s="1"/>
  <c r="J41" i="34"/>
  <c r="W41" i="34"/>
  <c r="F10" i="35"/>
  <c r="F24" i="35"/>
  <c r="AA24" i="35"/>
  <c r="H24" i="35"/>
  <c r="H23" i="37"/>
  <c r="AB23" i="37"/>
  <c r="J32" i="37"/>
  <c r="F36" i="37"/>
  <c r="S36" i="37"/>
  <c r="F37" i="37"/>
  <c r="AA37" i="37" s="1"/>
  <c r="U23" i="37"/>
  <c r="AC41" i="34"/>
  <c r="F123" i="33"/>
  <c r="G123" i="33" s="1"/>
  <c r="H123" i="33" s="1"/>
  <c r="I123" i="33" s="1"/>
  <c r="J123" i="33" s="1"/>
  <c r="K123" i="33" s="1"/>
  <c r="L123" i="33" s="1"/>
  <c r="M123" i="33" s="1"/>
  <c r="H42" i="33"/>
  <c r="J43" i="33"/>
  <c r="AC43" i="33"/>
  <c r="G79" i="37"/>
  <c r="J23" i="37"/>
  <c r="F17" i="37"/>
  <c r="AA17" i="37"/>
  <c r="AB43" i="33"/>
  <c r="D3" i="21"/>
  <c r="U39" i="37"/>
  <c r="AC8" i="37"/>
  <c r="S25" i="37"/>
  <c r="AB8" i="34"/>
  <c r="AC37" i="33"/>
  <c r="AA36" i="21"/>
  <c r="S39" i="33"/>
  <c r="F43" i="33"/>
  <c r="AA43" i="33"/>
  <c r="AA23" i="37"/>
  <c r="AB44" i="33"/>
  <c r="H107" i="37"/>
  <c r="I107" i="37" s="1"/>
  <c r="J107" i="37" s="1"/>
  <c r="K107" i="37" s="1"/>
  <c r="L107" i="37" s="1"/>
  <c r="M107" i="37" s="1"/>
  <c r="H19" i="34"/>
  <c r="J10" i="37"/>
  <c r="W10" i="37"/>
  <c r="F36" i="35"/>
  <c r="S36" i="35" s="1"/>
  <c r="J9" i="37"/>
  <c r="W9" i="37"/>
  <c r="H9" i="37"/>
  <c r="F9" i="37"/>
  <c r="S9" i="37"/>
  <c r="F11" i="37"/>
  <c r="J12" i="37"/>
  <c r="AC12" i="37"/>
  <c r="H12" i="37"/>
  <c r="AB12" i="37" s="1"/>
  <c r="F12" i="37"/>
  <c r="AA12" i="37"/>
  <c r="H15" i="37"/>
  <c r="E94" i="37"/>
  <c r="F31" i="37"/>
  <c r="S31" i="37"/>
  <c r="F94" i="37"/>
  <c r="G94" i="37" s="1"/>
  <c r="H94" i="37" s="1"/>
  <c r="I94" i="37" s="1"/>
  <c r="J94" i="37" s="1"/>
  <c r="K94" i="37" s="1"/>
  <c r="L94" i="37" s="1"/>
  <c r="M94" i="37"/>
  <c r="H31" i="37"/>
  <c r="AB31" i="37" s="1"/>
  <c r="J15" i="37"/>
  <c r="W15" i="37"/>
  <c r="U12" i="37"/>
  <c r="J11" i="37"/>
  <c r="W11" i="37"/>
  <c r="U31" i="37"/>
  <c r="F21" i="40"/>
  <c r="AA21" i="40" s="1"/>
  <c r="S21" i="40"/>
  <c r="W36" i="40"/>
  <c r="J21" i="40"/>
  <c r="W21" i="40" s="1"/>
  <c r="AC21" i="40"/>
  <c r="S27" i="31"/>
  <c r="G483" i="3"/>
  <c r="G515" i="3"/>
  <c r="G507" i="3"/>
  <c r="BA15" i="3"/>
  <c r="AZ15" i="3" s="1"/>
  <c r="BL17" i="3"/>
  <c r="AZ17" i="3" s="1"/>
  <c r="BL15" i="3"/>
  <c r="BA14" i="3"/>
  <c r="J57" i="39"/>
  <c r="H13" i="40"/>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BA327" i="3"/>
  <c r="BL327" i="3"/>
  <c r="AZ327" i="3"/>
  <c r="G328" i="3"/>
  <c r="BA329" i="3"/>
  <c r="G337" i="3"/>
  <c r="BL338" i="3"/>
  <c r="AZ338" i="3" s="1"/>
  <c r="G339" i="3"/>
  <c r="BL340" i="3"/>
  <c r="BA342" i="3"/>
  <c r="BA343" i="3"/>
  <c r="BL343" i="3"/>
  <c r="AZ343" i="3"/>
  <c r="G344" i="3"/>
  <c r="BA345" i="3"/>
  <c r="G353" i="3"/>
  <c r="BL354" i="3"/>
  <c r="G355" i="3"/>
  <c r="BL356" i="3"/>
  <c r="G357" i="3"/>
  <c r="BL358" i="3"/>
  <c r="G359" i="3"/>
  <c r="BA360" i="3"/>
  <c r="AZ360" i="3" s="1"/>
  <c r="BA361" i="3"/>
  <c r="BL361" i="3"/>
  <c r="G362" i="3"/>
  <c r="BA363" i="3"/>
  <c r="G371" i="3"/>
  <c r="BL372" i="3"/>
  <c r="G373" i="3"/>
  <c r="BL374" i="3"/>
  <c r="AZ374" i="3" s="1"/>
  <c r="BA376" i="3"/>
  <c r="AZ376" i="3"/>
  <c r="BA377" i="3"/>
  <c r="AZ377" i="3" s="1"/>
  <c r="BL377" i="3"/>
  <c r="G378" i="3"/>
  <c r="BA379" i="3"/>
  <c r="BA114" i="3"/>
  <c r="BL115" i="3"/>
  <c r="AZ115" i="3"/>
  <c r="G116" i="3"/>
  <c r="BA118" i="3"/>
  <c r="AZ118" i="3"/>
  <c r="BL119" i="3"/>
  <c r="AZ119" i="3" s="1"/>
  <c r="G120" i="3"/>
  <c r="BA122" i="3"/>
  <c r="AZ122" i="3"/>
  <c r="BL123" i="3"/>
  <c r="G124" i="3"/>
  <c r="BA126" i="3"/>
  <c r="AZ126" i="3"/>
  <c r="BL127" i="3"/>
  <c r="G128" i="3"/>
  <c r="BA130" i="3"/>
  <c r="AZ130" i="3"/>
  <c r="BL131" i="3"/>
  <c r="AZ131" i="3"/>
  <c r="G132" i="3"/>
  <c r="BA134" i="3"/>
  <c r="AZ134" i="3" s="1"/>
  <c r="BL135" i="3"/>
  <c r="AZ135" i="3"/>
  <c r="G136" i="3"/>
  <c r="BA138" i="3"/>
  <c r="AZ138" i="3"/>
  <c r="BL139" i="3"/>
  <c r="AZ139" i="3"/>
  <c r="G140" i="3"/>
  <c r="BA142" i="3"/>
  <c r="AZ142" i="3"/>
  <c r="BL143" i="3"/>
  <c r="G144" i="3"/>
  <c r="BA146" i="3"/>
  <c r="AZ146" i="3"/>
  <c r="BL147" i="3"/>
  <c r="AZ147" i="3" s="1"/>
  <c r="G148" i="3"/>
  <c r="BA150" i="3"/>
  <c r="AZ150" i="3" s="1"/>
  <c r="BL151" i="3"/>
  <c r="AZ151" i="3"/>
  <c r="BA153" i="3"/>
  <c r="BL154" i="3"/>
  <c r="G155" i="3"/>
  <c r="BA157" i="3"/>
  <c r="BL158" i="3"/>
  <c r="G159" i="3"/>
  <c r="BA161" i="3"/>
  <c r="AZ161" i="3" s="1"/>
  <c r="BL162" i="3"/>
  <c r="G163" i="3"/>
  <c r="BA165" i="3"/>
  <c r="BL166" i="3"/>
  <c r="G167" i="3"/>
  <c r="BA169" i="3"/>
  <c r="AZ169" i="3" s="1"/>
  <c r="BL170" i="3"/>
  <c r="G171" i="3"/>
  <c r="BA173" i="3"/>
  <c r="BL174" i="3"/>
  <c r="G175" i="3"/>
  <c r="BA178" i="3"/>
  <c r="AZ178" i="3" s="1"/>
  <c r="BL179" i="3"/>
  <c r="G180" i="3"/>
  <c r="AZ35" i="3"/>
  <c r="AZ43" i="3"/>
  <c r="AZ51" i="3"/>
  <c r="AZ59" i="3"/>
  <c r="G537" i="3"/>
  <c r="BL181" i="3"/>
  <c r="AZ181" i="3"/>
  <c r="G182" i="3"/>
  <c r="BA184" i="3"/>
  <c r="AZ184" i="3"/>
  <c r="BL185" i="3"/>
  <c r="AZ185" i="3" s="1"/>
  <c r="G186" i="3"/>
  <c r="BA188" i="3"/>
  <c r="BL189" i="3"/>
  <c r="AZ189" i="3"/>
  <c r="G190" i="3"/>
  <c r="BA192" i="3"/>
  <c r="BL193" i="3"/>
  <c r="AZ193" i="3" s="1"/>
  <c r="G194" i="3"/>
  <c r="BA196" i="3"/>
  <c r="BL197" i="3"/>
  <c r="AZ197" i="3"/>
  <c r="G198" i="3"/>
  <c r="BA200" i="3"/>
  <c r="AZ200" i="3" s="1"/>
  <c r="BL201" i="3"/>
  <c r="AZ201" i="3" s="1"/>
  <c r="AZ74" i="3"/>
  <c r="AZ78" i="3"/>
  <c r="AZ82" i="3"/>
  <c r="AZ84" i="3"/>
  <c r="AZ90" i="3"/>
  <c r="AZ98" i="3"/>
  <c r="AZ102" i="3"/>
  <c r="AZ106" i="3"/>
  <c r="BA298" i="3"/>
  <c r="AZ298" i="3" s="1"/>
  <c r="BA299" i="3"/>
  <c r="BL299" i="3"/>
  <c r="AZ299" i="3" s="1"/>
  <c r="G300" i="3"/>
  <c r="G303" i="3"/>
  <c r="BL304" i="3"/>
  <c r="BA306" i="3"/>
  <c r="AZ306" i="3"/>
  <c r="BA307" i="3"/>
  <c r="BL307" i="3"/>
  <c r="AZ307" i="3"/>
  <c r="G308" i="3"/>
  <c r="G319" i="3"/>
  <c r="BL320" i="3"/>
  <c r="BA322" i="3"/>
  <c r="AZ322" i="3" s="1"/>
  <c r="BA323" i="3"/>
  <c r="AZ323" i="3" s="1"/>
  <c r="BL323" i="3"/>
  <c r="G324" i="3"/>
  <c r="G327" i="3"/>
  <c r="BL328" i="3"/>
  <c r="BA330" i="3"/>
  <c r="BA331" i="3"/>
  <c r="AZ331" i="3" s="1"/>
  <c r="BL331" i="3"/>
  <c r="G332" i="3"/>
  <c r="G335" i="3"/>
  <c r="BL336" i="3"/>
  <c r="BA338" i="3"/>
  <c r="BA339" i="3"/>
  <c r="BL339" i="3"/>
  <c r="G340" i="3"/>
  <c r="G343" i="3"/>
  <c r="BL344" i="3"/>
  <c r="BA346" i="3"/>
  <c r="AZ346" i="3" s="1"/>
  <c r="BA347" i="3"/>
  <c r="BL347" i="3"/>
  <c r="AZ347" i="3" s="1"/>
  <c r="G348" i="3"/>
  <c r="G351" i="3"/>
  <c r="BL352" i="3"/>
  <c r="BA354" i="3"/>
  <c r="AZ354" i="3" s="1"/>
  <c r="BA355" i="3"/>
  <c r="AZ355" i="3" s="1"/>
  <c r="BL355" i="3"/>
  <c r="G356" i="3"/>
  <c r="AZ127" i="3"/>
  <c r="BA358" i="3"/>
  <c r="BA359" i="3"/>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9" i="3"/>
  <c r="BL297" i="3"/>
  <c r="G298" i="3"/>
  <c r="BA300" i="3"/>
  <c r="AZ300" i="3" s="1"/>
  <c r="BL301" i="3"/>
  <c r="AZ301" i="3" s="1"/>
  <c r="G302" i="3"/>
  <c r="BA304" i="3"/>
  <c r="AZ304" i="3"/>
  <c r="BL305" i="3"/>
  <c r="AZ305" i="3" s="1"/>
  <c r="G306" i="3"/>
  <c r="BA308" i="3"/>
  <c r="AZ308" i="3"/>
  <c r="BL309" i="3"/>
  <c r="G310" i="3"/>
  <c r="BA310" i="3"/>
  <c r="AZ310" i="3"/>
  <c r="BL311" i="3"/>
  <c r="AZ311" i="3" s="1"/>
  <c r="G312" i="3"/>
  <c r="BA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AZ333" i="3" s="1"/>
  <c r="G334" i="3"/>
  <c r="BA336" i="3"/>
  <c r="AZ336" i="3"/>
  <c r="BL337" i="3"/>
  <c r="AZ337" i="3" s="1"/>
  <c r="G338" i="3"/>
  <c r="BA340" i="3"/>
  <c r="AZ340" i="3"/>
  <c r="BL341" i="3"/>
  <c r="AZ341" i="3" s="1"/>
  <c r="G342" i="3"/>
  <c r="BA344" i="3"/>
  <c r="AZ344" i="3"/>
  <c r="BL345" i="3"/>
  <c r="AZ345" i="3" s="1"/>
  <c r="G346" i="3"/>
  <c r="BA348" i="3"/>
  <c r="AZ348" i="3"/>
  <c r="BL349" i="3"/>
  <c r="G350" i="3"/>
  <c r="BA352" i="3"/>
  <c r="AZ352" i="3"/>
  <c r="BL353" i="3"/>
  <c r="G354" i="3"/>
  <c r="BA356" i="3"/>
  <c r="AZ356" i="3"/>
  <c r="BL357" i="3"/>
  <c r="AZ357" i="3" s="1"/>
  <c r="G358" i="3"/>
  <c r="BA362" i="3"/>
  <c r="AZ362" i="3"/>
  <c r="BL363" i="3"/>
  <c r="G364" i="3"/>
  <c r="BA366" i="3"/>
  <c r="AZ366" i="3"/>
  <c r="BL367" i="3"/>
  <c r="AZ205" i="3"/>
  <c r="AZ213" i="3"/>
  <c r="AZ217" i="3"/>
  <c r="AZ221" i="3"/>
  <c r="AZ225" i="3"/>
  <c r="AZ229" i="3"/>
  <c r="AZ233" i="3"/>
  <c r="AZ237" i="3"/>
  <c r="AZ241" i="3"/>
  <c r="AZ309" i="3"/>
  <c r="AZ325" i="3"/>
  <c r="AZ349" i="3"/>
  <c r="AZ353" i="3"/>
  <c r="AZ367" i="3"/>
  <c r="G368" i="3"/>
  <c r="BA370" i="3"/>
  <c r="AZ370" i="3" s="1"/>
  <c r="BL371" i="3"/>
  <c r="AZ371" i="3"/>
  <c r="G372" i="3"/>
  <c r="BA374" i="3"/>
  <c r="BL375" i="3"/>
  <c r="AZ375" i="3" s="1"/>
  <c r="G376" i="3"/>
  <c r="BA378" i="3"/>
  <c r="AZ378" i="3"/>
  <c r="BL379" i="3"/>
  <c r="AZ379" i="3" s="1"/>
  <c r="G380" i="3"/>
  <c r="BA382" i="3"/>
  <c r="AZ382" i="3"/>
  <c r="BL383" i="3"/>
  <c r="G384" i="3"/>
  <c r="AZ249" i="3"/>
  <c r="AZ261" i="3"/>
  <c r="AZ265" i="3"/>
  <c r="AZ383" i="3"/>
  <c r="AZ270" i="3"/>
  <c r="AZ274" i="3"/>
  <c r="AZ278" i="3"/>
  <c r="AZ286" i="3"/>
  <c r="AZ295" i="3"/>
  <c r="AZ303" i="3"/>
  <c r="AZ315" i="3"/>
  <c r="AZ319" i="3"/>
  <c r="AZ339" i="3"/>
  <c r="AZ351" i="3"/>
  <c r="AZ361" i="3"/>
  <c r="AZ369" i="3"/>
  <c r="AZ385" i="3"/>
  <c r="AZ398" i="3"/>
  <c r="AZ410" i="3"/>
  <c r="AZ414" i="3"/>
  <c r="AZ426" i="3"/>
  <c r="AZ434" i="3"/>
  <c r="AZ438" i="3"/>
  <c r="AZ442" i="3"/>
  <c r="AZ455" i="3"/>
  <c r="AZ459" i="3"/>
  <c r="AZ463" i="3"/>
  <c r="AZ467" i="3"/>
  <c r="AZ475" i="3"/>
  <c r="AZ479" i="3"/>
  <c r="H7" i="48"/>
  <c r="F33" i="46"/>
  <c r="H16" i="48"/>
  <c r="H9" i="48"/>
  <c r="H8" i="48"/>
  <c r="C12" i="46"/>
  <c r="AB16" i="35"/>
  <c r="U43" i="21"/>
  <c r="AA13" i="40"/>
  <c r="G78" i="40"/>
  <c r="H78" i="40" s="1"/>
  <c r="I78" i="40" s="1"/>
  <c r="J78" i="40" s="1"/>
  <c r="K78" i="40" s="1"/>
  <c r="L78" i="40"/>
  <c r="M78" i="40" s="1"/>
  <c r="R16" i="4"/>
  <c r="K17" i="4" s="1"/>
  <c r="A22" i="51" s="1"/>
  <c r="B16" i="63" s="1"/>
  <c r="P16" i="4"/>
  <c r="D3" i="35"/>
  <c r="G4" i="4"/>
  <c r="J16" i="35"/>
  <c r="W16" i="35" s="1"/>
  <c r="AC26" i="36"/>
  <c r="W25" i="35"/>
  <c r="H13" i="39"/>
  <c r="AB13" i="39" s="1"/>
  <c r="J13" i="39"/>
  <c r="AC13" i="39" s="1"/>
  <c r="AA36" i="35"/>
  <c r="H11" i="37"/>
  <c r="AB11" i="37" s="1"/>
  <c r="AA36" i="37"/>
  <c r="S42" i="33"/>
  <c r="AZ532" i="3"/>
  <c r="AC29" i="33"/>
  <c r="AC11" i="36"/>
  <c r="AC14" i="37"/>
  <c r="AB35" i="35"/>
  <c r="W44" i="33"/>
  <c r="AC30" i="33"/>
  <c r="W30" i="33"/>
  <c r="U28" i="33"/>
  <c r="J33" i="34"/>
  <c r="AC33" i="34"/>
  <c r="AB36" i="34"/>
  <c r="J40" i="34"/>
  <c r="W40" i="34"/>
  <c r="F16" i="35"/>
  <c r="W42" i="33"/>
  <c r="J35" i="34"/>
  <c r="AC35" i="34" s="1"/>
  <c r="W35" i="34"/>
  <c r="F107" i="34"/>
  <c r="G107" i="34"/>
  <c r="H107" i="34"/>
  <c r="I107" i="34"/>
  <c r="J107" i="34" s="1"/>
  <c r="K107" i="34" s="1"/>
  <c r="L107" i="34" s="1"/>
  <c r="M107" i="34" s="1"/>
  <c r="S30" i="36"/>
  <c r="H16" i="36"/>
  <c r="U16" i="36" s="1"/>
  <c r="AB16" i="36"/>
  <c r="H35" i="37"/>
  <c r="AB35" i="37" s="1"/>
  <c r="AB26" i="21"/>
  <c r="S33" i="21"/>
  <c r="U39" i="21"/>
  <c r="F17" i="21"/>
  <c r="S17" i="21" s="1"/>
  <c r="J17" i="21"/>
  <c r="AC17" i="21" s="1"/>
  <c r="F40" i="21"/>
  <c r="S40" i="21" s="1"/>
  <c r="H40" i="21"/>
  <c r="E119" i="21"/>
  <c r="F119" i="21" s="1"/>
  <c r="G119" i="21" s="1"/>
  <c r="H119" i="21"/>
  <c r="I119" i="21"/>
  <c r="J119" i="21" s="1"/>
  <c r="K119" i="21" s="1"/>
  <c r="L119" i="21" s="1"/>
  <c r="M119" i="21" s="1"/>
  <c r="AA8" i="33"/>
  <c r="S8" i="33"/>
  <c r="AC8" i="33"/>
  <c r="H66" i="33"/>
  <c r="F10" i="33"/>
  <c r="AA10" i="33"/>
  <c r="F11" i="33"/>
  <c r="S11" i="33" s="1"/>
  <c r="J15" i="33"/>
  <c r="W15" i="33"/>
  <c r="H19" i="33"/>
  <c r="U19" i="33" s="1"/>
  <c r="F32" i="33"/>
  <c r="AA32" i="33"/>
  <c r="J32" i="33"/>
  <c r="AC32" i="33" s="1"/>
  <c r="F35" i="33"/>
  <c r="AA35" i="33"/>
  <c r="AB39" i="34"/>
  <c r="F11" i="34"/>
  <c r="S11" i="34" s="1"/>
  <c r="F80" i="34"/>
  <c r="G80" i="34" s="1"/>
  <c r="H17" i="34"/>
  <c r="J13" i="33"/>
  <c r="AC13" i="33" s="1"/>
  <c r="W13" i="33"/>
  <c r="H13" i="33"/>
  <c r="U13" i="33"/>
  <c r="H29" i="33"/>
  <c r="AB29" i="33"/>
  <c r="F29" i="33"/>
  <c r="AA29" i="33"/>
  <c r="J12" i="34"/>
  <c r="AC12" i="34"/>
  <c r="H12" i="34"/>
  <c r="AB12" i="34"/>
  <c r="F12" i="34"/>
  <c r="AA12" i="34" s="1"/>
  <c r="S12" i="34"/>
  <c r="H30" i="34"/>
  <c r="U30" i="34" s="1"/>
  <c r="AB30" i="34"/>
  <c r="F30" i="34"/>
  <c r="S30" i="34"/>
  <c r="J30" i="34"/>
  <c r="AC30" i="34" s="1"/>
  <c r="W30" i="34"/>
  <c r="H46" i="34"/>
  <c r="U46" i="34" s="1"/>
  <c r="AB46" i="34"/>
  <c r="F46" i="34"/>
  <c r="AA46" i="34"/>
  <c r="J46" i="34"/>
  <c r="AC46" i="34"/>
  <c r="H32" i="37"/>
  <c r="AB32" i="37"/>
  <c r="F19" i="39"/>
  <c r="AA19" i="39" s="1"/>
  <c r="H19" i="39"/>
  <c r="J19" i="39"/>
  <c r="W19" i="39"/>
  <c r="F43" i="39"/>
  <c r="H43" i="39"/>
  <c r="U43" i="39"/>
  <c r="J43" i="39"/>
  <c r="AC43" i="39" s="1"/>
  <c r="F99" i="37"/>
  <c r="AC40" i="37"/>
  <c r="W40" i="37"/>
  <c r="AA44" i="34"/>
  <c r="AC19" i="33"/>
  <c r="W19" i="33"/>
  <c r="U43" i="34"/>
  <c r="AB43" i="34"/>
  <c r="S35" i="37"/>
  <c r="AA35" i="37"/>
  <c r="U38" i="21"/>
  <c r="F42" i="21"/>
  <c r="AA42" i="21" s="1"/>
  <c r="AA35" i="34"/>
  <c r="S35" i="34"/>
  <c r="AB8" i="35"/>
  <c r="U8" i="35"/>
  <c r="J14" i="35"/>
  <c r="F14" i="35"/>
  <c r="H14" i="35"/>
  <c r="U14" i="35"/>
  <c r="G94" i="35"/>
  <c r="H94" i="35"/>
  <c r="I94" i="35" s="1"/>
  <c r="J94" i="35" s="1"/>
  <c r="K94" i="35"/>
  <c r="L94" i="35" s="1"/>
  <c r="M94" i="35" s="1"/>
  <c r="J32" i="35"/>
  <c r="AC32" i="35"/>
  <c r="H11" i="36"/>
  <c r="F11" i="36"/>
  <c r="AA11" i="36" s="1"/>
  <c r="S11" i="36"/>
  <c r="W16" i="36"/>
  <c r="AC16" i="36"/>
  <c r="K78" i="36"/>
  <c r="L78" i="36" s="1"/>
  <c r="M78" i="36" s="1"/>
  <c r="F26" i="36"/>
  <c r="S26" i="36" s="1"/>
  <c r="H33" i="36"/>
  <c r="AB33" i="36" s="1"/>
  <c r="U33" i="36"/>
  <c r="H27" i="36"/>
  <c r="AB27" i="36" s="1"/>
  <c r="AA31" i="36"/>
  <c r="AC25" i="37"/>
  <c r="AC26" i="37"/>
  <c r="W26" i="37"/>
  <c r="AA30" i="37"/>
  <c r="S30" i="37"/>
  <c r="AC30" i="37"/>
  <c r="W31" i="37"/>
  <c r="AB14" i="37"/>
  <c r="F17" i="39"/>
  <c r="H17" i="39"/>
  <c r="AB17" i="39" s="1"/>
  <c r="U17" i="39"/>
  <c r="J17" i="39"/>
  <c r="W17" i="39" s="1"/>
  <c r="F21" i="39"/>
  <c r="S21" i="39"/>
  <c r="H21" i="39"/>
  <c r="AB21" i="39" s="1"/>
  <c r="J21" i="39"/>
  <c r="W21" i="39"/>
  <c r="F33" i="39"/>
  <c r="S33" i="39" s="1"/>
  <c r="H33" i="39"/>
  <c r="U33" i="39" s="1"/>
  <c r="J33" i="39"/>
  <c r="W33" i="39" s="1"/>
  <c r="F44" i="39"/>
  <c r="H44" i="39"/>
  <c r="U44" i="39"/>
  <c r="J44" i="39"/>
  <c r="K128" i="39"/>
  <c r="L128" i="39" s="1"/>
  <c r="M128" i="39" s="1"/>
  <c r="F46" i="39"/>
  <c r="S46" i="39"/>
  <c r="H46" i="39"/>
  <c r="J46" i="39"/>
  <c r="AC46" i="39" s="1"/>
  <c r="W46" i="39"/>
  <c r="F29" i="39"/>
  <c r="AA29" i="39" s="1"/>
  <c r="E103" i="39"/>
  <c r="F103" i="39"/>
  <c r="G103" i="39" s="1"/>
  <c r="H29" i="39"/>
  <c r="U29" i="39"/>
  <c r="F34" i="39"/>
  <c r="AA34" i="39" s="1"/>
  <c r="H34" i="39"/>
  <c r="AB34" i="39"/>
  <c r="J34" i="39"/>
  <c r="AC34" i="39" s="1"/>
  <c r="F39" i="39"/>
  <c r="H39" i="39"/>
  <c r="AB39" i="39"/>
  <c r="J39" i="39"/>
  <c r="W39" i="39" s="1"/>
  <c r="J29" i="35"/>
  <c r="AC29" i="35"/>
  <c r="F29" i="35"/>
  <c r="AA29" i="35" s="1"/>
  <c r="W30" i="36"/>
  <c r="AC30" i="36"/>
  <c r="F37" i="39"/>
  <c r="S37" i="39" s="1"/>
  <c r="H37" i="39"/>
  <c r="U37" i="39"/>
  <c r="J37" i="39"/>
  <c r="W37" i="39" s="1"/>
  <c r="BL567" i="3"/>
  <c r="BL554" i="3"/>
  <c r="BA552" i="3"/>
  <c r="AZ552" i="3"/>
  <c r="BL539" i="3"/>
  <c r="BA539" i="3"/>
  <c r="AZ539" i="3" s="1"/>
  <c r="BL537" i="3"/>
  <c r="BA535" i="3"/>
  <c r="AZ535" i="3" s="1"/>
  <c r="BA533" i="3"/>
  <c r="BL530" i="3"/>
  <c r="BL529" i="3"/>
  <c r="BA529" i="3"/>
  <c r="BL528" i="3"/>
  <c r="BA526" i="3"/>
  <c r="BL523" i="3"/>
  <c r="BL522" i="3"/>
  <c r="BA522" i="3"/>
  <c r="BA519" i="3"/>
  <c r="BA518" i="3"/>
  <c r="BL515" i="3"/>
  <c r="BA514" i="3"/>
  <c r="AZ514" i="3"/>
  <c r="BL513" i="3"/>
  <c r="BL512" i="3"/>
  <c r="AZ512" i="3"/>
  <c r="BL507" i="3"/>
  <c r="BA507" i="3"/>
  <c r="AZ507" i="3" s="1"/>
  <c r="BA506" i="3"/>
  <c r="BL504" i="3"/>
  <c r="BA504" i="3"/>
  <c r="AZ504" i="3" s="1"/>
  <c r="BL498" i="3"/>
  <c r="BA497" i="3"/>
  <c r="BL496" i="3"/>
  <c r="BA495" i="3"/>
  <c r="AZ495" i="3"/>
  <c r="BL490" i="3"/>
  <c r="BA490" i="3"/>
  <c r="AZ490" i="3" s="1"/>
  <c r="BL489" i="3"/>
  <c r="BA489" i="3"/>
  <c r="AZ489" i="3"/>
  <c r="BL486" i="3"/>
  <c r="BA486" i="3"/>
  <c r="BA483" i="3"/>
  <c r="BL481" i="3"/>
  <c r="BJ5" i="3"/>
  <c r="BL19" i="3"/>
  <c r="BA18" i="3"/>
  <c r="AZ18" i="3" s="1"/>
  <c r="F36" i="44"/>
  <c r="I114" i="34"/>
  <c r="J114" i="34" s="1"/>
  <c r="K114" i="34" s="1"/>
  <c r="L114" i="34" s="1"/>
  <c r="M114" i="34" s="1"/>
  <c r="H38" i="34"/>
  <c r="H30" i="40"/>
  <c r="U30" i="40" s="1"/>
  <c r="G100" i="40"/>
  <c r="J30" i="40"/>
  <c r="AC30" i="40"/>
  <c r="F38" i="40"/>
  <c r="AA38" i="40"/>
  <c r="AA36" i="34"/>
  <c r="S35" i="21"/>
  <c r="AB10" i="21"/>
  <c r="S34" i="21"/>
  <c r="E106" i="33"/>
  <c r="H34" i="33"/>
  <c r="U34" i="33"/>
  <c r="F34" i="33"/>
  <c r="S34" i="33"/>
  <c r="F41" i="33"/>
  <c r="AC34" i="34"/>
  <c r="AA39" i="34"/>
  <c r="S39" i="34"/>
  <c r="E78" i="34"/>
  <c r="F15" i="34"/>
  <c r="AA15" i="34" s="1"/>
  <c r="AC28" i="35"/>
  <c r="W28" i="35"/>
  <c r="J20" i="35"/>
  <c r="AC20" i="35"/>
  <c r="E72" i="35"/>
  <c r="F72" i="35" s="1"/>
  <c r="G72" i="35" s="1"/>
  <c r="H22" i="35"/>
  <c r="AB22" i="35"/>
  <c r="H23" i="35"/>
  <c r="AB36" i="35"/>
  <c r="U36" i="35"/>
  <c r="W12" i="36"/>
  <c r="AC12" i="36"/>
  <c r="U31" i="36"/>
  <c r="S8" i="37"/>
  <c r="AA8" i="37"/>
  <c r="F14" i="39"/>
  <c r="S14" i="39" s="1"/>
  <c r="H14" i="39"/>
  <c r="AB14" i="39" s="1"/>
  <c r="J14" i="39"/>
  <c r="F16" i="39"/>
  <c r="AA16" i="39" s="1"/>
  <c r="H16" i="39"/>
  <c r="U16" i="39"/>
  <c r="J16" i="39"/>
  <c r="AC16" i="39" s="1"/>
  <c r="F23" i="39"/>
  <c r="AA23" i="39"/>
  <c r="E97" i="39"/>
  <c r="F97" i="39" s="1"/>
  <c r="G97" i="39" s="1"/>
  <c r="F27" i="39"/>
  <c r="AA27" i="39"/>
  <c r="H27" i="39"/>
  <c r="U27" i="39" s="1"/>
  <c r="AB27" i="39"/>
  <c r="J27" i="39"/>
  <c r="AC27" i="39"/>
  <c r="F15" i="40"/>
  <c r="S15" i="40" s="1"/>
  <c r="AA15" i="40"/>
  <c r="J15" i="40"/>
  <c r="H15" i="40"/>
  <c r="AB15" i="40"/>
  <c r="E92" i="40"/>
  <c r="F92" i="40" s="1"/>
  <c r="G92" i="40" s="1"/>
  <c r="H23" i="40"/>
  <c r="U23" i="40" s="1"/>
  <c r="H41" i="40"/>
  <c r="F41" i="40"/>
  <c r="J41" i="40"/>
  <c r="H36" i="33"/>
  <c r="AB36" i="33"/>
  <c r="H37" i="34"/>
  <c r="U37" i="34" s="1"/>
  <c r="H25" i="39"/>
  <c r="U25" i="39"/>
  <c r="J25" i="39"/>
  <c r="AC25" i="39" s="1"/>
  <c r="F25" i="39"/>
  <c r="S25" i="39" s="1"/>
  <c r="F45" i="39"/>
  <c r="H45" i="39"/>
  <c r="U45" i="39" s="1"/>
  <c r="J45" i="39"/>
  <c r="AC45" i="39" s="1"/>
  <c r="F41" i="39"/>
  <c r="H41" i="39"/>
  <c r="AB41" i="39" s="1"/>
  <c r="J41" i="39"/>
  <c r="AC41" i="39" s="1"/>
  <c r="E94" i="40"/>
  <c r="F94" i="40" s="1"/>
  <c r="G94" i="40" s="1"/>
  <c r="J25" i="40"/>
  <c r="AC25" i="40" s="1"/>
  <c r="J32" i="40"/>
  <c r="AC32" i="40"/>
  <c r="H32" i="40"/>
  <c r="AB32" i="40" s="1"/>
  <c r="F33" i="40"/>
  <c r="AA33" i="40" s="1"/>
  <c r="H35" i="40"/>
  <c r="AB35" i="40"/>
  <c r="AA35" i="40"/>
  <c r="J38" i="39"/>
  <c r="W38" i="39"/>
  <c r="H38" i="39"/>
  <c r="U38" i="39"/>
  <c r="J14" i="40"/>
  <c r="W14" i="40" s="1"/>
  <c r="H40" i="40"/>
  <c r="AB40" i="40" s="1"/>
  <c r="U40" i="40"/>
  <c r="H34" i="40"/>
  <c r="U34" i="40" s="1"/>
  <c r="AZ399" i="3"/>
  <c r="AZ403" i="3"/>
  <c r="AZ415" i="3"/>
  <c r="AZ423" i="3"/>
  <c r="AZ431" i="3"/>
  <c r="AZ439" i="3"/>
  <c r="AZ454" i="3"/>
  <c r="B41" i="1"/>
  <c r="J42" i="40"/>
  <c r="J40" i="40"/>
  <c r="J34" i="40"/>
  <c r="H16" i="40"/>
  <c r="AB16" i="40"/>
  <c r="H14" i="40"/>
  <c r="U14" i="40" s="1"/>
  <c r="F32" i="40"/>
  <c r="AA32" i="40"/>
  <c r="AZ428" i="3"/>
  <c r="AZ436" i="3"/>
  <c r="AZ441" i="3"/>
  <c r="AZ444" i="3"/>
  <c r="AZ449" i="3"/>
  <c r="AZ452" i="3"/>
  <c r="M1" i="46"/>
  <c r="M6" i="46"/>
  <c r="M10" i="46"/>
  <c r="N2" i="46"/>
  <c r="N5" i="46"/>
  <c r="F58" i="46"/>
  <c r="H61" i="46" s="1"/>
  <c r="N7" i="46"/>
  <c r="AZ456" i="3"/>
  <c r="AZ458" i="3"/>
  <c r="AZ474" i="3"/>
  <c r="AZ388" i="3"/>
  <c r="AZ207" i="3"/>
  <c r="AZ212" i="3"/>
  <c r="AZ215" i="3"/>
  <c r="AZ220" i="3"/>
  <c r="AZ223" i="3"/>
  <c r="AZ231" i="3"/>
  <c r="AZ236" i="3"/>
  <c r="AZ244" i="3"/>
  <c r="AZ247" i="3"/>
  <c r="AZ252" i="3"/>
  <c r="AZ255" i="3"/>
  <c r="AZ260" i="3"/>
  <c r="AZ268" i="3"/>
  <c r="AZ273" i="3"/>
  <c r="AZ276" i="3"/>
  <c r="AZ281" i="3"/>
  <c r="AZ284" i="3"/>
  <c r="AZ289" i="3"/>
  <c r="AZ292" i="3"/>
  <c r="AZ124" i="3"/>
  <c r="AZ137" i="3"/>
  <c r="AZ140" i="3"/>
  <c r="M7" i="46"/>
  <c r="M11" i="46"/>
  <c r="N3" i="46"/>
  <c r="N6" i="46"/>
  <c r="N10" i="46"/>
  <c r="F69" i="46"/>
  <c r="H69" i="46" s="1"/>
  <c r="H71" i="46"/>
  <c r="AZ167" i="3"/>
  <c r="AZ180" i="3"/>
  <c r="AZ32" i="3"/>
  <c r="AZ56" i="3"/>
  <c r="AZ63" i="3"/>
  <c r="AZ71" i="3"/>
  <c r="AZ79" i="3"/>
  <c r="AZ91" i="3"/>
  <c r="AZ99" i="3"/>
  <c r="AZ107" i="3"/>
  <c r="J13" i="40"/>
  <c r="W13" i="40"/>
  <c r="AB14" i="40"/>
  <c r="S33" i="40"/>
  <c r="AB25" i="39"/>
  <c r="AB37" i="34"/>
  <c r="AC41" i="40"/>
  <c r="W41" i="40"/>
  <c r="J23" i="40"/>
  <c r="W23" i="40" s="1"/>
  <c r="AC23" i="40"/>
  <c r="F23" i="40"/>
  <c r="S23" i="40"/>
  <c r="AC15" i="40"/>
  <c r="W15" i="40"/>
  <c r="W27" i="39"/>
  <c r="S23" i="39"/>
  <c r="AB16" i="39"/>
  <c r="H20" i="35"/>
  <c r="U20" i="35" s="1"/>
  <c r="F20" i="35"/>
  <c r="H15" i="34"/>
  <c r="AB15" i="34" s="1"/>
  <c r="F78" i="34"/>
  <c r="G78" i="34" s="1"/>
  <c r="J15" i="34"/>
  <c r="H41" i="33"/>
  <c r="U41" i="33" s="1"/>
  <c r="H121" i="33"/>
  <c r="I121" i="33" s="1"/>
  <c r="J121" i="33" s="1"/>
  <c r="K121" i="33" s="1"/>
  <c r="L121" i="33" s="1"/>
  <c r="M121" i="33" s="1"/>
  <c r="F30" i="40"/>
  <c r="AA30" i="40"/>
  <c r="H100" i="40"/>
  <c r="I100" i="40"/>
  <c r="J100" i="40" s="1"/>
  <c r="K100" i="40" s="1"/>
  <c r="L100" i="40" s="1"/>
  <c r="M100" i="40" s="1"/>
  <c r="AZ486" i="3"/>
  <c r="AZ529" i="3"/>
  <c r="AB37" i="39"/>
  <c r="U39" i="39"/>
  <c r="J29" i="39"/>
  <c r="W29" i="39" s="1"/>
  <c r="AC29" i="39"/>
  <c r="U21" i="39"/>
  <c r="AA14" i="35"/>
  <c r="S14" i="35"/>
  <c r="G99" i="37"/>
  <c r="H99" i="37" s="1"/>
  <c r="I99" i="37" s="1"/>
  <c r="J99" i="37" s="1"/>
  <c r="F33" i="37"/>
  <c r="AB19" i="39"/>
  <c r="U19" i="39"/>
  <c r="W12" i="34"/>
  <c r="U29" i="33"/>
  <c r="AA11" i="34"/>
  <c r="W32" i="33"/>
  <c r="H15" i="33"/>
  <c r="U15" i="33"/>
  <c r="U16" i="40"/>
  <c r="AB34" i="40"/>
  <c r="W32" i="40"/>
  <c r="H25" i="40"/>
  <c r="J37" i="34"/>
  <c r="AC37" i="34"/>
  <c r="J36" i="33"/>
  <c r="W36" i="33"/>
  <c r="AB23" i="40"/>
  <c r="H23" i="39"/>
  <c r="J23" i="39"/>
  <c r="S16" i="39"/>
  <c r="S15" i="34"/>
  <c r="AA34" i="33"/>
  <c r="F106" i="33"/>
  <c r="G106" i="33"/>
  <c r="H106" i="33" s="1"/>
  <c r="I106" i="33" s="1"/>
  <c r="J106" i="33" s="1"/>
  <c r="K106" i="33" s="1"/>
  <c r="L106" i="33" s="1"/>
  <c r="M106" i="33" s="1"/>
  <c r="J34" i="33"/>
  <c r="AC34" i="33" s="1"/>
  <c r="AA37" i="39"/>
  <c r="W29" i="35"/>
  <c r="AC39" i="39"/>
  <c r="AA39" i="39"/>
  <c r="S39" i="39"/>
  <c r="U34" i="39"/>
  <c r="AB29" i="39"/>
  <c r="AB44" i="39"/>
  <c r="AC33" i="39"/>
  <c r="AA33" i="39"/>
  <c r="F80" i="35"/>
  <c r="G80" i="35" s="1"/>
  <c r="H80" i="35" s="1"/>
  <c r="I80" i="35" s="1"/>
  <c r="J80" i="35" s="1"/>
  <c r="K80" i="35" s="1"/>
  <c r="L80" i="35" s="1"/>
  <c r="M80" i="35" s="1"/>
  <c r="F90" i="34"/>
  <c r="G90" i="34"/>
  <c r="H90" i="34" s="1"/>
  <c r="I90" i="34" s="1"/>
  <c r="J90" i="34" s="1"/>
  <c r="K90" i="34" s="1"/>
  <c r="L90" i="34" s="1"/>
  <c r="M90" i="34" s="1"/>
  <c r="F27" i="34"/>
  <c r="S27" i="34" s="1"/>
  <c r="W43" i="39"/>
  <c r="AA43" i="39"/>
  <c r="S43" i="39"/>
  <c r="F32" i="37"/>
  <c r="S32" i="37"/>
  <c r="S46" i="34"/>
  <c r="U12" i="34"/>
  <c r="AB13" i="33"/>
  <c r="F17" i="34"/>
  <c r="AA17" i="34" s="1"/>
  <c r="J17" i="34"/>
  <c r="AC17" i="34" s="1"/>
  <c r="H11" i="34"/>
  <c r="J35" i="33"/>
  <c r="AC35" i="33" s="1"/>
  <c r="W35" i="33"/>
  <c r="S32" i="33"/>
  <c r="AC15" i="33"/>
  <c r="H11" i="33"/>
  <c r="U11" i="33"/>
  <c r="H10" i="33"/>
  <c r="U10" i="33" s="1"/>
  <c r="I66" i="33"/>
  <c r="J10" i="33"/>
  <c r="W10" i="33" s="1"/>
  <c r="AC10" i="33"/>
  <c r="U11" i="37"/>
  <c r="AC16" i="35"/>
  <c r="AC13" i="40"/>
  <c r="J11" i="34"/>
  <c r="W11" i="34"/>
  <c r="AC36" i="33"/>
  <c r="F25" i="40"/>
  <c r="AA25" i="40"/>
  <c r="J11" i="33"/>
  <c r="W11" i="33"/>
  <c r="H33" i="37"/>
  <c r="AB33" i="37"/>
  <c r="AB20" i="35"/>
  <c r="D73" i="9"/>
  <c r="N73" i="9" s="1"/>
  <c r="AP11" i="1"/>
  <c r="B11" i="1"/>
  <c r="E11" i="1" s="1"/>
  <c r="K11" i="1"/>
  <c r="M11" i="1" s="1"/>
  <c r="O11" i="1" s="1"/>
  <c r="P11" i="1" s="1"/>
  <c r="B9" i="1"/>
  <c r="E9" i="1"/>
  <c r="K9" i="1"/>
  <c r="M9" i="1" s="1"/>
  <c r="O9" i="1" s="1"/>
  <c r="P9" i="1" s="1"/>
  <c r="B7" i="1"/>
  <c r="E7" i="1"/>
  <c r="K7" i="1"/>
  <c r="M7" i="1" s="1"/>
  <c r="O7" i="1" s="1"/>
  <c r="P7" i="1" s="1"/>
  <c r="C20" i="43"/>
  <c r="F6" i="1"/>
  <c r="AP6" i="1" s="1"/>
  <c r="M22" i="44"/>
  <c r="F29" i="12"/>
  <c r="S8" i="36"/>
  <c r="AA26" i="36"/>
  <c r="H20" i="36"/>
  <c r="U20" i="36"/>
  <c r="G68" i="36"/>
  <c r="J20" i="36"/>
  <c r="W20" i="36" s="1"/>
  <c r="F20" i="36"/>
  <c r="S20" i="36"/>
  <c r="F62" i="36"/>
  <c r="G62" i="36" s="1"/>
  <c r="J14" i="36"/>
  <c r="H14" i="36"/>
  <c r="U14" i="36" s="1"/>
  <c r="F14" i="36"/>
  <c r="AA14" i="36" s="1"/>
  <c r="U27" i="36"/>
  <c r="AB12" i="36"/>
  <c r="U9" i="36"/>
  <c r="AA27" i="36"/>
  <c r="S16" i="36"/>
  <c r="AC33" i="35"/>
  <c r="U22" i="35"/>
  <c r="AA13" i="35"/>
  <c r="S8" i="35"/>
  <c r="U33" i="35"/>
  <c r="W20" i="35"/>
  <c r="AB14" i="35"/>
  <c r="AC10" i="35"/>
  <c r="U9" i="35"/>
  <c r="AC18" i="35"/>
  <c r="W18" i="35"/>
  <c r="U18" i="35"/>
  <c r="AB18" i="35"/>
  <c r="S30" i="35"/>
  <c r="AB30" i="35"/>
  <c r="S27" i="35"/>
  <c r="F26" i="35"/>
  <c r="AA26" i="35" s="1"/>
  <c r="H26" i="35"/>
  <c r="U26" i="35" s="1"/>
  <c r="W12" i="37"/>
  <c r="AA9" i="37"/>
  <c r="S17" i="37"/>
  <c r="W28" i="37"/>
  <c r="AB37" i="37"/>
  <c r="AA31" i="37"/>
  <c r="S33" i="37"/>
  <c r="AA33" i="37"/>
  <c r="U32" i="37"/>
  <c r="AA32" i="37"/>
  <c r="J33" i="37"/>
  <c r="K99" i="37"/>
  <c r="L99" i="37" s="1"/>
  <c r="M99" i="37" s="1"/>
  <c r="S29" i="37"/>
  <c r="J19" i="37"/>
  <c r="AC19" i="37" s="1"/>
  <c r="G75" i="37"/>
  <c r="F19" i="37"/>
  <c r="S19" i="37" s="1"/>
  <c r="H19" i="37"/>
  <c r="J17" i="37"/>
  <c r="S15" i="37"/>
  <c r="AC10" i="37"/>
  <c r="AC21" i="37"/>
  <c r="W21" i="37"/>
  <c r="AC11" i="37"/>
  <c r="AC9" i="37"/>
  <c r="U35" i="37"/>
  <c r="U8" i="37"/>
  <c r="AB25" i="37"/>
  <c r="AB21" i="37"/>
  <c r="U21" i="37"/>
  <c r="S37" i="37"/>
  <c r="S40" i="37"/>
  <c r="S10" i="37"/>
  <c r="W46" i="34"/>
  <c r="W33" i="34"/>
  <c r="AB33" i="34"/>
  <c r="AA30" i="34"/>
  <c r="AA33" i="34"/>
  <c r="U44" i="34"/>
  <c r="U34" i="34"/>
  <c r="AA27" i="34"/>
  <c r="J25" i="34"/>
  <c r="W25" i="34" s="1"/>
  <c r="H25" i="34"/>
  <c r="F25" i="34"/>
  <c r="J23" i="34"/>
  <c r="AC23" i="34" s="1"/>
  <c r="F86" i="34"/>
  <c r="G86" i="34" s="1"/>
  <c r="F23" i="34"/>
  <c r="H23" i="34"/>
  <c r="U23" i="34" s="1"/>
  <c r="W17" i="34"/>
  <c r="AC11" i="34"/>
  <c r="W10" i="34"/>
  <c r="U10" i="34"/>
  <c r="W37" i="34"/>
  <c r="AC40" i="34"/>
  <c r="W44" i="34"/>
  <c r="W19" i="34"/>
  <c r="AC21" i="34"/>
  <c r="W21" i="34"/>
  <c r="U15" i="34"/>
  <c r="AB21" i="34"/>
  <c r="U21" i="34"/>
  <c r="AB41" i="34"/>
  <c r="AA41" i="34"/>
  <c r="S9" i="34"/>
  <c r="S10" i="34"/>
  <c r="U37" i="33"/>
  <c r="S35" i="33"/>
  <c r="AB11" i="33"/>
  <c r="AB41" i="33"/>
  <c r="U36" i="33"/>
  <c r="S29" i="33"/>
  <c r="W31" i="33"/>
  <c r="W43" i="33"/>
  <c r="W39" i="33"/>
  <c r="U35" i="33"/>
  <c r="AB34" i="33"/>
  <c r="AB26" i="33"/>
  <c r="H25" i="33"/>
  <c r="AB25" i="33" s="1"/>
  <c r="J25" i="33"/>
  <c r="W25" i="33"/>
  <c r="F87" i="33"/>
  <c r="G87" i="33" s="1"/>
  <c r="H87" i="33" s="1"/>
  <c r="I87" i="33" s="1"/>
  <c r="J87" i="33"/>
  <c r="K87" i="33" s="1"/>
  <c r="L87" i="33" s="1"/>
  <c r="M87" i="33" s="1"/>
  <c r="F25" i="33"/>
  <c r="AA25" i="33" s="1"/>
  <c r="F85" i="33"/>
  <c r="G85" i="33" s="1"/>
  <c r="J23" i="33"/>
  <c r="F23" i="33"/>
  <c r="S23" i="33" s="1"/>
  <c r="H23" i="33"/>
  <c r="U23" i="33" s="1"/>
  <c r="F79" i="33"/>
  <c r="G79" i="33" s="1"/>
  <c r="F17" i="33"/>
  <c r="AA17" i="33" s="1"/>
  <c r="H17" i="33"/>
  <c r="J17" i="33"/>
  <c r="W17" i="33" s="1"/>
  <c r="AB15" i="33"/>
  <c r="AC11" i="33"/>
  <c r="S10" i="33"/>
  <c r="S14" i="33"/>
  <c r="AC21" i="33"/>
  <c r="W21" i="33"/>
  <c r="W14" i="33"/>
  <c r="AB10" i="33"/>
  <c r="AB21" i="33"/>
  <c r="U21" i="33"/>
  <c r="AA21" i="33"/>
  <c r="S21" i="33"/>
  <c r="AA36" i="33"/>
  <c r="S44" i="21"/>
  <c r="W39" i="21"/>
  <c r="U35" i="21"/>
  <c r="W43" i="21"/>
  <c r="W28" i="21"/>
  <c r="AC46" i="21"/>
  <c r="AC26" i="21"/>
  <c r="F23" i="21"/>
  <c r="H23" i="21"/>
  <c r="U23" i="21" s="1"/>
  <c r="F77" i="21"/>
  <c r="G77" i="21" s="1"/>
  <c r="J15" i="21"/>
  <c r="W15" i="21" s="1"/>
  <c r="H15" i="21"/>
  <c r="AB15" i="21" s="1"/>
  <c r="AC21" i="21"/>
  <c r="W44" i="21"/>
  <c r="W10" i="21"/>
  <c r="AB21" i="21"/>
  <c r="U21" i="21"/>
  <c r="AA30" i="21"/>
  <c r="U15" i="40"/>
  <c r="S14" i="40"/>
  <c r="W11" i="40"/>
  <c r="U21" i="40"/>
  <c r="W25" i="40"/>
  <c r="U35" i="40"/>
  <c r="F37" i="40"/>
  <c r="S37" i="40" s="1"/>
  <c r="J37" i="40"/>
  <c r="AC37" i="40" s="1"/>
  <c r="H37" i="40"/>
  <c r="G113" i="40"/>
  <c r="H113" i="40"/>
  <c r="I113" i="40" s="1"/>
  <c r="J113" i="40" s="1"/>
  <c r="K113" i="40" s="1"/>
  <c r="L113" i="40" s="1"/>
  <c r="M113" i="40" s="1"/>
  <c r="F39" i="40"/>
  <c r="S38" i="40"/>
  <c r="H39" i="40"/>
  <c r="U39" i="40" s="1"/>
  <c r="J39" i="40"/>
  <c r="W38" i="40"/>
  <c r="F29" i="40"/>
  <c r="S29" i="40" s="1"/>
  <c r="H29" i="40"/>
  <c r="J29" i="40"/>
  <c r="F98" i="40"/>
  <c r="G98" i="40" s="1"/>
  <c r="H98" i="40" s="1"/>
  <c r="I98" i="40" s="1"/>
  <c r="J98" i="40" s="1"/>
  <c r="K98" i="40" s="1"/>
  <c r="L98" i="40" s="1"/>
  <c r="M98" i="40" s="1"/>
  <c r="S30" i="40"/>
  <c r="S25" i="40"/>
  <c r="AA23" i="40"/>
  <c r="G88" i="40"/>
  <c r="F19" i="40"/>
  <c r="H19" i="40"/>
  <c r="U19" i="40" s="1"/>
  <c r="J19" i="40"/>
  <c r="W17" i="40"/>
  <c r="AC17" i="40"/>
  <c r="F17" i="40"/>
  <c r="AA17" i="40" s="1"/>
  <c r="H17" i="40"/>
  <c r="U10" i="40"/>
  <c r="U27" i="40"/>
  <c r="AB27" i="40"/>
  <c r="W13" i="39"/>
  <c r="S27" i="39"/>
  <c r="AA21" i="39"/>
  <c r="AC19" i="39"/>
  <c r="AC38" i="39"/>
  <c r="S29" i="39"/>
  <c r="AC21" i="39"/>
  <c r="AB38" i="39"/>
  <c r="U31" i="39"/>
  <c r="AB31" i="39"/>
  <c r="D18" i="9"/>
  <c r="M44" i="9" s="1"/>
  <c r="M43" i="9"/>
  <c r="D96" i="9"/>
  <c r="BA16" i="3"/>
  <c r="BA17" i="3"/>
  <c r="F3" i="35"/>
  <c r="K1" i="43"/>
  <c r="K1" i="12"/>
  <c r="G1" i="44"/>
  <c r="I4" i="6"/>
  <c r="G3" i="46"/>
  <c r="Z11" i="46" s="1"/>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B45" i="46" s="1"/>
  <c r="E58" i="46"/>
  <c r="B56" i="46" s="1"/>
  <c r="A4" i="64"/>
  <c r="A4" i="51"/>
  <c r="B6" i="63" s="1"/>
  <c r="C51" i="10"/>
  <c r="I100" i="46"/>
  <c r="C24" i="46"/>
  <c r="N100" i="46"/>
  <c r="H100" i="46"/>
  <c r="F108" i="46"/>
  <c r="H80" i="46"/>
  <c r="E100" i="46"/>
  <c r="G100" i="46"/>
  <c r="H84" i="46"/>
  <c r="C100" i="46"/>
  <c r="J100" i="46"/>
  <c r="M100" i="46"/>
  <c r="AB12" i="35"/>
  <c r="S14" i="37"/>
  <c r="C24" i="9"/>
  <c r="C25" i="9"/>
  <c r="G8" i="1"/>
  <c r="I20" i="46"/>
  <c r="B46" i="50"/>
  <c r="B4" i="63" s="1"/>
  <c r="C46" i="36"/>
  <c r="D46" i="36" s="1"/>
  <c r="E46" i="36" s="1"/>
  <c r="F46" i="36"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U18" i="36" s="1"/>
  <c r="S25" i="36"/>
  <c r="AA34" i="36"/>
  <c r="U23" i="36"/>
  <c r="W28" i="36"/>
  <c r="AA22" i="36"/>
  <c r="W29" i="36"/>
  <c r="W8" i="36"/>
  <c r="AC30" i="35"/>
  <c r="W32" i="35"/>
  <c r="S24" i="35"/>
  <c r="AA33" i="35"/>
  <c r="W22" i="35"/>
  <c r="S32" i="35"/>
  <c r="U33" i="37"/>
  <c r="AC15" i="37"/>
  <c r="S12" i="37"/>
  <c r="W36" i="37"/>
  <c r="AB28" i="37"/>
  <c r="S28" i="37"/>
  <c r="S26" i="37"/>
  <c r="AB47" i="34"/>
  <c r="S47" i="34"/>
  <c r="AA29" i="34"/>
  <c r="S19" i="34"/>
  <c r="S8" i="34"/>
  <c r="AA19" i="33"/>
  <c r="AC25" i="33"/>
  <c r="S43" i="33"/>
  <c r="AB14" i="33"/>
  <c r="S26" i="33"/>
  <c r="AB12" i="33"/>
  <c r="S39" i="21"/>
  <c r="AB25" i="21"/>
  <c r="W25" i="21"/>
  <c r="W31" i="21"/>
  <c r="AC27" i="21"/>
  <c r="G96" i="40"/>
  <c r="J27" i="40"/>
  <c r="S17" i="40"/>
  <c r="W30" i="40"/>
  <c r="S34" i="40"/>
  <c r="U38" i="40"/>
  <c r="S42" i="40"/>
  <c r="G105" i="39"/>
  <c r="J31" i="39"/>
  <c r="AC31" i="39" s="1"/>
  <c r="W41" i="39"/>
  <c r="AB43" i="39"/>
  <c r="AB33" i="39"/>
  <c r="S34" i="39"/>
  <c r="W42" i="39"/>
  <c r="W36" i="39"/>
  <c r="AC37" i="39"/>
  <c r="W16" i="39"/>
  <c r="W25" i="39"/>
  <c r="W45" i="39"/>
  <c r="AA46" i="39"/>
  <c r="W34" i="39"/>
  <c r="W10" i="39"/>
  <c r="U42" i="39"/>
  <c r="S32" i="40"/>
  <c r="C17" i="40"/>
  <c r="C19" i="40"/>
  <c r="C17" i="39"/>
  <c r="C21" i="39"/>
  <c r="C23" i="40"/>
  <c r="B48" i="46"/>
  <c r="B55" i="46"/>
  <c r="B59" i="46"/>
  <c r="B53" i="46"/>
  <c r="B64" i="46"/>
  <c r="D24" i="15"/>
  <c r="AB20" i="36"/>
  <c r="AA20" i="36"/>
  <c r="AC14" i="36"/>
  <c r="W14" i="36"/>
  <c r="AB18" i="36"/>
  <c r="S26" i="35"/>
  <c r="W19" i="37"/>
  <c r="AB19" i="37"/>
  <c r="U19" i="37"/>
  <c r="U25" i="34"/>
  <c r="AB25" i="34"/>
  <c r="AA25" i="34"/>
  <c r="S25" i="34"/>
  <c r="AC25" i="34"/>
  <c r="AA23" i="34"/>
  <c r="S23" i="34"/>
  <c r="W23" i="34"/>
  <c r="AB23" i="33"/>
  <c r="W23" i="33"/>
  <c r="AC23" i="33"/>
  <c r="AA23" i="33"/>
  <c r="S17" i="33"/>
  <c r="U17" i="33"/>
  <c r="AB17" i="33"/>
  <c r="AB23" i="21"/>
  <c r="AB39" i="40"/>
  <c r="AC39" i="40"/>
  <c r="W39" i="40"/>
  <c r="U37" i="40"/>
  <c r="AB37" i="40"/>
  <c r="AA37" i="40"/>
  <c r="U29" i="40"/>
  <c r="AB29" i="40"/>
  <c r="AC29" i="40"/>
  <c r="W29" i="40"/>
  <c r="AA29" i="40"/>
  <c r="W19" i="40"/>
  <c r="AC19" i="40"/>
  <c r="AA19" i="40"/>
  <c r="S19" i="40"/>
  <c r="AB19" i="40"/>
  <c r="AC27" i="40"/>
  <c r="W27" i="40"/>
  <c r="W31" i="39"/>
  <c r="AT6" i="3"/>
  <c r="AZ16" i="3"/>
  <c r="A9" i="64"/>
  <c r="A9" i="51"/>
  <c r="B9" i="63" s="1"/>
  <c r="G66" i="36"/>
  <c r="J18" i="36"/>
  <c r="W18" i="36" s="1"/>
  <c r="AE8" i="1"/>
  <c r="AE6" i="1"/>
  <c r="AG6" i="1"/>
  <c r="L20" i="6"/>
  <c r="L19" i="6"/>
  <c r="S9" i="1"/>
  <c r="R9" i="1"/>
  <c r="N76" i="9"/>
  <c r="D70" i="39"/>
  <c r="C72" i="39"/>
  <c r="D65" i="40"/>
  <c r="H58" i="46"/>
  <c r="J17" i="46"/>
  <c r="C17" i="46"/>
  <c r="F34" i="46"/>
  <c r="F38" i="46"/>
  <c r="F37" i="46"/>
  <c r="H113" i="46"/>
  <c r="H49" i="46"/>
  <c r="H53" i="46"/>
  <c r="D12" i="59"/>
  <c r="C11" i="59"/>
  <c r="D11" i="59"/>
  <c r="U9" i="59"/>
  <c r="Y11" i="59"/>
  <c r="Z11" i="59" s="1"/>
  <c r="AA11" i="59"/>
  <c r="AB11" i="59"/>
  <c r="Y10" i="59"/>
  <c r="Z10" i="59" s="1"/>
  <c r="Y9" i="59"/>
  <c r="Z9" i="59"/>
  <c r="Y8" i="59"/>
  <c r="Z8" i="59"/>
  <c r="AB10" i="59"/>
  <c r="AB9" i="59"/>
  <c r="AB8" i="59"/>
  <c r="AA13" i="59"/>
  <c r="X11" i="59"/>
  <c r="X9" i="59"/>
  <c r="X8" i="59"/>
  <c r="AA9" i="59"/>
  <c r="AA8" i="59"/>
  <c r="C25" i="12"/>
  <c r="C15" i="43"/>
  <c r="H1" i="65"/>
  <c r="H51" i="46"/>
  <c r="X7" i="46"/>
  <c r="E17" i="46"/>
  <c r="N17" i="46"/>
  <c r="O17" i="46"/>
  <c r="M17" i="46"/>
  <c r="L17" i="46"/>
  <c r="H101" i="46"/>
  <c r="H102" i="46" s="1"/>
  <c r="O13" i="1"/>
  <c r="G13" i="1"/>
  <c r="H70" i="46"/>
  <c r="H73" i="46"/>
  <c r="H48" i="46"/>
  <c r="F35" i="46"/>
  <c r="I17" i="46"/>
  <c r="H63" i="46"/>
  <c r="H64" i="46"/>
  <c r="H66" i="46"/>
  <c r="D100" i="46"/>
  <c r="H62" i="46"/>
  <c r="AF12" i="46"/>
  <c r="K100" i="46"/>
  <c r="AB12" i="46"/>
  <c r="AJ12" i="46"/>
  <c r="J101" i="46"/>
  <c r="J107" i="46" s="1"/>
  <c r="H60" i="46"/>
  <c r="H59" i="46"/>
  <c r="H74" i="46"/>
  <c r="H65" i="46"/>
  <c r="H75" i="46"/>
  <c r="E10" i="46"/>
  <c r="C7" i="46" s="1"/>
  <c r="E9" i="46"/>
  <c r="E11" i="46"/>
  <c r="E8" i="46"/>
  <c r="H72" i="46"/>
  <c r="H77" i="46"/>
  <c r="H76" i="46"/>
  <c r="H55" i="46"/>
  <c r="H52" i="46"/>
  <c r="H47" i="46"/>
  <c r="AD12" i="46"/>
  <c r="AH12" i="46"/>
  <c r="C10" i="59"/>
  <c r="P21" i="46"/>
  <c r="B10" i="59"/>
  <c r="B9" i="59" s="1"/>
  <c r="P22" i="46"/>
  <c r="P23" i="46"/>
  <c r="P25" i="46"/>
  <c r="B73" i="39"/>
  <c r="P24" i="46"/>
  <c r="B68" i="40" s="1"/>
  <c r="E65" i="40"/>
  <c r="E67" i="40" s="1"/>
  <c r="D67" i="40"/>
  <c r="G20" i="46"/>
  <c r="E41" i="46"/>
  <c r="C41" i="46" s="1"/>
  <c r="F33" i="44"/>
  <c r="F31" i="15"/>
  <c r="E12" i="67"/>
  <c r="E9" i="67"/>
  <c r="B13" i="67"/>
  <c r="F11" i="67"/>
  <c r="B12" i="67"/>
  <c r="B9" i="67"/>
  <c r="E13" i="67"/>
  <c r="N3" i="65"/>
  <c r="F15" i="44"/>
  <c r="M23" i="44"/>
  <c r="N7" i="65"/>
  <c r="L49" i="44"/>
  <c r="M29" i="44"/>
  <c r="M24" i="44"/>
  <c r="F10" i="67"/>
  <c r="E11" i="67"/>
  <c r="F8" i="44"/>
  <c r="C19" i="44"/>
  <c r="F28" i="44"/>
  <c r="B10" i="67"/>
  <c r="N4" i="65"/>
  <c r="F8" i="67"/>
  <c r="M10" i="44"/>
  <c r="E10" i="67"/>
  <c r="M25" i="44"/>
  <c r="B11" i="67"/>
  <c r="L48" i="44"/>
  <c r="F46" i="44"/>
  <c r="F9" i="44"/>
  <c r="M11" i="44"/>
  <c r="F11" i="44"/>
  <c r="F18" i="44"/>
  <c r="M31" i="44"/>
  <c r="J15" i="15"/>
  <c r="F7" i="15"/>
  <c r="L47" i="15"/>
  <c r="F26" i="15"/>
  <c r="I3" i="65"/>
  <c r="N5" i="65"/>
  <c r="M27" i="15"/>
  <c r="B14" i="67"/>
  <c r="F38" i="44"/>
  <c r="B8" i="67"/>
  <c r="J4" i="65"/>
  <c r="F40" i="44"/>
  <c r="J17" i="44"/>
  <c r="M30" i="44"/>
  <c r="F13" i="67"/>
  <c r="F42" i="15"/>
  <c r="I7" i="65"/>
  <c r="M28" i="15"/>
  <c r="F36" i="15"/>
  <c r="E14" i="67"/>
  <c r="M26" i="15"/>
  <c r="M8" i="15"/>
  <c r="L48" i="15"/>
  <c r="F9" i="67"/>
  <c r="N6" i="65"/>
  <c r="F12" i="67"/>
  <c r="F43" i="44"/>
  <c r="F14" i="67"/>
  <c r="F40" i="15"/>
  <c r="F16" i="15"/>
  <c r="M26" i="44"/>
  <c r="M28" i="44"/>
  <c r="E8" i="67"/>
  <c r="M29" i="15"/>
  <c r="F32" i="21" l="1"/>
  <c r="S32" i="21" s="1"/>
  <c r="AC17" i="39"/>
  <c r="S11" i="39"/>
  <c r="AC11" i="39"/>
  <c r="U11" i="39"/>
  <c r="G9" i="1"/>
  <c r="G7" i="1"/>
  <c r="B9" i="52"/>
  <c r="B10" i="52"/>
  <c r="E6" i="52"/>
  <c r="AZ564" i="3"/>
  <c r="AC14" i="35"/>
  <c r="W14" i="35"/>
  <c r="U24" i="35"/>
  <c r="AB24" i="35"/>
  <c r="W47" i="34"/>
  <c r="AC47" i="34"/>
  <c r="U8" i="21"/>
  <c r="AB8" i="21"/>
  <c r="BA572" i="3"/>
  <c r="BL571" i="3"/>
  <c r="BA571" i="3"/>
  <c r="BH5" i="3"/>
  <c r="E10" i="6" s="1"/>
  <c r="BA13" i="3"/>
  <c r="B72" i="46"/>
  <c r="B51" i="46"/>
  <c r="B62" i="46"/>
  <c r="AA28" i="35"/>
  <c r="S28" i="35"/>
  <c r="BL561" i="3"/>
  <c r="BA503" i="3"/>
  <c r="AZ503" i="3" s="1"/>
  <c r="BL502" i="3"/>
  <c r="BA502" i="3"/>
  <c r="C9" i="59"/>
  <c r="D10" i="59"/>
  <c r="S20" i="35"/>
  <c r="AA20" i="35"/>
  <c r="AA41" i="33"/>
  <c r="S41" i="33"/>
  <c r="U38" i="34"/>
  <c r="AB38" i="34"/>
  <c r="AZ518" i="3"/>
  <c r="AA44" i="39"/>
  <c r="S44" i="39"/>
  <c r="AA24" i="36"/>
  <c r="S24" i="36"/>
  <c r="AC12" i="21"/>
  <c r="W12" i="21"/>
  <c r="AA9" i="33"/>
  <c r="S9" i="33"/>
  <c r="S12" i="33"/>
  <c r="AA12" i="33"/>
  <c r="W12" i="35"/>
  <c r="AC12" i="35"/>
  <c r="H38" i="37"/>
  <c r="F38" i="37"/>
  <c r="J38" i="37"/>
  <c r="AZ565" i="3"/>
  <c r="BL560" i="3"/>
  <c r="BA560" i="3"/>
  <c r="AZ560" i="3" s="1"/>
  <c r="BA548" i="3"/>
  <c r="AZ548" i="3" s="1"/>
  <c r="BA547" i="3"/>
  <c r="AZ547" i="3" s="1"/>
  <c r="BL541" i="3"/>
  <c r="BA501" i="3"/>
  <c r="AZ501" i="3" s="1"/>
  <c r="AC18" i="36"/>
  <c r="AB14" i="36"/>
  <c r="W23" i="39"/>
  <c r="AC23" i="39"/>
  <c r="AB25" i="40"/>
  <c r="U25" i="40"/>
  <c r="W15" i="34"/>
  <c r="AC15" i="34"/>
  <c r="AA41" i="39"/>
  <c r="S41" i="39"/>
  <c r="AC14" i="39"/>
  <c r="W14" i="39"/>
  <c r="U46" i="39"/>
  <c r="AB46" i="39"/>
  <c r="AC44" i="39"/>
  <c r="W44" i="39"/>
  <c r="AA16" i="35"/>
  <c r="S16" i="35"/>
  <c r="AB19" i="34"/>
  <c r="U19" i="34"/>
  <c r="W32" i="37"/>
  <c r="AC32" i="37"/>
  <c r="U35" i="34"/>
  <c r="AB35" i="34"/>
  <c r="AC13" i="35"/>
  <c r="W13" i="35"/>
  <c r="S46" i="33"/>
  <c r="AA46" i="33"/>
  <c r="AA9" i="35"/>
  <c r="S9" i="35"/>
  <c r="F27" i="37"/>
  <c r="J27" i="37"/>
  <c r="H27" i="37"/>
  <c r="AZ516" i="3"/>
  <c r="BC5" i="3"/>
  <c r="BL482" i="3"/>
  <c r="AB17" i="40"/>
  <c r="U17" i="40"/>
  <c r="S39" i="40"/>
  <c r="AA39" i="40"/>
  <c r="AA17" i="39"/>
  <c r="S17" i="39"/>
  <c r="U28" i="34"/>
  <c r="AB28" i="34"/>
  <c r="U33" i="21"/>
  <c r="AB33" i="21"/>
  <c r="F28" i="6"/>
  <c r="F30" i="6" s="1"/>
  <c r="U27" i="33"/>
  <c r="AB27" i="33"/>
  <c r="AA31" i="33"/>
  <c r="S31" i="33"/>
  <c r="J15" i="39"/>
  <c r="F15" i="39"/>
  <c r="H15" i="39"/>
  <c r="BA567" i="3"/>
  <c r="AZ567" i="3" s="1"/>
  <c r="BL566" i="3"/>
  <c r="AZ566" i="3" s="1"/>
  <c r="BL565" i="3"/>
  <c r="BL564" i="3"/>
  <c r="BL563" i="3"/>
  <c r="BA563" i="3"/>
  <c r="AZ563" i="3" s="1"/>
  <c r="BL562" i="3"/>
  <c r="BA562" i="3"/>
  <c r="AZ562" i="3" s="1"/>
  <c r="AZ561" i="3"/>
  <c r="BL549" i="3"/>
  <c r="AZ549" i="3" s="1"/>
  <c r="BL500" i="3"/>
  <c r="BP5" i="3"/>
  <c r="BA500" i="3"/>
  <c r="AZ500" i="3" s="1"/>
  <c r="F65" i="40"/>
  <c r="R22" i="31"/>
  <c r="B21" i="31" s="1"/>
  <c r="AC17" i="33"/>
  <c r="AB26" i="35"/>
  <c r="AB45" i="39"/>
  <c r="AA23" i="21"/>
  <c r="S23" i="21"/>
  <c r="AC17" i="37"/>
  <c r="W17" i="37"/>
  <c r="AZ196" i="3"/>
  <c r="AB15" i="37"/>
  <c r="U15" i="37"/>
  <c r="AB42" i="33"/>
  <c r="U42" i="33"/>
  <c r="AA14" i="21"/>
  <c r="S14" i="21"/>
  <c r="AA43" i="21"/>
  <c r="S43" i="21"/>
  <c r="AC31" i="34"/>
  <c r="W31" i="34"/>
  <c r="AA38" i="34"/>
  <c r="S38" i="34"/>
  <c r="W42" i="34"/>
  <c r="AC42" i="34"/>
  <c r="AA34" i="37"/>
  <c r="S34" i="37"/>
  <c r="AB17" i="34"/>
  <c r="U17" i="34"/>
  <c r="AA11" i="37"/>
  <c r="S11" i="37"/>
  <c r="W34" i="21"/>
  <c r="AC34" i="21"/>
  <c r="W36" i="34"/>
  <c r="AC36" i="34"/>
  <c r="H47" i="39"/>
  <c r="J47" i="39"/>
  <c r="F47" i="39"/>
  <c r="BL559" i="3"/>
  <c r="BA559" i="3"/>
  <c r="AZ559" i="3" s="1"/>
  <c r="BL542" i="3"/>
  <c r="AZ542" i="3" s="1"/>
  <c r="AZ541" i="3"/>
  <c r="BK5" i="3"/>
  <c r="B8" i="59"/>
  <c r="B7" i="59" s="1"/>
  <c r="B6" i="59" s="1"/>
  <c r="B5" i="59" s="1"/>
  <c r="S9" i="59"/>
  <c r="E70" i="39"/>
  <c r="D72" i="39"/>
  <c r="W33" i="37"/>
  <c r="AC33" i="37"/>
  <c r="Y11" i="46"/>
  <c r="Y13" i="46" s="1"/>
  <c r="D101" i="46"/>
  <c r="D106" i="46" s="1"/>
  <c r="C101" i="46"/>
  <c r="C109" i="46" s="1"/>
  <c r="Z7" i="46"/>
  <c r="AF11" i="46"/>
  <c r="AF13" i="46" s="1"/>
  <c r="J22" i="46"/>
  <c r="M101" i="46"/>
  <c r="M102" i="46" s="1"/>
  <c r="N104" i="45"/>
  <c r="AA11" i="46"/>
  <c r="AA13" i="46" s="1"/>
  <c r="H22" i="46"/>
  <c r="AC11" i="46"/>
  <c r="AC13" i="46" s="1"/>
  <c r="F22" i="46"/>
  <c r="AB11" i="46"/>
  <c r="AB13" i="46" s="1"/>
  <c r="AJ11" i="46"/>
  <c r="AJ13" i="46" s="1"/>
  <c r="E22" i="46"/>
  <c r="AC40" i="40"/>
  <c r="W40" i="40"/>
  <c r="S41" i="40"/>
  <c r="AA41" i="40"/>
  <c r="U23" i="35"/>
  <c r="AB23" i="35"/>
  <c r="AB11" i="36"/>
  <c r="U11" i="36"/>
  <c r="U13" i="40"/>
  <c r="AB13" i="40"/>
  <c r="U9" i="37"/>
  <c r="AB9" i="37"/>
  <c r="AA10" i="35"/>
  <c r="S10" i="35"/>
  <c r="S25" i="21"/>
  <c r="AA25" i="21"/>
  <c r="AC37" i="37"/>
  <c r="W37" i="37"/>
  <c r="U27" i="21"/>
  <c r="AB27" i="21"/>
  <c r="AB10" i="36"/>
  <c r="U10" i="36"/>
  <c r="AC40" i="21"/>
  <c r="W40" i="21"/>
  <c r="AA32" i="21"/>
  <c r="F37" i="21"/>
  <c r="G113" i="21"/>
  <c r="W33" i="33"/>
  <c r="AC33" i="33"/>
  <c r="U34" i="35"/>
  <c r="AB34" i="35"/>
  <c r="AC36" i="35"/>
  <c r="W36" i="35"/>
  <c r="J45" i="33"/>
  <c r="H45" i="33"/>
  <c r="F45" i="33"/>
  <c r="J14" i="34"/>
  <c r="H14" i="34"/>
  <c r="F14" i="34"/>
  <c r="H32" i="34"/>
  <c r="J32" i="34"/>
  <c r="F32" i="34"/>
  <c r="J23" i="35"/>
  <c r="F23" i="35"/>
  <c r="J34" i="35"/>
  <c r="F34" i="35"/>
  <c r="AC27" i="35"/>
  <c r="W27" i="35"/>
  <c r="AA9" i="36"/>
  <c r="S9" i="36"/>
  <c r="AB42" i="40"/>
  <c r="U42" i="40"/>
  <c r="AZ404" i="3"/>
  <c r="AB23" i="39"/>
  <c r="U23" i="39"/>
  <c r="AZ528" i="3"/>
  <c r="S44" i="33"/>
  <c r="AA44" i="33"/>
  <c r="U31" i="21"/>
  <c r="AB31" i="21"/>
  <c r="J13" i="21"/>
  <c r="AC13" i="21" s="1"/>
  <c r="H13" i="21"/>
  <c r="F13" i="21"/>
  <c r="H29" i="21"/>
  <c r="F29" i="21"/>
  <c r="H45" i="21"/>
  <c r="J45" i="21"/>
  <c r="F45" i="21"/>
  <c r="AA45" i="21" s="1"/>
  <c r="E85" i="21"/>
  <c r="F85" i="21" s="1"/>
  <c r="G85" i="21" s="1"/>
  <c r="J23" i="21"/>
  <c r="W23" i="21" s="1"/>
  <c r="B47" i="46"/>
  <c r="C19" i="39"/>
  <c r="W12" i="33"/>
  <c r="AC12" i="33"/>
  <c r="AB40" i="33"/>
  <c r="U40" i="33"/>
  <c r="AA27" i="33"/>
  <c r="S27" i="33"/>
  <c r="W9" i="35"/>
  <c r="AC9" i="35"/>
  <c r="AB28" i="35"/>
  <c r="U28" i="35"/>
  <c r="H13" i="36"/>
  <c r="F13" i="36"/>
  <c r="J13" i="36"/>
  <c r="AB22" i="36"/>
  <c r="U22" i="36"/>
  <c r="F32" i="36"/>
  <c r="J32" i="36"/>
  <c r="H33" i="40"/>
  <c r="J33" i="40"/>
  <c r="BA569" i="3"/>
  <c r="AZ569" i="3" s="1"/>
  <c r="BL568" i="3"/>
  <c r="BA568" i="3"/>
  <c r="AZ568" i="3" s="1"/>
  <c r="BA550" i="3"/>
  <c r="AZ550" i="3" s="1"/>
  <c r="BA523" i="3"/>
  <c r="AZ523" i="3" s="1"/>
  <c r="BL521" i="3"/>
  <c r="BA521" i="3"/>
  <c r="AZ521" i="3" s="1"/>
  <c r="BL520" i="3"/>
  <c r="BA520" i="3"/>
  <c r="BL519" i="3"/>
  <c r="BL518" i="3"/>
  <c r="BA517" i="3"/>
  <c r="BG5" i="3"/>
  <c r="BA482" i="3"/>
  <c r="BA481" i="3"/>
  <c r="AZ481" i="3" s="1"/>
  <c r="BR5" i="3"/>
  <c r="G28" i="6" s="1"/>
  <c r="AC42" i="40"/>
  <c r="W42" i="40"/>
  <c r="AA45" i="39"/>
  <c r="S45" i="39"/>
  <c r="AB41" i="40"/>
  <c r="U41" i="40"/>
  <c r="AZ519" i="3"/>
  <c r="S25" i="33"/>
  <c r="S14" i="36"/>
  <c r="U14" i="39"/>
  <c r="W37" i="40"/>
  <c r="H50" i="46"/>
  <c r="H54" i="46"/>
  <c r="M20" i="15"/>
  <c r="S38" i="39"/>
  <c r="U41" i="39"/>
  <c r="W17" i="21"/>
  <c r="U25" i="33"/>
  <c r="W34" i="33"/>
  <c r="AA19" i="37"/>
  <c r="AC20" i="36"/>
  <c r="S23" i="36"/>
  <c r="S17" i="34"/>
  <c r="AB11" i="34"/>
  <c r="U11" i="34"/>
  <c r="AA11" i="33"/>
  <c r="AC14" i="40"/>
  <c r="AC34" i="40"/>
  <c r="W34" i="40"/>
  <c r="F27" i="43"/>
  <c r="C27" i="43" s="1"/>
  <c r="F34" i="44"/>
  <c r="J35" i="40"/>
  <c r="U32" i="40"/>
  <c r="AA25" i="39"/>
  <c r="AA14" i="39"/>
  <c r="U8" i="33"/>
  <c r="AB30" i="40"/>
  <c r="BB5" i="3"/>
  <c r="AZ533" i="3"/>
  <c r="S29" i="35"/>
  <c r="AB29" i="35"/>
  <c r="S19" i="39"/>
  <c r="S12" i="35"/>
  <c r="AB19" i="33"/>
  <c r="AZ359" i="3"/>
  <c r="AZ363" i="3"/>
  <c r="AZ556" i="3"/>
  <c r="W42" i="21"/>
  <c r="AB40" i="37"/>
  <c r="F30" i="33"/>
  <c r="J27" i="33"/>
  <c r="AA28" i="33"/>
  <c r="AA46" i="21"/>
  <c r="S46" i="21"/>
  <c r="AB42" i="34"/>
  <c r="W34" i="37"/>
  <c r="AC34" i="37"/>
  <c r="AC14" i="21"/>
  <c r="W14" i="21"/>
  <c r="C27" i="39"/>
  <c r="B66" i="46"/>
  <c r="AB38" i="33"/>
  <c r="AB24" i="36"/>
  <c r="F33" i="36"/>
  <c r="J33" i="36"/>
  <c r="BA536" i="3"/>
  <c r="BL534" i="3"/>
  <c r="BA534" i="3"/>
  <c r="BL531" i="3"/>
  <c r="BA531" i="3"/>
  <c r="AZ531" i="3" s="1"/>
  <c r="BL527" i="3"/>
  <c r="BA527" i="3"/>
  <c r="BL525" i="3"/>
  <c r="BA525" i="3"/>
  <c r="AZ525" i="3" s="1"/>
  <c r="BA524" i="3"/>
  <c r="AZ524" i="3" s="1"/>
  <c r="BL510" i="3"/>
  <c r="AZ510" i="3" s="1"/>
  <c r="BL509" i="3"/>
  <c r="AZ509" i="3" s="1"/>
  <c r="BA496" i="3"/>
  <c r="AZ496" i="3" s="1"/>
  <c r="BL487" i="3"/>
  <c r="AZ487" i="3" s="1"/>
  <c r="BA485" i="3"/>
  <c r="AZ485" i="3" s="1"/>
  <c r="BL484" i="3"/>
  <c r="BA484" i="3"/>
  <c r="AZ484" i="3" s="1"/>
  <c r="BL483" i="3"/>
  <c r="AZ483" i="3" s="1"/>
  <c r="G15" i="3"/>
  <c r="AC5" i="3"/>
  <c r="G17" i="46"/>
  <c r="C16" i="46" s="1"/>
  <c r="C5" i="46" s="1"/>
  <c r="AB23" i="34"/>
  <c r="S43" i="34"/>
  <c r="AZ522" i="3"/>
  <c r="AZ526" i="3"/>
  <c r="BE5" i="3"/>
  <c r="AB40" i="21"/>
  <c r="U40" i="21"/>
  <c r="AB17" i="37"/>
  <c r="AZ358" i="3"/>
  <c r="W23" i="37"/>
  <c r="AC23" i="37"/>
  <c r="AZ544" i="3"/>
  <c r="AZ505" i="3"/>
  <c r="AZ551" i="3"/>
  <c r="S13" i="37"/>
  <c r="AA13" i="37"/>
  <c r="W29" i="37"/>
  <c r="AC29" i="37"/>
  <c r="H32" i="36"/>
  <c r="J29" i="21"/>
  <c r="U30" i="21"/>
  <c r="AB30" i="21"/>
  <c r="W27" i="36"/>
  <c r="AC27" i="36"/>
  <c r="AB32" i="33"/>
  <c r="U32" i="33"/>
  <c r="BL572" i="3"/>
  <c r="BL570" i="3"/>
  <c r="AZ570" i="3" s="1"/>
  <c r="BT5" i="3"/>
  <c r="BN5" i="3"/>
  <c r="G29" i="6" s="1"/>
  <c r="E29" i="6" s="1"/>
  <c r="K15" i="1" s="1"/>
  <c r="BI5" i="3"/>
  <c r="AB42" i="21"/>
  <c r="U42" i="21"/>
  <c r="J27" i="34"/>
  <c r="H27" i="34"/>
  <c r="J13" i="34"/>
  <c r="F13" i="34"/>
  <c r="H13" i="34"/>
  <c r="H31" i="34"/>
  <c r="F31" i="34"/>
  <c r="F11" i="35"/>
  <c r="H11" i="35"/>
  <c r="J11" i="35"/>
  <c r="F25" i="35"/>
  <c r="H25" i="35"/>
  <c r="AC9" i="36"/>
  <c r="W9" i="36"/>
  <c r="U34" i="36"/>
  <c r="AB34" i="36"/>
  <c r="AB36" i="37"/>
  <c r="U36" i="37"/>
  <c r="F16" i="40"/>
  <c r="J16" i="40"/>
  <c r="S41" i="21"/>
  <c r="AA41" i="21"/>
  <c r="BA558" i="3"/>
  <c r="AZ558" i="3" s="1"/>
  <c r="BL557" i="3"/>
  <c r="BA557" i="3"/>
  <c r="AZ557" i="3" s="1"/>
  <c r="BL556" i="3"/>
  <c r="BA553" i="3"/>
  <c r="AZ553" i="3" s="1"/>
  <c r="BL547" i="3"/>
  <c r="BA545" i="3"/>
  <c r="AZ545" i="3" s="1"/>
  <c r="BL543" i="3"/>
  <c r="BA543" i="3"/>
  <c r="BL540" i="3"/>
  <c r="BA540" i="3"/>
  <c r="AZ540" i="3" s="1"/>
  <c r="BA538" i="3"/>
  <c r="AZ538" i="3" s="1"/>
  <c r="BA537" i="3"/>
  <c r="AZ537" i="3" s="1"/>
  <c r="BL536" i="3"/>
  <c r="BL517" i="3"/>
  <c r="AZ515" i="3"/>
  <c r="AZ513" i="3"/>
  <c r="BA508" i="3"/>
  <c r="AZ508" i="3" s="1"/>
  <c r="BL506" i="3"/>
  <c r="AZ506" i="3" s="1"/>
  <c r="BL505" i="3"/>
  <c r="BL499" i="3"/>
  <c r="BA499" i="3"/>
  <c r="AZ499" i="3" s="1"/>
  <c r="BA498" i="3"/>
  <c r="AZ498" i="3" s="1"/>
  <c r="BL497" i="3"/>
  <c r="AZ497" i="3" s="1"/>
  <c r="BL494" i="3"/>
  <c r="BA494" i="3"/>
  <c r="AZ494" i="3" s="1"/>
  <c r="BL493" i="3"/>
  <c r="BA493" i="3"/>
  <c r="BA492" i="3"/>
  <c r="AZ492" i="3" s="1"/>
  <c r="BA491" i="3"/>
  <c r="AZ491" i="3" s="1"/>
  <c r="AZ19" i="3"/>
  <c r="U8" i="36"/>
  <c r="AB8" i="36"/>
  <c r="H13" i="37"/>
  <c r="J13" i="37"/>
  <c r="G551" i="3"/>
  <c r="J46" i="33"/>
  <c r="H46" i="33"/>
  <c r="J29" i="34"/>
  <c r="H29" i="34"/>
  <c r="H45" i="34"/>
  <c r="F45" i="34"/>
  <c r="AB26" i="36"/>
  <c r="U26" i="36"/>
  <c r="AC41" i="33"/>
  <c r="W41" i="33"/>
  <c r="S40" i="40"/>
  <c r="S15" i="33"/>
  <c r="W35" i="37"/>
  <c r="C20" i="46"/>
  <c r="F15" i="21"/>
  <c r="S15" i="21" s="1"/>
  <c r="AA40" i="34"/>
  <c r="J26" i="35"/>
  <c r="AA28" i="36"/>
  <c r="AB34" i="21"/>
  <c r="J32" i="21"/>
  <c r="AC32" i="21" s="1"/>
  <c r="H32" i="21"/>
  <c r="F13" i="39"/>
  <c r="AA13" i="39" s="1"/>
  <c r="H25" i="36"/>
  <c r="J45" i="34"/>
  <c r="AA22" i="35"/>
  <c r="S22" i="35"/>
  <c r="C29" i="39"/>
  <c r="B70" i="46"/>
  <c r="C23" i="39"/>
  <c r="AC39" i="34"/>
  <c r="W39" i="34"/>
  <c r="AA40" i="33"/>
  <c r="S40" i="33"/>
  <c r="BL555" i="3"/>
  <c r="AZ555" i="3" s="1"/>
  <c r="G555" i="3"/>
  <c r="BL545" i="3"/>
  <c r="BL511" i="3"/>
  <c r="AZ511" i="3" s="1"/>
  <c r="G496" i="3"/>
  <c r="BL14" i="3"/>
  <c r="AZ14" i="3" s="1"/>
  <c r="AZ413" i="3"/>
  <c r="AZ424" i="3"/>
  <c r="AZ437" i="3"/>
  <c r="AZ472" i="3"/>
  <c r="AZ409" i="3"/>
  <c r="AZ421" i="3"/>
  <c r="AZ432" i="3"/>
  <c r="H5" i="3"/>
  <c r="BD5" i="3"/>
  <c r="G543" i="3"/>
  <c r="G516" i="3"/>
  <c r="G482" i="3"/>
  <c r="G19" i="3"/>
  <c r="AZ392" i="3"/>
  <c r="AZ406" i="3"/>
  <c r="AZ470" i="3"/>
  <c r="AZ396" i="3"/>
  <c r="AZ387" i="3"/>
  <c r="AZ216" i="3"/>
  <c r="AZ235" i="3"/>
  <c r="AZ246" i="3"/>
  <c r="AZ266" i="3"/>
  <c r="AZ269" i="3"/>
  <c r="G137" i="3"/>
  <c r="G189" i="3"/>
  <c r="AZ28" i="3"/>
  <c r="BA397" i="3"/>
  <c r="AZ397" i="3" s="1"/>
  <c r="BL401" i="3"/>
  <c r="AZ401" i="3" s="1"/>
  <c r="BL404" i="3"/>
  <c r="BA408" i="3"/>
  <c r="AZ408" i="3" s="1"/>
  <c r="BL416" i="3"/>
  <c r="AZ416" i="3" s="1"/>
  <c r="BL419" i="3"/>
  <c r="AZ419" i="3" s="1"/>
  <c r="BL430" i="3"/>
  <c r="AZ430" i="3" s="1"/>
  <c r="BL435" i="3"/>
  <c r="AZ435" i="3" s="1"/>
  <c r="BL440" i="3"/>
  <c r="AZ440" i="3" s="1"/>
  <c r="BL450" i="3"/>
  <c r="AZ450" i="3" s="1"/>
  <c r="BL453" i="3"/>
  <c r="AZ453" i="3" s="1"/>
  <c r="BA466" i="3"/>
  <c r="AZ466" i="3" s="1"/>
  <c r="BA471" i="3"/>
  <c r="AZ471" i="3" s="1"/>
  <c r="BA297" i="3"/>
  <c r="AZ297" i="3" s="1"/>
  <c r="BL312" i="3"/>
  <c r="AZ312" i="3" s="1"/>
  <c r="BL326" i="3"/>
  <c r="AZ326" i="3" s="1"/>
  <c r="AZ334" i="3"/>
  <c r="AZ350" i="3"/>
  <c r="AZ206" i="3"/>
  <c r="AZ208" i="3"/>
  <c r="AZ227" i="3"/>
  <c r="AZ248" i="3"/>
  <c r="AZ251" i="3"/>
  <c r="AZ271" i="3"/>
  <c r="AZ120" i="3"/>
  <c r="AZ141" i="3"/>
  <c r="AZ202" i="3"/>
  <c r="AZ22" i="3"/>
  <c r="C92" i="9"/>
  <c r="BL390" i="3"/>
  <c r="AZ390" i="3" s="1"/>
  <c r="BL396" i="3"/>
  <c r="G400" i="3"/>
  <c r="BL407" i="3"/>
  <c r="AZ407" i="3" s="1"/>
  <c r="BA411" i="3"/>
  <c r="AZ411" i="3" s="1"/>
  <c r="BL422" i="3"/>
  <c r="AZ422" i="3" s="1"/>
  <c r="G429" i="3"/>
  <c r="G444" i="3"/>
  <c r="BL448" i="3"/>
  <c r="AZ448" i="3" s="1"/>
  <c r="G459" i="3"/>
  <c r="G464" i="3"/>
  <c r="BL468" i="3"/>
  <c r="AZ468" i="3" s="1"/>
  <c r="G475" i="3"/>
  <c r="G480" i="3"/>
  <c r="G311" i="3"/>
  <c r="G325" i="3"/>
  <c r="BA335" i="3"/>
  <c r="AZ335" i="3" s="1"/>
  <c r="BL342" i="3"/>
  <c r="AZ342" i="3" s="1"/>
  <c r="G363" i="3"/>
  <c r="G367" i="3"/>
  <c r="G370" i="3"/>
  <c r="BA209" i="3"/>
  <c r="AZ209" i="3" s="1"/>
  <c r="G213" i="3"/>
  <c r="BL214" i="3"/>
  <c r="AZ214" i="3" s="1"/>
  <c r="AZ219" i="3"/>
  <c r="G226" i="3"/>
  <c r="BA228" i="3"/>
  <c r="AZ228" i="3" s="1"/>
  <c r="AZ230" i="3"/>
  <c r="AZ232" i="3"/>
  <c r="AZ254" i="3"/>
  <c r="BL257" i="3"/>
  <c r="AZ257" i="3" s="1"/>
  <c r="AZ262" i="3"/>
  <c r="BA272" i="3"/>
  <c r="AZ272" i="3" s="1"/>
  <c r="BA282" i="3"/>
  <c r="AZ282" i="3" s="1"/>
  <c r="AZ283" i="3"/>
  <c r="BA285" i="3"/>
  <c r="AZ285" i="3" s="1"/>
  <c r="AZ293" i="3"/>
  <c r="AZ136" i="3"/>
  <c r="AZ159" i="3"/>
  <c r="AZ175" i="3"/>
  <c r="AZ104" i="3"/>
  <c r="AZ258" i="3"/>
  <c r="AZ277" i="3"/>
  <c r="AZ144" i="3"/>
  <c r="AZ172" i="3"/>
  <c r="AZ30" i="3"/>
  <c r="AZ38" i="3"/>
  <c r="AZ54" i="3"/>
  <c r="AZ65" i="3"/>
  <c r="BL239" i="3"/>
  <c r="AZ239" i="3" s="1"/>
  <c r="BL242" i="3"/>
  <c r="AZ242" i="3" s="1"/>
  <c r="G246" i="3"/>
  <c r="BA253" i="3"/>
  <c r="AZ253" i="3" s="1"/>
  <c r="G257" i="3"/>
  <c r="G260" i="3"/>
  <c r="BA264" i="3"/>
  <c r="AZ264" i="3" s="1"/>
  <c r="BA267" i="3"/>
  <c r="AZ267" i="3" s="1"/>
  <c r="G276" i="3"/>
  <c r="BL280" i="3"/>
  <c r="AZ280" i="3" s="1"/>
  <c r="BL290" i="3"/>
  <c r="AZ290" i="3" s="1"/>
  <c r="BL293" i="3"/>
  <c r="BL296" i="3"/>
  <c r="AZ296" i="3" s="1"/>
  <c r="BA116" i="3"/>
  <c r="AZ116" i="3" s="1"/>
  <c r="BA123" i="3"/>
  <c r="AZ123" i="3" s="1"/>
  <c r="BL136" i="3"/>
  <c r="BA143" i="3"/>
  <c r="AZ143" i="3" s="1"/>
  <c r="G146" i="3"/>
  <c r="BL152" i="3"/>
  <c r="BA155" i="3"/>
  <c r="AZ155" i="3" s="1"/>
  <c r="BL157" i="3"/>
  <c r="AZ157" i="3" s="1"/>
  <c r="BL165" i="3"/>
  <c r="AZ165" i="3" s="1"/>
  <c r="BA177" i="3"/>
  <c r="AZ177" i="3" s="1"/>
  <c r="BA182" i="3"/>
  <c r="AZ182" i="3" s="1"/>
  <c r="BL186" i="3"/>
  <c r="AZ186" i="3" s="1"/>
  <c r="BL188" i="3"/>
  <c r="AZ188" i="3" s="1"/>
  <c r="BA194" i="3"/>
  <c r="AZ194" i="3" s="1"/>
  <c r="BA195" i="3"/>
  <c r="AZ195" i="3" s="1"/>
  <c r="BA203" i="3"/>
  <c r="BA31" i="3"/>
  <c r="AZ31" i="3" s="1"/>
  <c r="BA33" i="3"/>
  <c r="AZ33" i="3" s="1"/>
  <c r="BL45" i="3"/>
  <c r="AZ45" i="3" s="1"/>
  <c r="BL47" i="3"/>
  <c r="AZ47" i="3" s="1"/>
  <c r="BL48" i="3"/>
  <c r="AZ48" i="3" s="1"/>
  <c r="BA66" i="3"/>
  <c r="AZ66" i="3" s="1"/>
  <c r="AZ67" i="3"/>
  <c r="AZ89" i="3"/>
  <c r="AZ111" i="3"/>
  <c r="G238" i="3"/>
  <c r="BA245" i="3"/>
  <c r="AZ245" i="3" s="1"/>
  <c r="G249" i="3"/>
  <c r="G252" i="3"/>
  <c r="BA256" i="3"/>
  <c r="AZ256" i="3" s="1"/>
  <c r="BA259" i="3"/>
  <c r="AZ259" i="3" s="1"/>
  <c r="BL263" i="3"/>
  <c r="AZ263" i="3" s="1"/>
  <c r="BL266" i="3"/>
  <c r="BL269" i="3"/>
  <c r="BA275" i="3"/>
  <c r="AZ275" i="3" s="1"/>
  <c r="G284" i="3"/>
  <c r="BL288" i="3"/>
  <c r="AZ288" i="3" s="1"/>
  <c r="BL114" i="3"/>
  <c r="AZ114" i="3" s="1"/>
  <c r="BL121" i="3"/>
  <c r="AZ121" i="3" s="1"/>
  <c r="G127" i="3"/>
  <c r="BL141" i="3"/>
  <c r="BA145" i="3"/>
  <c r="AZ145" i="3" s="1"/>
  <c r="G149" i="3"/>
  <c r="BA152" i="3"/>
  <c r="AZ152" i="3" s="1"/>
  <c r="BL173" i="3"/>
  <c r="AZ173" i="3" s="1"/>
  <c r="BL175" i="3"/>
  <c r="G188" i="3"/>
  <c r="BL192" i="3"/>
  <c r="AZ192" i="3" s="1"/>
  <c r="G197" i="3"/>
  <c r="BA21" i="3"/>
  <c r="AZ21" i="3" s="1"/>
  <c r="BL24" i="3"/>
  <c r="AZ24" i="3" s="1"/>
  <c r="BL25" i="3"/>
  <c r="AZ25" i="3" s="1"/>
  <c r="BL27" i="3"/>
  <c r="AZ27" i="3" s="1"/>
  <c r="BL28" i="3"/>
  <c r="BL36" i="3"/>
  <c r="AZ36" i="3" s="1"/>
  <c r="BL39" i="3"/>
  <c r="AZ39" i="3" s="1"/>
  <c r="BL41" i="3"/>
  <c r="AZ41" i="3" s="1"/>
  <c r="AZ62" i="3"/>
  <c r="G82" i="3"/>
  <c r="BL83" i="3"/>
  <c r="AZ83" i="3" s="1"/>
  <c r="AZ92" i="3"/>
  <c r="AZ108" i="3"/>
  <c r="N55" i="59"/>
  <c r="N54" i="59"/>
  <c r="BL153" i="3"/>
  <c r="AZ153" i="3" s="1"/>
  <c r="BA164" i="3"/>
  <c r="AZ164" i="3" s="1"/>
  <c r="BL172" i="3"/>
  <c r="BA176" i="3"/>
  <c r="AZ176" i="3" s="1"/>
  <c r="G183" i="3"/>
  <c r="BA190" i="3"/>
  <c r="AZ190" i="3" s="1"/>
  <c r="BL196" i="3"/>
  <c r="BL203" i="3"/>
  <c r="G24" i="3"/>
  <c r="G27" i="3"/>
  <c r="G30" i="3"/>
  <c r="BA40" i="3"/>
  <c r="AZ40" i="3" s="1"/>
  <c r="G50" i="3"/>
  <c r="BA55" i="3"/>
  <c r="AZ55" i="3" s="1"/>
  <c r="BA58" i="3"/>
  <c r="AZ58" i="3" s="1"/>
  <c r="BA61" i="3"/>
  <c r="AZ61" i="3" s="1"/>
  <c r="G65" i="3"/>
  <c r="BA70" i="3"/>
  <c r="AZ70" i="3" s="1"/>
  <c r="BA73" i="3"/>
  <c r="AZ73" i="3" s="1"/>
  <c r="BA76" i="3"/>
  <c r="AZ76" i="3" s="1"/>
  <c r="BL81" i="3"/>
  <c r="AZ81" i="3" s="1"/>
  <c r="BA87" i="3"/>
  <c r="AZ87" i="3" s="1"/>
  <c r="BA93" i="3"/>
  <c r="AZ93" i="3" s="1"/>
  <c r="BA94" i="3"/>
  <c r="AZ94" i="3" s="1"/>
  <c r="BL104" i="3"/>
  <c r="BL111" i="3"/>
  <c r="X18" i="59"/>
  <c r="X3" i="59"/>
  <c r="B19" i="59"/>
  <c r="B20" i="59" s="1"/>
  <c r="B21" i="59" s="1"/>
  <c r="S21" i="59" s="1"/>
  <c r="X15" i="59"/>
  <c r="X17" i="59"/>
  <c r="X14" i="59"/>
  <c r="AA19" i="59"/>
  <c r="AA3" i="59"/>
  <c r="AA16" i="59"/>
  <c r="AA17" i="59"/>
  <c r="AA14" i="59"/>
  <c r="G202" i="3"/>
  <c r="BA23" i="3"/>
  <c r="AZ23" i="3" s="1"/>
  <c r="BA26" i="3"/>
  <c r="AZ26" i="3" s="1"/>
  <c r="BA29" i="3"/>
  <c r="AZ29" i="3" s="1"/>
  <c r="BL34" i="3"/>
  <c r="AZ34" i="3" s="1"/>
  <c r="G39" i="3"/>
  <c r="G44" i="3"/>
  <c r="BA49" i="3"/>
  <c r="AZ49" i="3" s="1"/>
  <c r="G53" i="3"/>
  <c r="BL57" i="3"/>
  <c r="AZ57" i="3" s="1"/>
  <c r="BL60" i="3"/>
  <c r="AZ60" i="3" s="1"/>
  <c r="BA64" i="3"/>
  <c r="AZ64" i="3" s="1"/>
  <c r="G68" i="3"/>
  <c r="BL72" i="3"/>
  <c r="AZ72" i="3" s="1"/>
  <c r="BL75" i="3"/>
  <c r="AZ75" i="3" s="1"/>
  <c r="BL86" i="3"/>
  <c r="AZ86" i="3" s="1"/>
  <c r="BL92" i="3"/>
  <c r="BL97" i="3"/>
  <c r="AZ97" i="3" s="1"/>
  <c r="BL101" i="3"/>
  <c r="AZ101" i="3" s="1"/>
  <c r="BA103" i="3"/>
  <c r="AZ103" i="3" s="1"/>
  <c r="BA109" i="3"/>
  <c r="AZ109" i="3" s="1"/>
  <c r="BA110" i="3"/>
  <c r="AZ110" i="3" s="1"/>
  <c r="BL112" i="3"/>
  <c r="AZ112" i="3" s="1"/>
  <c r="R12" i="1"/>
  <c r="K12" i="1"/>
  <c r="M12" i="1" s="1"/>
  <c r="O12" i="1" s="1"/>
  <c r="L108" i="46"/>
  <c r="D1" i="57"/>
  <c r="E10" i="57" s="1"/>
  <c r="D32" i="59"/>
  <c r="C33" i="59"/>
  <c r="E20" i="59"/>
  <c r="E21" i="59" s="1"/>
  <c r="U21" i="59" s="1"/>
  <c r="AB16" i="59"/>
  <c r="AB21" i="59"/>
  <c r="Y22" i="59"/>
  <c r="Z22" i="59" s="1"/>
  <c r="C23" i="59"/>
  <c r="Y19" i="59"/>
  <c r="Z19" i="59" s="1"/>
  <c r="AB24" i="59"/>
  <c r="AB25" i="59"/>
  <c r="C40" i="59"/>
  <c r="D39" i="59"/>
  <c r="Q54" i="59"/>
  <c r="Q55" i="59"/>
  <c r="T57" i="59"/>
  <c r="D57" i="59"/>
  <c r="C56" i="59"/>
  <c r="C17" i="59"/>
  <c r="Y14" i="59"/>
  <c r="Z14" i="59" s="1"/>
  <c r="Y17" i="59"/>
  <c r="Z17" i="59" s="1"/>
  <c r="Y3" i="59"/>
  <c r="Z3" i="59" s="1"/>
  <c r="Y16" i="59"/>
  <c r="Z16" i="59" s="1"/>
  <c r="D27" i="59"/>
  <c r="C28" i="59"/>
  <c r="AB28" i="59"/>
  <c r="AB17" i="59"/>
  <c r="D44" i="59"/>
  <c r="C45" i="59"/>
  <c r="C48" i="59"/>
  <c r="D47" i="59"/>
  <c r="D52" i="59"/>
  <c r="C53" i="59"/>
  <c r="P56" i="59"/>
  <c r="E55" i="59"/>
  <c r="S69" i="59"/>
  <c r="B68" i="59"/>
  <c r="B67" i="59" s="1"/>
  <c r="D20" i="59"/>
  <c r="C21" i="59"/>
  <c r="AA18" i="59"/>
  <c r="Y20" i="59"/>
  <c r="Z20" i="59" s="1"/>
  <c r="Y25" i="59"/>
  <c r="Z25" i="59" s="1"/>
  <c r="Y23" i="59"/>
  <c r="Z23" i="59" s="1"/>
  <c r="X28" i="59"/>
  <c r="X24" i="59"/>
  <c r="D73" i="59"/>
  <c r="C72" i="59"/>
  <c r="Y18" i="59"/>
  <c r="Z18" i="59" s="1"/>
  <c r="X19" i="59"/>
  <c r="B23" i="59"/>
  <c r="B24" i="59" s="1"/>
  <c r="B25" i="59" s="1"/>
  <c r="S25" i="59" s="1"/>
  <c r="X22" i="59"/>
  <c r="AB22" i="59"/>
  <c r="AB23" i="59"/>
  <c r="F27" i="59"/>
  <c r="F28" i="59" s="1"/>
  <c r="F29" i="59" s="1"/>
  <c r="V29" i="59" s="1"/>
  <c r="AB26" i="59"/>
  <c r="AB27" i="59"/>
  <c r="V17" i="59"/>
  <c r="F16" i="59"/>
  <c r="F15" i="59" s="1"/>
  <c r="AB20" i="59"/>
  <c r="AB7" i="59"/>
  <c r="X7" i="59"/>
  <c r="Y5" i="59"/>
  <c r="Z5" i="59" s="1"/>
  <c r="X6" i="59"/>
  <c r="S18" i="36"/>
  <c r="D69" i="59"/>
  <c r="Y21" i="59"/>
  <c r="Z21" i="59" s="1"/>
  <c r="X23" i="59"/>
  <c r="X26" i="59"/>
  <c r="X27" i="59"/>
  <c r="B60" i="59"/>
  <c r="B59" i="59" s="1"/>
  <c r="B16" i="59"/>
  <c r="B15" i="59" s="1"/>
  <c r="S17" i="59"/>
  <c r="Z12" i="46"/>
  <c r="Z13" i="46" s="1"/>
  <c r="AB12" i="59"/>
  <c r="Y6" i="59"/>
  <c r="Z6" i="59" s="1"/>
  <c r="AB6" i="59"/>
  <c r="X20" i="59"/>
  <c r="X12" i="59"/>
  <c r="AA10" i="59"/>
  <c r="AB5" i="59"/>
  <c r="AA6" i="59"/>
  <c r="C76" i="59"/>
  <c r="P57" i="59"/>
  <c r="AB3" i="59"/>
  <c r="AB15" i="59"/>
  <c r="AB13" i="59"/>
  <c r="AB18" i="59"/>
  <c r="AB19" i="59"/>
  <c r="F23" i="59"/>
  <c r="F24" i="59" s="1"/>
  <c r="F25" i="59" s="1"/>
  <c r="V25" i="59" s="1"/>
  <c r="Y26" i="59"/>
  <c r="Z26" i="59" s="1"/>
  <c r="AA15" i="59"/>
  <c r="E17" i="59"/>
  <c r="Y24" i="59"/>
  <c r="Z24" i="59" s="1"/>
  <c r="AA22" i="59"/>
  <c r="X21" i="59"/>
  <c r="X16" i="59"/>
  <c r="AA12" i="59"/>
  <c r="Y12" i="59"/>
  <c r="Z12" i="59" s="1"/>
  <c r="AA7" i="59"/>
  <c r="F13" i="59"/>
  <c r="L76" i="9"/>
  <c r="Y13" i="59"/>
  <c r="Z13" i="59" s="1"/>
  <c r="X10" i="59"/>
  <c r="Y7" i="59"/>
  <c r="Z7" i="59" s="1"/>
  <c r="X5" i="59"/>
  <c r="X13" i="59"/>
  <c r="AA5" i="59"/>
  <c r="A30" i="51"/>
  <c r="B22" i="63" s="1"/>
  <c r="A30" i="64"/>
  <c r="P75" i="15"/>
  <c r="M18" i="15"/>
  <c r="F31" i="43"/>
  <c r="C31" i="43" s="1"/>
  <c r="F71" i="9"/>
  <c r="D86" i="9"/>
  <c r="F32" i="15"/>
  <c r="F59" i="15" s="1"/>
  <c r="F66" i="9"/>
  <c r="P72" i="9" s="1"/>
  <c r="F28" i="15"/>
  <c r="C28" i="15" s="1"/>
  <c r="F30" i="44"/>
  <c r="C30" i="44" s="1"/>
  <c r="M20" i="44"/>
  <c r="F70" i="9"/>
  <c r="F72" i="9"/>
  <c r="M106" i="46"/>
  <c r="F81" i="21"/>
  <c r="G81" i="21" s="1"/>
  <c r="H19" i="21"/>
  <c r="F19" i="21"/>
  <c r="J19" i="21"/>
  <c r="AA17" i="21"/>
  <c r="H17" i="21"/>
  <c r="AB17" i="21" s="1"/>
  <c r="AC33" i="21"/>
  <c r="J11" i="21"/>
  <c r="W11" i="21" s="1"/>
  <c r="F69" i="21"/>
  <c r="G69" i="21" s="1"/>
  <c r="H69" i="21" s="1"/>
  <c r="I69" i="21" s="1"/>
  <c r="J69" i="21" s="1"/>
  <c r="K69" i="21" s="1"/>
  <c r="L69" i="21" s="1"/>
  <c r="M69" i="21" s="1"/>
  <c r="F11" i="21"/>
  <c r="AB11" i="21"/>
  <c r="S9" i="21"/>
  <c r="AA9" i="21"/>
  <c r="H9" i="21"/>
  <c r="J9" i="21"/>
  <c r="AC9" i="21" s="1"/>
  <c r="AC15" i="21"/>
  <c r="AB36" i="21"/>
  <c r="AC38" i="21"/>
  <c r="AC23" i="21"/>
  <c r="W13" i="21"/>
  <c r="AC36" i="21"/>
  <c r="W8" i="21"/>
  <c r="W41" i="21"/>
  <c r="U15" i="21"/>
  <c r="AB12" i="21"/>
  <c r="AB44" i="21"/>
  <c r="AB14" i="21"/>
  <c r="S42" i="21"/>
  <c r="S27" i="21"/>
  <c r="AA31" i="21"/>
  <c r="AA40" i="21"/>
  <c r="S26" i="21"/>
  <c r="S45" i="21"/>
  <c r="S21" i="21"/>
  <c r="E21" i="52"/>
  <c r="E11" i="52"/>
  <c r="E4" i="4" s="1"/>
  <c r="B21" i="55" s="1"/>
  <c r="B72" i="63" s="1"/>
  <c r="D5" i="46"/>
  <c r="B13" i="52"/>
  <c r="B14" i="52"/>
  <c r="B4" i="52"/>
  <c r="E22" i="52"/>
  <c r="B7" i="52"/>
  <c r="B6" i="52"/>
  <c r="S13" i="39"/>
  <c r="E10" i="52"/>
  <c r="B8" i="52"/>
  <c r="E8" i="52"/>
  <c r="E13" i="52"/>
  <c r="E9" i="52"/>
  <c r="B11" i="52"/>
  <c r="B22" i="52"/>
  <c r="E4" i="52"/>
  <c r="E7" i="52"/>
  <c r="C4" i="4" s="1"/>
  <c r="B20" i="55" s="1"/>
  <c r="B70" i="63" s="1"/>
  <c r="U13" i="39"/>
  <c r="D23" i="15"/>
  <c r="C103" i="46"/>
  <c r="L27" i="6"/>
  <c r="BL13" i="3"/>
  <c r="AZ13" i="3"/>
  <c r="BL5" i="3"/>
  <c r="J104" i="46"/>
  <c r="C23" i="46"/>
  <c r="C21" i="46" s="1"/>
  <c r="AE11" i="46"/>
  <c r="AE13" i="46" s="1"/>
  <c r="AI11" i="46"/>
  <c r="AI13" i="46" s="1"/>
  <c r="AH11" i="46"/>
  <c r="AH13" i="46" s="1"/>
  <c r="AG11" i="46"/>
  <c r="AG13" i="46" s="1"/>
  <c r="K101" i="46"/>
  <c r="K103" i="46" s="1"/>
  <c r="E101" i="46"/>
  <c r="E105" i="46" s="1"/>
  <c r="L101" i="46"/>
  <c r="B113" i="46"/>
  <c r="G118" i="46" s="1"/>
  <c r="H118" i="46" s="1"/>
  <c r="G101" i="46"/>
  <c r="AD11" i="46"/>
  <c r="AD13" i="46" s="1"/>
  <c r="N101" i="46"/>
  <c r="N105" i="46" s="1"/>
  <c r="I101" i="46"/>
  <c r="I104" i="46" s="1"/>
  <c r="F101" i="46"/>
  <c r="G22" i="46"/>
  <c r="D22" i="46" s="1"/>
  <c r="C106" i="46"/>
  <c r="C104" i="46"/>
  <c r="D109" i="46"/>
  <c r="D103" i="46"/>
  <c r="M105" i="46"/>
  <c r="J109" i="46"/>
  <c r="C105" i="46"/>
  <c r="C102" i="46"/>
  <c r="C107" i="46"/>
  <c r="J105" i="46"/>
  <c r="E5" i="6"/>
  <c r="D21" i="12" s="1"/>
  <c r="C21" i="12" s="1"/>
  <c r="E14" i="6"/>
  <c r="K102" i="46"/>
  <c r="K109" i="46"/>
  <c r="G107" i="46"/>
  <c r="G104" i="46"/>
  <c r="L107" i="46"/>
  <c r="L109" i="46"/>
  <c r="L102" i="46"/>
  <c r="K104" i="46"/>
  <c r="K107" i="46"/>
  <c r="D107" i="46"/>
  <c r="H103" i="46"/>
  <c r="L106" i="46"/>
  <c r="K105" i="46"/>
  <c r="K106" i="46"/>
  <c r="N103" i="46"/>
  <c r="F102" i="46"/>
  <c r="F109" i="46"/>
  <c r="Q16" i="1"/>
  <c r="G13" i="3"/>
  <c r="J106" i="46"/>
  <c r="N109" i="46"/>
  <c r="N104" i="46"/>
  <c r="H104" i="46"/>
  <c r="H105" i="46"/>
  <c r="E8" i="6"/>
  <c r="J103" i="46"/>
  <c r="J102" i="46"/>
  <c r="N102" i="46"/>
  <c r="N106" i="46"/>
  <c r="N107" i="46"/>
  <c r="D104" i="46"/>
  <c r="D105" i="46"/>
  <c r="H106" i="46"/>
  <c r="D102" i="46"/>
  <c r="H109" i="46"/>
  <c r="H107" i="46"/>
  <c r="F105" i="46"/>
  <c r="F104" i="46"/>
  <c r="F107" i="46"/>
  <c r="H16" i="1"/>
  <c r="O6" i="1"/>
  <c r="P6" i="1" s="1"/>
  <c r="P13" i="1"/>
  <c r="O10" i="1"/>
  <c r="P10" i="1" s="1"/>
  <c r="E11" i="6"/>
  <c r="O8" i="1"/>
  <c r="P8" i="1" s="1"/>
  <c r="P12" i="1"/>
  <c r="M107" i="46"/>
  <c r="M103" i="46"/>
  <c r="M109" i="46"/>
  <c r="M104" i="46"/>
  <c r="A18" i="64"/>
  <c r="B74" i="63" s="1"/>
  <c r="C53" i="10"/>
  <c r="A25" i="64" s="1"/>
  <c r="L5" i="54"/>
  <c r="B39" i="63" s="1"/>
  <c r="T41" i="4"/>
  <c r="A17" i="64" s="1"/>
  <c r="A18" i="51"/>
  <c r="B14" i="63" s="1"/>
  <c r="K5" i="54"/>
  <c r="B38" i="63" s="1"/>
  <c r="A2" i="55"/>
  <c r="B55" i="63" s="1"/>
  <c r="G6" i="1"/>
  <c r="G16" i="1" s="1"/>
  <c r="AP16" i="1"/>
  <c r="F22" i="11" s="1"/>
  <c r="K76" i="9"/>
  <c r="K77" i="9" s="1"/>
  <c r="K79" i="9" s="1"/>
  <c r="K81" i="9" s="1"/>
  <c r="O52" i="37"/>
  <c r="F7" i="37" s="1"/>
  <c r="M48" i="35"/>
  <c r="N48" i="35" s="1"/>
  <c r="O48" i="35" s="1"/>
  <c r="F7" i="35"/>
  <c r="J7" i="35"/>
  <c r="D58" i="21"/>
  <c r="E58" i="21" s="1"/>
  <c r="F58" i="21" s="1"/>
  <c r="G58" i="21" s="1"/>
  <c r="H58" i="21" s="1"/>
  <c r="I58" i="21" s="1"/>
  <c r="J58" i="21" s="1"/>
  <c r="K58" i="21" s="1"/>
  <c r="L58" i="21" s="1"/>
  <c r="M58" i="21" s="1"/>
  <c r="N58" i="21" s="1"/>
  <c r="O58" i="21" s="1"/>
  <c r="H7" i="21"/>
  <c r="J7" i="21"/>
  <c r="D59" i="34"/>
  <c r="G46" i="36"/>
  <c r="H46" i="36" s="1"/>
  <c r="I46" i="36" s="1"/>
  <c r="J46" i="36" s="1"/>
  <c r="K46" i="36" s="1"/>
  <c r="L46" i="36" s="1"/>
  <c r="M46" i="36" s="1"/>
  <c r="N46" i="36" s="1"/>
  <c r="O46" i="36" s="1"/>
  <c r="F7" i="36"/>
  <c r="J7" i="36"/>
  <c r="D58" i="33"/>
  <c r="E58" i="33" s="1"/>
  <c r="F58" i="33" s="1"/>
  <c r="G58" i="33" s="1"/>
  <c r="H58" i="33" s="1"/>
  <c r="I58" i="33" s="1"/>
  <c r="J58" i="33" s="1"/>
  <c r="K58" i="33" s="1"/>
  <c r="L58" i="33" s="1"/>
  <c r="M58" i="33" s="1"/>
  <c r="N58" i="33" s="1"/>
  <c r="O58" i="33" s="1"/>
  <c r="H7" i="33"/>
  <c r="Q73" i="44"/>
  <c r="C29" i="44"/>
  <c r="F67" i="15"/>
  <c r="I1" i="65"/>
  <c r="C27" i="15"/>
  <c r="M9" i="44"/>
  <c r="L58" i="15"/>
  <c r="L59" i="15"/>
  <c r="L59" i="44"/>
  <c r="L60" i="44"/>
  <c r="J57" i="15"/>
  <c r="J55" i="15" s="1"/>
  <c r="J58" i="15" s="1"/>
  <c r="Q51" i="15" s="1"/>
  <c r="J53" i="15"/>
  <c r="L56" i="15"/>
  <c r="I54" i="15"/>
  <c r="M7" i="15"/>
  <c r="F49" i="15"/>
  <c r="J54" i="44"/>
  <c r="J60" i="44"/>
  <c r="J61" i="44"/>
  <c r="Q50" i="44" s="1"/>
  <c r="J58" i="44"/>
  <c r="J56" i="44" s="1"/>
  <c r="J59" i="44" s="1"/>
  <c r="Q52" i="44" s="1"/>
  <c r="L57" i="44"/>
  <c r="I55" i="44"/>
  <c r="J22" i="44"/>
  <c r="F63" i="15"/>
  <c r="C4" i="65"/>
  <c r="B39" i="1" s="1"/>
  <c r="F58" i="15"/>
  <c r="M19" i="44"/>
  <c r="M17" i="15"/>
  <c r="J36" i="15"/>
  <c r="F9" i="15"/>
  <c r="F6" i="15"/>
  <c r="M24" i="15"/>
  <c r="I6" i="65"/>
  <c r="I5" i="65"/>
  <c r="F39" i="44"/>
  <c r="F45" i="44"/>
  <c r="J7" i="65"/>
  <c r="C18" i="44"/>
  <c r="C16" i="15"/>
  <c r="F13" i="15"/>
  <c r="J6" i="65"/>
  <c r="J5" i="65"/>
  <c r="F10" i="44"/>
  <c r="M23" i="15"/>
  <c r="F8" i="15"/>
  <c r="F38" i="15"/>
  <c r="J3" i="65"/>
  <c r="I4" i="65"/>
  <c r="M8" i="44"/>
  <c r="M6" i="15"/>
  <c r="F37" i="15"/>
  <c r="F43" i="15"/>
  <c r="M22" i="15"/>
  <c r="M9" i="15"/>
  <c r="F37" i="44"/>
  <c r="E2" i="65"/>
  <c r="W32" i="21" l="1"/>
  <c r="C36" i="44"/>
  <c r="F70" i="15"/>
  <c r="F64" i="15"/>
  <c r="E20" i="46"/>
  <c r="N28" i="46" s="1"/>
  <c r="J1" i="65"/>
  <c r="F65" i="15"/>
  <c r="F50" i="15"/>
  <c r="C48" i="15" s="1"/>
  <c r="C8" i="44"/>
  <c r="C34" i="44" s="1"/>
  <c r="C6" i="15"/>
  <c r="C32" i="15" s="1"/>
  <c r="Q72" i="15"/>
  <c r="E28" i="6"/>
  <c r="E30" i="6" s="1"/>
  <c r="G30" i="6"/>
  <c r="G31" i="6" s="1"/>
  <c r="T9" i="46"/>
  <c r="V9" i="46" s="1"/>
  <c r="T10" i="46"/>
  <c r="V10" i="46" s="1"/>
  <c r="D53" i="59"/>
  <c r="T53" i="59"/>
  <c r="D45" i="59"/>
  <c r="T45" i="59"/>
  <c r="D28" i="59"/>
  <c r="C29" i="59"/>
  <c r="AC13" i="37"/>
  <c r="W13" i="37"/>
  <c r="W45" i="21"/>
  <c r="AC45" i="21"/>
  <c r="W14" i="34"/>
  <c r="AC14" i="34"/>
  <c r="F67" i="40"/>
  <c r="G65" i="40"/>
  <c r="AC15" i="39"/>
  <c r="W15" i="39"/>
  <c r="C8" i="59"/>
  <c r="T9" i="59"/>
  <c r="D9" i="59"/>
  <c r="J6" i="15"/>
  <c r="J18" i="15" s="1"/>
  <c r="C35" i="46"/>
  <c r="E35" i="46" s="1"/>
  <c r="E12" i="6"/>
  <c r="E59" i="40" s="1"/>
  <c r="V13" i="59"/>
  <c r="F12" i="59"/>
  <c r="F11" i="59" s="1"/>
  <c r="F10" i="59" s="1"/>
  <c r="F9" i="59" s="1"/>
  <c r="U17" i="59"/>
  <c r="E16" i="59"/>
  <c r="E15" i="59" s="1"/>
  <c r="D40" i="59"/>
  <c r="C41" i="59"/>
  <c r="C24" i="59"/>
  <c r="D23" i="59"/>
  <c r="AZ203" i="3"/>
  <c r="AA45" i="34"/>
  <c r="S45" i="34"/>
  <c r="AB46" i="33"/>
  <c r="U46" i="33"/>
  <c r="U13" i="37"/>
  <c r="AB13" i="37"/>
  <c r="AC16" i="40"/>
  <c r="W16" i="40"/>
  <c r="U25" i="35"/>
  <c r="AB25" i="35"/>
  <c r="S11" i="35"/>
  <c r="AA11" i="35"/>
  <c r="S13" i="34"/>
  <c r="AA13" i="34"/>
  <c r="AZ536" i="3"/>
  <c r="S30" i="33"/>
  <c r="AA30" i="33"/>
  <c r="U33" i="40"/>
  <c r="AB33" i="40"/>
  <c r="AB45" i="21"/>
  <c r="U45" i="21"/>
  <c r="U13" i="21"/>
  <c r="AB13" i="21"/>
  <c r="AA23" i="35"/>
  <c r="S23" i="35"/>
  <c r="AB32" i="34"/>
  <c r="U32" i="34"/>
  <c r="S45" i="33"/>
  <c r="AA45" i="33"/>
  <c r="AC47" i="39"/>
  <c r="W47" i="39"/>
  <c r="S27" i="37"/>
  <c r="AA27" i="37"/>
  <c r="W38" i="37"/>
  <c r="AC38" i="37"/>
  <c r="AZ502" i="3"/>
  <c r="AZ571" i="3"/>
  <c r="J8" i="44"/>
  <c r="J20" i="44" s="1"/>
  <c r="AC27" i="34"/>
  <c r="W27" i="34"/>
  <c r="AZ517" i="3"/>
  <c r="U13" i="36"/>
  <c r="AB13" i="36"/>
  <c r="AA13" i="21"/>
  <c r="S13" i="21"/>
  <c r="AC34" i="35"/>
  <c r="W34" i="35"/>
  <c r="S47" i="39"/>
  <c r="AA47" i="39"/>
  <c r="AC27" i="37"/>
  <c r="W27" i="37"/>
  <c r="E15" i="6"/>
  <c r="E67" i="39" s="1"/>
  <c r="E13" i="6"/>
  <c r="E60" i="40" s="1"/>
  <c r="E102" i="46"/>
  <c r="C71" i="59"/>
  <c r="D71" i="59" s="1"/>
  <c r="D72" i="59"/>
  <c r="D21" i="59"/>
  <c r="T21" i="59"/>
  <c r="P55" i="59"/>
  <c r="P54" i="59"/>
  <c r="C16" i="59"/>
  <c r="D17" i="59"/>
  <c r="T17" i="59"/>
  <c r="D33" i="59"/>
  <c r="T33" i="59"/>
  <c r="U32" i="21"/>
  <c r="AB32" i="21"/>
  <c r="W26" i="35"/>
  <c r="AC26" i="35"/>
  <c r="AB45" i="34"/>
  <c r="U45" i="34"/>
  <c r="AC46" i="33"/>
  <c r="W46" i="33"/>
  <c r="AZ543" i="3"/>
  <c r="AA16" i="40"/>
  <c r="S16" i="40"/>
  <c r="AA25" i="35"/>
  <c r="S25" i="35"/>
  <c r="S31" i="34"/>
  <c r="AA31" i="34"/>
  <c r="AC13" i="34"/>
  <c r="W13" i="34"/>
  <c r="AC29" i="21"/>
  <c r="W29" i="21"/>
  <c r="AC33" i="36"/>
  <c r="W33" i="36"/>
  <c r="AZ482" i="3"/>
  <c r="W32" i="36"/>
  <c r="AC32" i="36"/>
  <c r="W13" i="36"/>
  <c r="AC13" i="36"/>
  <c r="S29" i="21"/>
  <c r="AA29" i="21"/>
  <c r="AC23" i="35"/>
  <c r="W23" i="35"/>
  <c r="S14" i="34"/>
  <c r="AA14" i="34"/>
  <c r="U45" i="33"/>
  <c r="AB45" i="33"/>
  <c r="H113" i="21"/>
  <c r="H37" i="21"/>
  <c r="J37" i="21"/>
  <c r="AB47" i="39"/>
  <c r="U47" i="39"/>
  <c r="U15" i="39"/>
  <c r="AB15" i="39"/>
  <c r="S38" i="37"/>
  <c r="AA38" i="37"/>
  <c r="C19" i="46"/>
  <c r="T13" i="46" s="1"/>
  <c r="V13" i="46" s="1"/>
  <c r="AB25" i="36"/>
  <c r="U25" i="36"/>
  <c r="W29" i="34"/>
  <c r="AC29" i="34"/>
  <c r="U11" i="35"/>
  <c r="AB11" i="35"/>
  <c r="U13" i="34"/>
  <c r="AB13" i="34"/>
  <c r="AC27" i="33"/>
  <c r="W27" i="33"/>
  <c r="AC35" i="40"/>
  <c r="W35" i="40"/>
  <c r="W33" i="40"/>
  <c r="AC33" i="40"/>
  <c r="AC32" i="34"/>
  <c r="W32" i="34"/>
  <c r="E72" i="39"/>
  <c r="F70" i="39"/>
  <c r="H7" i="36"/>
  <c r="F7" i="21"/>
  <c r="H7" i="35"/>
  <c r="C37" i="46"/>
  <c r="E37" i="46" s="1"/>
  <c r="AA15" i="21"/>
  <c r="W9" i="21"/>
  <c r="C75" i="59"/>
  <c r="D75" i="59" s="1"/>
  <c r="D76" i="59"/>
  <c r="C49" i="59"/>
  <c r="D48" i="59"/>
  <c r="D56" i="59"/>
  <c r="C55" i="59"/>
  <c r="O56" i="59"/>
  <c r="W45" i="34"/>
  <c r="AC45" i="34"/>
  <c r="U29" i="34"/>
  <c r="AB29" i="34"/>
  <c r="AZ493" i="3"/>
  <c r="AZ5" i="3" s="1"/>
  <c r="E3" i="6" s="1"/>
  <c r="AC11" i="35"/>
  <c r="W11" i="35"/>
  <c r="AB31" i="34"/>
  <c r="U31" i="34"/>
  <c r="AB27" i="34"/>
  <c r="U27" i="34"/>
  <c r="AB32" i="36"/>
  <c r="U32" i="36"/>
  <c r="AZ527" i="3"/>
  <c r="AZ534" i="3"/>
  <c r="AA33" i="36"/>
  <c r="S33" i="36"/>
  <c r="AZ520" i="3"/>
  <c r="S32" i="36"/>
  <c r="AA32" i="36"/>
  <c r="S13" i="36"/>
  <c r="AA13" i="36"/>
  <c r="U29" i="21"/>
  <c r="AB29" i="21"/>
  <c r="AA34" i="35"/>
  <c r="S34" i="35"/>
  <c r="AA32" i="34"/>
  <c r="S32" i="34"/>
  <c r="AB14" i="34"/>
  <c r="U14" i="34"/>
  <c r="W45" i="33"/>
  <c r="AC45" i="33"/>
  <c r="S37" i="21"/>
  <c r="AA37" i="21"/>
  <c r="AA15" i="39"/>
  <c r="S15" i="39"/>
  <c r="U27" i="37"/>
  <c r="AB27" i="37"/>
  <c r="AB38" i="37"/>
  <c r="U38" i="37"/>
  <c r="BA5" i="3"/>
  <c r="AZ572" i="3"/>
  <c r="C15" i="12"/>
  <c r="I109" i="46"/>
  <c r="W19" i="21"/>
  <c r="AC19" i="21"/>
  <c r="AB19" i="21"/>
  <c r="U19" i="21"/>
  <c r="AA19" i="21"/>
  <c r="S19" i="21"/>
  <c r="U17" i="21"/>
  <c r="AC11" i="21"/>
  <c r="S11" i="21"/>
  <c r="AA11" i="21"/>
  <c r="AB9" i="21"/>
  <c r="U9" i="21"/>
  <c r="C38" i="46"/>
  <c r="C39" i="46"/>
  <c r="S7" i="46"/>
  <c r="T7" i="46" s="1"/>
  <c r="V7" i="46" s="1"/>
  <c r="S2" i="46"/>
  <c r="T2" i="46" s="1"/>
  <c r="V2" i="46" s="1"/>
  <c r="S4" i="46"/>
  <c r="T4" i="46" s="1"/>
  <c r="V4" i="46" s="1"/>
  <c r="S5" i="46"/>
  <c r="T5" i="46" s="1"/>
  <c r="V5" i="46" s="1"/>
  <c r="S6" i="46"/>
  <c r="T6" i="46" s="1"/>
  <c r="V6" i="46" s="1"/>
  <c r="S3" i="46"/>
  <c r="T3" i="46" s="1"/>
  <c r="V3" i="46" s="1"/>
  <c r="E103" i="46"/>
  <c r="D117" i="46"/>
  <c r="E117" i="46" s="1"/>
  <c r="F117" i="46" s="1"/>
  <c r="G117" i="46" s="1"/>
  <c r="H117" i="46" s="1"/>
  <c r="I102" i="46"/>
  <c r="I107" i="46"/>
  <c r="I118" i="46"/>
  <c r="J118" i="46" s="1"/>
  <c r="K118" i="46" s="1"/>
  <c r="L118" i="46" s="1"/>
  <c r="M118" i="46" s="1"/>
  <c r="I116" i="46"/>
  <c r="J116" i="46" s="1"/>
  <c r="K116" i="46" s="1"/>
  <c r="L116" i="46" s="1"/>
  <c r="M116" i="46" s="1"/>
  <c r="I115" i="46"/>
  <c r="J115" i="46" s="1"/>
  <c r="K115" i="46" s="1"/>
  <c r="L115" i="46" s="1"/>
  <c r="M115" i="46" s="1"/>
  <c r="B116" i="46"/>
  <c r="C116" i="46" s="1"/>
  <c r="I117" i="46"/>
  <c r="J117" i="46" s="1"/>
  <c r="K117" i="46" s="1"/>
  <c r="L117" i="46" s="1"/>
  <c r="M117" i="46" s="1"/>
  <c r="D118" i="46"/>
  <c r="E118" i="46" s="1"/>
  <c r="F118" i="46" s="1"/>
  <c r="B115" i="46"/>
  <c r="B117" i="46"/>
  <c r="C117" i="46" s="1"/>
  <c r="E106" i="46"/>
  <c r="E104" i="46"/>
  <c r="E109" i="46"/>
  <c r="I106" i="46"/>
  <c r="I103" i="46"/>
  <c r="I105" i="46"/>
  <c r="E107" i="46"/>
  <c r="D116" i="46"/>
  <c r="E116" i="46" s="1"/>
  <c r="F116" i="46" s="1"/>
  <c r="G116" i="46" s="1"/>
  <c r="H116" i="46" s="1"/>
  <c r="D115" i="46"/>
  <c r="E115" i="46" s="1"/>
  <c r="F115" i="46" s="1"/>
  <c r="G115" i="46" s="1"/>
  <c r="H115" i="46" s="1"/>
  <c r="B118" i="46"/>
  <c r="C118" i="46" s="1"/>
  <c r="F106" i="46"/>
  <c r="F103" i="46"/>
  <c r="G106" i="46"/>
  <c r="G103" i="46"/>
  <c r="G105" i="46"/>
  <c r="G102" i="46"/>
  <c r="G109" i="46"/>
  <c r="L105" i="46"/>
  <c r="L103" i="46"/>
  <c r="L104" i="46"/>
  <c r="D12" i="11"/>
  <c r="C12" i="11" s="1"/>
  <c r="E66" i="39"/>
  <c r="E61" i="40"/>
  <c r="F24" i="43"/>
  <c r="C26" i="43" s="1"/>
  <c r="D24" i="43" s="1"/>
  <c r="F33" i="12"/>
  <c r="C34" i="12" s="1"/>
  <c r="D33" i="12" s="1"/>
  <c r="F18" i="11"/>
  <c r="C18" i="11" s="1"/>
  <c r="E58" i="39"/>
  <c r="E53" i="40"/>
  <c r="G5" i="3"/>
  <c r="B3" i="3" s="1"/>
  <c r="E13" i="3" s="1"/>
  <c r="F27" i="6"/>
  <c r="E63" i="39"/>
  <c r="E58" i="40"/>
  <c r="E62" i="40"/>
  <c r="E64" i="39"/>
  <c r="A25" i="51"/>
  <c r="B18" i="63" s="1"/>
  <c r="A3" i="55"/>
  <c r="B56" i="63" s="1"/>
  <c r="A17" i="51"/>
  <c r="B13" i="63" s="1"/>
  <c r="J12" i="40"/>
  <c r="F12" i="39"/>
  <c r="F12" i="40"/>
  <c r="H12" i="39"/>
  <c r="H12" i="40"/>
  <c r="J12" i="39"/>
  <c r="AA7" i="37"/>
  <c r="R42" i="37" s="1"/>
  <c r="S7" i="37"/>
  <c r="U7" i="33"/>
  <c r="AB7" i="33"/>
  <c r="T48" i="33" s="1"/>
  <c r="G48" i="33" s="1"/>
  <c r="L47" i="44"/>
  <c r="J7" i="33"/>
  <c r="F7" i="33"/>
  <c r="AB7" i="36"/>
  <c r="T36" i="36" s="1"/>
  <c r="G36" i="36" s="1"/>
  <c r="U7" i="36"/>
  <c r="E59" i="34"/>
  <c r="AC7" i="21"/>
  <c r="W7" i="21"/>
  <c r="W7" i="35"/>
  <c r="AC7" i="35"/>
  <c r="V38" i="35" s="1"/>
  <c r="I38" i="35" s="1"/>
  <c r="J7" i="37"/>
  <c r="H7" i="37"/>
  <c r="AC7" i="36"/>
  <c r="V36" i="36" s="1"/>
  <c r="I36" i="36" s="1"/>
  <c r="W7" i="36"/>
  <c r="AA7" i="36"/>
  <c r="R36" i="36" s="1"/>
  <c r="S7" i="36"/>
  <c r="S7" i="21"/>
  <c r="AA7" i="21"/>
  <c r="AB7" i="21"/>
  <c r="U7" i="21"/>
  <c r="AB7" i="35"/>
  <c r="T38" i="35" s="1"/>
  <c r="G38" i="35" s="1"/>
  <c r="U7" i="35"/>
  <c r="AA7" i="35"/>
  <c r="R38" i="35" s="1"/>
  <c r="S7" i="35"/>
  <c r="B40" i="1"/>
  <c r="F11" i="15"/>
  <c r="M13" i="44"/>
  <c r="J12" i="44" s="1"/>
  <c r="F13" i="44"/>
  <c r="C12" i="44" s="1"/>
  <c r="M11" i="15"/>
  <c r="J10" i="15" s="1"/>
  <c r="F1" i="44"/>
  <c r="Q54" i="44"/>
  <c r="Q62" i="44"/>
  <c r="Q75" i="44"/>
  <c r="Q61" i="15"/>
  <c r="Q74" i="15"/>
  <c r="F1" i="15"/>
  <c r="Q53" i="15"/>
  <c r="Q76" i="44"/>
  <c r="Q63" i="44"/>
  <c r="Q62" i="15"/>
  <c r="Q75" i="15"/>
  <c r="E3" i="65"/>
  <c r="AE7" i="1"/>
  <c r="C7" i="44" l="1"/>
  <c r="C40" i="44" s="1"/>
  <c r="G37" i="46"/>
  <c r="I37" i="46" s="1"/>
  <c r="J7" i="44"/>
  <c r="J26" i="44" s="1"/>
  <c r="G35" i="46"/>
  <c r="I35" i="46" s="1"/>
  <c r="O28" i="46"/>
  <c r="M28" i="46"/>
  <c r="P28" i="46"/>
  <c r="J5" i="15"/>
  <c r="J26" i="15" s="1"/>
  <c r="F17" i="11"/>
  <c r="C17" i="11" s="1"/>
  <c r="C19" i="11" s="1"/>
  <c r="C20" i="11" s="1"/>
  <c r="C21" i="11" s="1"/>
  <c r="C22" i="11" s="1"/>
  <c r="C23" i="11" s="1"/>
  <c r="B2" i="11" s="1"/>
  <c r="C21" i="4"/>
  <c r="O5" i="54" s="1"/>
  <c r="B45" i="63" s="1"/>
  <c r="D16" i="43"/>
  <c r="C16" i="43" s="1"/>
  <c r="D16" i="12"/>
  <c r="D19" i="12" s="1"/>
  <c r="C19" i="12" s="1"/>
  <c r="D10" i="11"/>
  <c r="L38" i="9"/>
  <c r="B14" i="66" s="1"/>
  <c r="B1" i="66" s="1"/>
  <c r="E6" i="6"/>
  <c r="D55" i="59"/>
  <c r="O55" i="59"/>
  <c r="O54" i="59"/>
  <c r="D41" i="59"/>
  <c r="T41" i="59"/>
  <c r="F8" i="59"/>
  <c r="F7" i="59" s="1"/>
  <c r="F6" i="59" s="1"/>
  <c r="F5" i="59" s="1"/>
  <c r="V9" i="59"/>
  <c r="C7" i="59"/>
  <c r="D8" i="59"/>
  <c r="E65" i="39"/>
  <c r="T12" i="46"/>
  <c r="V12" i="46" s="1"/>
  <c r="T8" i="46"/>
  <c r="V8" i="46" s="1"/>
  <c r="F72" i="39"/>
  <c r="G70" i="39"/>
  <c r="K14" i="1"/>
  <c r="E16" i="6"/>
  <c r="C36" i="46"/>
  <c r="C33" i="46"/>
  <c r="W37" i="21"/>
  <c r="AC37" i="21"/>
  <c r="V48" i="21" s="1"/>
  <c r="I48" i="21" s="1"/>
  <c r="I52" i="21" s="1"/>
  <c r="J52" i="21" s="1"/>
  <c r="C29" i="46"/>
  <c r="T15" i="46"/>
  <c r="V15" i="46" s="1"/>
  <c r="T14" i="46"/>
  <c r="V14" i="46" s="1"/>
  <c r="C34" i="46"/>
  <c r="T48" i="21"/>
  <c r="G48" i="21" s="1"/>
  <c r="R48" i="21"/>
  <c r="D49" i="59"/>
  <c r="T49" i="59"/>
  <c r="U37" i="21"/>
  <c r="AB37" i="21"/>
  <c r="C15" i="59"/>
  <c r="D15" i="59" s="1"/>
  <c r="D16" i="59"/>
  <c r="D24" i="59"/>
  <c r="C25" i="59"/>
  <c r="G67" i="40"/>
  <c r="H65" i="40"/>
  <c r="D29" i="59"/>
  <c r="T29" i="59"/>
  <c r="T11" i="46"/>
  <c r="V11" i="46" s="1"/>
  <c r="T16" i="46"/>
  <c r="V16" i="46" s="1"/>
  <c r="G39" i="46"/>
  <c r="I39" i="46" s="1"/>
  <c r="E39" i="46"/>
  <c r="G38" i="46"/>
  <c r="I38" i="46" s="1"/>
  <c r="E38" i="46"/>
  <c r="F31" i="6"/>
  <c r="E27" i="6"/>
  <c r="C115" i="46"/>
  <c r="D113" i="46" s="1"/>
  <c r="E23" i="3"/>
  <c r="E265" i="3"/>
  <c r="AM6" i="3"/>
  <c r="E337" i="3"/>
  <c r="E158" i="3"/>
  <c r="E376" i="3"/>
  <c r="E294" i="3"/>
  <c r="E21" i="3"/>
  <c r="E64" i="3"/>
  <c r="E140" i="3"/>
  <c r="E343" i="3"/>
  <c r="E142" i="3"/>
  <c r="E410" i="3"/>
  <c r="E468" i="3"/>
  <c r="E109" i="3"/>
  <c r="E185" i="3"/>
  <c r="E148" i="3"/>
  <c r="E27" i="3"/>
  <c r="E412" i="3"/>
  <c r="E469" i="3"/>
  <c r="E232" i="3"/>
  <c r="E533" i="3"/>
  <c r="E189" i="3"/>
  <c r="E37" i="3"/>
  <c r="E507" i="3"/>
  <c r="E303" i="3"/>
  <c r="E275" i="3"/>
  <c r="L6" i="3"/>
  <c r="E467" i="3"/>
  <c r="E429" i="3"/>
  <c r="E67" i="3"/>
  <c r="E116" i="3"/>
  <c r="E214" i="3"/>
  <c r="E372" i="3"/>
  <c r="E486" i="3"/>
  <c r="E465" i="3"/>
  <c r="E543" i="3"/>
  <c r="E154" i="3"/>
  <c r="E264" i="3"/>
  <c r="E243" i="3"/>
  <c r="E369"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443" i="3"/>
  <c r="E78" i="3"/>
  <c r="E296" i="3"/>
  <c r="E534" i="3"/>
  <c r="R6" i="3"/>
  <c r="AH6" i="3"/>
  <c r="E84" i="3"/>
  <c r="E431" i="3"/>
  <c r="E38" i="3"/>
  <c r="E313" i="3"/>
  <c r="E405"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194" i="3"/>
  <c r="E125" i="3"/>
  <c r="AP6" i="3"/>
  <c r="E151" i="3"/>
  <c r="W6" i="3"/>
  <c r="E420" i="3"/>
  <c r="E107" i="3"/>
  <c r="E393" i="3"/>
  <c r="E480" i="3"/>
  <c r="E309" i="3"/>
  <c r="E448" i="3"/>
  <c r="E74" i="3"/>
  <c r="E121" i="3"/>
  <c r="E224" i="3"/>
  <c r="E123" i="3"/>
  <c r="E66" i="3"/>
  <c r="E76" i="3"/>
  <c r="E24" i="3"/>
  <c r="E271" i="3"/>
  <c r="E508" i="3"/>
  <c r="E538" i="3"/>
  <c r="E558" i="3"/>
  <c r="E403" i="3"/>
  <c r="E173" i="3"/>
  <c r="E217" i="3"/>
  <c r="E436" i="3"/>
  <c r="E177" i="3"/>
  <c r="E260" i="3"/>
  <c r="E307" i="3"/>
  <c r="E432" i="3"/>
  <c r="E90" i="3"/>
  <c r="E153" i="3"/>
  <c r="E210" i="3"/>
  <c r="E339" i="3"/>
  <c r="E106" i="3"/>
  <c r="E14" i="3"/>
  <c r="E169" i="3"/>
  <c r="E118" i="3"/>
  <c r="E226" i="3"/>
  <c r="E378"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390" i="3"/>
  <c r="E387" i="3"/>
  <c r="P6" i="3"/>
  <c r="E70" i="3"/>
  <c r="E53" i="3"/>
  <c r="E190" i="3"/>
  <c r="E233" i="3"/>
  <c r="E39" i="3"/>
  <c r="E288" i="3"/>
  <c r="E88" i="3"/>
  <c r="E220" i="3"/>
  <c r="V6" i="3"/>
  <c r="E105" i="3"/>
  <c r="AG6" i="3"/>
  <c r="E505" i="3"/>
  <c r="E419" i="3"/>
  <c r="E302" i="3"/>
  <c r="E386" i="3"/>
  <c r="E287" i="3"/>
  <c r="E188" i="3"/>
  <c r="E306" i="3"/>
  <c r="E180" i="3"/>
  <c r="E493" i="3"/>
  <c r="E551" i="3"/>
  <c r="E108" i="3"/>
  <c r="E246" i="3"/>
  <c r="E81" i="3"/>
  <c r="E16" i="3"/>
  <c r="E277" i="3"/>
  <c r="E385" i="3"/>
  <c r="E524" i="3"/>
  <c r="E95" i="3"/>
  <c r="E19" i="3"/>
  <c r="E498" i="3"/>
  <c r="E212" i="3"/>
  <c r="E298" i="3"/>
  <c r="E35" i="3"/>
  <c r="E361" i="3"/>
  <c r="E182" i="3"/>
  <c r="E315" i="3"/>
  <c r="E267" i="3"/>
  <c r="E323"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35" i="3"/>
  <c r="E381" i="3"/>
  <c r="E427" i="3"/>
  <c r="E278" i="3"/>
  <c r="E94" i="3"/>
  <c r="E187" i="3"/>
  <c r="E225" i="3"/>
  <c r="E199" i="3"/>
  <c r="E423" i="3"/>
  <c r="E435" i="3"/>
  <c r="E490" i="3"/>
  <c r="E218" i="3"/>
  <c r="E442" i="3"/>
  <c r="E110" i="3"/>
  <c r="E63" i="3"/>
  <c r="E174" i="3"/>
  <c r="E129" i="3"/>
  <c r="E98" i="3"/>
  <c r="E422" i="3"/>
  <c r="E398" i="3"/>
  <c r="E247" i="3"/>
  <c r="E136" i="3"/>
  <c r="E568" i="3"/>
  <c r="E85" i="3"/>
  <c r="E539" i="3"/>
  <c r="E332" i="3"/>
  <c r="E245" i="3"/>
  <c r="E139" i="3"/>
  <c r="E52" i="3"/>
  <c r="E445" i="3"/>
  <c r="E451" i="3"/>
  <c r="E556" i="3"/>
  <c r="U6" i="3"/>
  <c r="E291" i="3"/>
  <c r="E305" i="3"/>
  <c r="E527" i="3"/>
  <c r="E73" i="3"/>
  <c r="E365" i="3"/>
  <c r="E126" i="3"/>
  <c r="E248" i="3"/>
  <c r="E211" i="3"/>
  <c r="E336" i="3"/>
  <c r="E297" i="3"/>
  <c r="AN6" i="3"/>
  <c r="E59" i="3"/>
  <c r="E464" i="3"/>
  <c r="E209" i="3"/>
  <c r="E450" i="3"/>
  <c r="E149" i="3"/>
  <c r="E249" i="3"/>
  <c r="E549" i="3"/>
  <c r="E460" i="3"/>
  <c r="I3" i="6"/>
  <c r="E463" i="3"/>
  <c r="E292" i="3"/>
  <c r="E426" i="3"/>
  <c r="E60" i="3"/>
  <c r="E75" i="3"/>
  <c r="E178" i="3"/>
  <c r="J6" i="3"/>
  <c r="E48" i="3"/>
  <c r="E438" i="3"/>
  <c r="E455" i="3"/>
  <c r="E156" i="3"/>
  <c r="E193" i="3"/>
  <c r="E472" i="3"/>
  <c r="E537" i="3"/>
  <c r="E452" i="3"/>
  <c r="E536" i="3"/>
  <c r="E462" i="3"/>
  <c r="E545" i="3"/>
  <c r="E482" i="3"/>
  <c r="N6" i="3"/>
  <c r="E363" i="3"/>
  <c r="E79" i="3"/>
  <c r="E401" i="3"/>
  <c r="E272" i="3"/>
  <c r="E102" i="3"/>
  <c r="E25" i="3"/>
  <c r="E258" i="3"/>
  <c r="E479" i="3"/>
  <c r="E43" i="3"/>
  <c r="E276" i="3"/>
  <c r="E370" i="3"/>
  <c r="E395" i="3"/>
  <c r="E280" i="3"/>
  <c r="E270" i="3"/>
  <c r="E157" i="3"/>
  <c r="E161" i="3"/>
  <c r="E492" i="3"/>
  <c r="E295" i="3"/>
  <c r="E89" i="3"/>
  <c r="E201" i="3"/>
  <c r="E170" i="3"/>
  <c r="E274" i="3"/>
  <c r="E32" i="3"/>
  <c r="E547" i="3"/>
  <c r="E447" i="3"/>
  <c r="E33" i="3"/>
  <c r="Q6" i="3"/>
  <c r="E119" i="3"/>
  <c r="E500" i="3"/>
  <c r="E97" i="3"/>
  <c r="AE6" i="3"/>
  <c r="E283" i="3"/>
  <c r="E49" i="3"/>
  <c r="E104" i="3"/>
  <c r="E253" i="3"/>
  <c r="E54" i="3"/>
  <c r="E213" i="3"/>
  <c r="E397" i="3"/>
  <c r="E47" i="3"/>
  <c r="E184" i="3"/>
  <c r="E473" i="3"/>
  <c r="E289" i="3"/>
  <c r="E113" i="3"/>
  <c r="E425" i="3"/>
  <c r="E257" i="3"/>
  <c r="E166" i="3"/>
  <c r="O6" i="3"/>
  <c r="E204" i="3"/>
  <c r="E207" i="3"/>
  <c r="E449" i="3"/>
  <c r="E196" i="3"/>
  <c r="E259" i="3"/>
  <c r="K16" i="1"/>
  <c r="M14" i="1"/>
  <c r="W12" i="39"/>
  <c r="AC12" i="39"/>
  <c r="AB12" i="39"/>
  <c r="U12" i="39"/>
  <c r="AA12" i="39"/>
  <c r="S12" i="39"/>
  <c r="U12" i="40"/>
  <c r="AB12" i="40"/>
  <c r="S12" i="40"/>
  <c r="AA12" i="40"/>
  <c r="AC12" i="40"/>
  <c r="W12" i="40"/>
  <c r="E48" i="21"/>
  <c r="AB7" i="37"/>
  <c r="T42" i="37" s="1"/>
  <c r="G42" i="37" s="1"/>
  <c r="U7" i="37"/>
  <c r="S7" i="33"/>
  <c r="AA7" i="33"/>
  <c r="R48" i="33" s="1"/>
  <c r="G52" i="33"/>
  <c r="H52" i="33" s="1"/>
  <c r="E38" i="35"/>
  <c r="R39" i="35"/>
  <c r="G42" i="35"/>
  <c r="H42" i="35" s="1"/>
  <c r="G43" i="35"/>
  <c r="H43" i="35" s="1"/>
  <c r="R37" i="36"/>
  <c r="E36" i="36"/>
  <c r="I40" i="36"/>
  <c r="J40" i="36" s="1"/>
  <c r="I41" i="36"/>
  <c r="J41" i="36" s="1"/>
  <c r="W7" i="37"/>
  <c r="AC7" i="37"/>
  <c r="V42" i="37" s="1"/>
  <c r="I42" i="37" s="1"/>
  <c r="I42" i="35"/>
  <c r="J42" i="35" s="1"/>
  <c r="I43" i="35"/>
  <c r="J43" i="35" s="1"/>
  <c r="F59" i="34"/>
  <c r="G41" i="36"/>
  <c r="H41" i="36" s="1"/>
  <c r="G40" i="36"/>
  <c r="H40" i="36" s="1"/>
  <c r="AC7" i="33"/>
  <c r="V48" i="33" s="1"/>
  <c r="I48" i="33" s="1"/>
  <c r="W7" i="33"/>
  <c r="E42" i="37"/>
  <c r="R43" i="37"/>
  <c r="J28" i="44"/>
  <c r="J31" i="44" s="1"/>
  <c r="C52" i="15"/>
  <c r="C47" i="15" s="1"/>
  <c r="C10" i="15"/>
  <c r="C5" i="15" s="1"/>
  <c r="F26" i="12"/>
  <c r="F24" i="15"/>
  <c r="C24" i="15" s="1"/>
  <c r="F21" i="43"/>
  <c r="F26" i="44"/>
  <c r="C26" i="44" s="1"/>
  <c r="F41" i="15"/>
  <c r="L52" i="44"/>
  <c r="C16" i="12" l="1"/>
  <c r="J24" i="15"/>
  <c r="F68" i="15"/>
  <c r="G53" i="21"/>
  <c r="H53" i="21" s="1"/>
  <c r="H67" i="40"/>
  <c r="I65" i="40"/>
  <c r="E34" i="46"/>
  <c r="G34" i="46"/>
  <c r="I34" i="46" s="1"/>
  <c r="I53" i="21"/>
  <c r="J53" i="21" s="1"/>
  <c r="C30" i="46"/>
  <c r="E30" i="46" s="1"/>
  <c r="E29" i="46"/>
  <c r="E36" i="46"/>
  <c r="G36" i="46"/>
  <c r="I36" i="46" s="1"/>
  <c r="G72" i="39"/>
  <c r="H70" i="39"/>
  <c r="G52" i="21"/>
  <c r="H52" i="21" s="1"/>
  <c r="J29" i="15"/>
  <c r="AC6" i="3"/>
  <c r="R49" i="21"/>
  <c r="C49" i="21" s="1"/>
  <c r="B3" i="21" s="1"/>
  <c r="D25" i="59"/>
  <c r="T25" i="59"/>
  <c r="E33" i="46"/>
  <c r="G33" i="46"/>
  <c r="I33" i="46" s="1"/>
  <c r="C6" i="59"/>
  <c r="D7" i="59"/>
  <c r="D13" i="11"/>
  <c r="C13" i="11" s="1"/>
  <c r="D22" i="12"/>
  <c r="C22" i="12" s="1"/>
  <c r="C20" i="12" s="1"/>
  <c r="K26" i="6"/>
  <c r="M26" i="6" s="1"/>
  <c r="I26" i="6" s="1"/>
  <c r="S26" i="6" s="1"/>
  <c r="K22" i="6"/>
  <c r="M22" i="6" s="1"/>
  <c r="I22" i="6" s="1"/>
  <c r="S22" i="6" s="1"/>
  <c r="K23" i="6"/>
  <c r="M23" i="6" s="1"/>
  <c r="I23" i="6" s="1"/>
  <c r="S23" i="6" s="1"/>
  <c r="K21" i="6"/>
  <c r="K19" i="6"/>
  <c r="K24" i="6"/>
  <c r="M24" i="6" s="1"/>
  <c r="I24" i="6" s="1"/>
  <c r="S24" i="6" s="1"/>
  <c r="K25" i="6"/>
  <c r="M25" i="6" s="1"/>
  <c r="I25" i="6" s="1"/>
  <c r="S25" i="6" s="1"/>
  <c r="K20" i="6"/>
  <c r="E31" i="6"/>
  <c r="H6" i="3"/>
  <c r="E6" i="3" s="1"/>
  <c r="AY203" i="3"/>
  <c r="AY277" i="3"/>
  <c r="AY286" i="3"/>
  <c r="AY72" i="3"/>
  <c r="AY122" i="3"/>
  <c r="BC6" i="3"/>
  <c r="AY91" i="3"/>
  <c r="AY274" i="3"/>
  <c r="AY114" i="3"/>
  <c r="AY558" i="3"/>
  <c r="AY156" i="3"/>
  <c r="AY27" i="3"/>
  <c r="AY160" i="3"/>
  <c r="AY96" i="3"/>
  <c r="AY206" i="3"/>
  <c r="AY225" i="3"/>
  <c r="AY360" i="3"/>
  <c r="AY565" i="3"/>
  <c r="AY553" i="3"/>
  <c r="AY90" i="3"/>
  <c r="AY344" i="3"/>
  <c r="AY71" i="3"/>
  <c r="AY190" i="3"/>
  <c r="AY440" i="3"/>
  <c r="AY235" i="3"/>
  <c r="AY195" i="3"/>
  <c r="AY401" i="3"/>
  <c r="AY495" i="3"/>
  <c r="AY267" i="3"/>
  <c r="AY363" i="3"/>
  <c r="AY189" i="3"/>
  <c r="AY545" i="3"/>
  <c r="AY393" i="3"/>
  <c r="AY339" i="3"/>
  <c r="BO6" i="3"/>
  <c r="AY433" i="3"/>
  <c r="AY490" i="3"/>
  <c r="AY547" i="3"/>
  <c r="AY210" i="3"/>
  <c r="D3" i="6"/>
  <c r="C40" i="39" s="1"/>
  <c r="AY83" i="3"/>
  <c r="AY425" i="3"/>
  <c r="AY169" i="3"/>
  <c r="AY457" i="3"/>
  <c r="AY13" i="3"/>
  <c r="AY38" i="3"/>
  <c r="AY378" i="3"/>
  <c r="AY248" i="3"/>
  <c r="AY249" i="3"/>
  <c r="AY137" i="3"/>
  <c r="AY480" i="3"/>
  <c r="AY223" i="3"/>
  <c r="AY240" i="3"/>
  <c r="AY475" i="3"/>
  <c r="AY281" i="3"/>
  <c r="AY395" i="3"/>
  <c r="AY387" i="3"/>
  <c r="AY410" i="3"/>
  <c r="AY56" i="3"/>
  <c r="AY512"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30" i="3"/>
  <c r="AY543" i="3"/>
  <c r="AY556" i="3"/>
  <c r="AY424" i="3"/>
  <c r="BD6" i="3"/>
  <c r="AY329" i="3"/>
  <c r="BQ6" i="3"/>
  <c r="BP6" i="3"/>
  <c r="AY358" i="3"/>
  <c r="AY108" i="3"/>
  <c r="AY60" i="3"/>
  <c r="AY40" i="3"/>
  <c r="AY322" i="3"/>
  <c r="AY478" i="3"/>
  <c r="AY418" i="3"/>
  <c r="AY434" i="3"/>
  <c r="AY289" i="3"/>
  <c r="AY93"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95" i="3"/>
  <c r="AY384" i="3"/>
  <c r="AY398" i="3"/>
  <c r="AY241" i="3"/>
  <c r="AY307" i="3"/>
  <c r="AY201" i="3"/>
  <c r="AY449" i="3"/>
  <c r="AY275" i="3"/>
  <c r="AY304" i="3"/>
  <c r="AY120" i="3"/>
  <c r="AY14" i="3"/>
  <c r="BN6" i="3"/>
  <c r="AY145" i="3"/>
  <c r="AY233" i="3"/>
  <c r="AY520" i="3"/>
  <c r="AY184" i="3"/>
  <c r="AY531" i="3"/>
  <c r="AY244" i="3"/>
  <c r="AY199" i="3"/>
  <c r="AY351" i="3"/>
  <c r="AY63" i="3"/>
  <c r="AY497" i="3"/>
  <c r="AY285" i="3"/>
  <c r="AY404" i="3"/>
  <c r="AY327" i="3"/>
  <c r="AY567" i="3"/>
  <c r="AY538" i="3"/>
  <c r="AY534" i="3"/>
  <c r="AY557"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80" i="3"/>
  <c r="AY58" i="3"/>
  <c r="AY179" i="3"/>
  <c r="AY100" i="3"/>
  <c r="AY126" i="3"/>
  <c r="AY118" i="3"/>
  <c r="AY209" i="3"/>
  <c r="AY416" i="3"/>
  <c r="AY55" i="3"/>
  <c r="AY250" i="3"/>
  <c r="AY560" i="3"/>
  <c r="AY45" i="3"/>
  <c r="AY348" i="3"/>
  <c r="AY412" i="3"/>
  <c r="AY191" i="3"/>
  <c r="AY227" i="3"/>
  <c r="AY193" i="3"/>
  <c r="AY472" i="3"/>
  <c r="AY453" i="3"/>
  <c r="AY485" i="3"/>
  <c r="AY174" i="3"/>
  <c r="AY563" i="3"/>
  <c r="AY357" i="3"/>
  <c r="AY84" i="3"/>
  <c r="AY436" i="3"/>
  <c r="AY192" i="3"/>
  <c r="AY69" i="3"/>
  <c r="AY26" i="3"/>
  <c r="AY529" i="3"/>
  <c r="AY53" i="3"/>
  <c r="AY98" i="3"/>
  <c r="AY217" i="3"/>
  <c r="AY383" i="3"/>
  <c r="AY427" i="3"/>
  <c r="AY170" i="3"/>
  <c r="AY214" i="3"/>
  <c r="AY476" i="3"/>
  <c r="AY116" i="3"/>
  <c r="AY366" i="3"/>
  <c r="AY548" i="3"/>
  <c r="AY256" i="3"/>
  <c r="AY81" i="3"/>
  <c r="AY342" i="3"/>
  <c r="AY67" i="3"/>
  <c r="AY105" i="3"/>
  <c r="AY31" i="3"/>
  <c r="AY317" i="3"/>
  <c r="AY181"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1" i="3"/>
  <c r="AY504" i="3"/>
  <c r="AY175" i="3"/>
  <c r="AY467" i="3"/>
  <c r="AY139" i="3"/>
  <c r="AY70" i="3"/>
  <c r="BK6" i="3"/>
  <c r="AY43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37" i="3"/>
  <c r="AY202" i="3"/>
  <c r="AY542" i="3"/>
  <c r="AY330" i="3"/>
  <c r="AY414" i="3"/>
  <c r="AY266" i="3"/>
  <c r="BL6" i="3"/>
  <c r="AY131" i="3"/>
  <c r="AY151" i="3"/>
  <c r="AY399" i="3"/>
  <c r="AY328" i="3"/>
  <c r="AY68" i="3"/>
  <c r="AY133" i="3"/>
  <c r="AY276" i="3"/>
  <c r="AY113" i="3"/>
  <c r="AY549" i="3"/>
  <c r="AY88" i="3"/>
  <c r="AY129" i="3"/>
  <c r="AY104" i="3"/>
  <c r="AY74" i="3"/>
  <c r="AY106" i="3"/>
  <c r="AY291" i="3"/>
  <c r="AY361" i="3"/>
  <c r="AY422" i="3"/>
  <c r="AY146" i="3"/>
  <c r="AY324" i="3"/>
  <c r="AY39" i="3"/>
  <c r="AY258" i="3"/>
  <c r="AY315" i="3"/>
  <c r="AY168" i="3"/>
  <c r="AY464" i="3"/>
  <c r="AY295" i="3"/>
  <c r="AY486" i="3"/>
  <c r="AY159" i="3"/>
  <c r="AY47" i="3"/>
  <c r="AY234" i="3"/>
  <c r="AY402" i="3"/>
  <c r="AY343"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82" i="3"/>
  <c r="AY128" i="3"/>
  <c r="AY182" i="3"/>
  <c r="AY264" i="3"/>
  <c r="AY479" i="3"/>
  <c r="AY364" i="3"/>
  <c r="AY238" i="3"/>
  <c r="AY115" i="3"/>
  <c r="AY230"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M16" i="1"/>
  <c r="O14" i="1"/>
  <c r="O16" i="1" s="1"/>
  <c r="K31" i="9"/>
  <c r="K32" i="9" s="1"/>
  <c r="C42" i="37"/>
  <c r="C43" i="37"/>
  <c r="B3" i="37" s="1"/>
  <c r="B2" i="37" s="1"/>
  <c r="I47" i="37"/>
  <c r="J47" i="37" s="1"/>
  <c r="I46" i="37"/>
  <c r="J46" i="37" s="1"/>
  <c r="E40" i="36"/>
  <c r="F40" i="36" s="1"/>
  <c r="E41" i="36"/>
  <c r="F41" i="36" s="1"/>
  <c r="C39" i="35"/>
  <c r="B3" i="35" s="1"/>
  <c r="B2" i="35" s="1"/>
  <c r="C38" i="35"/>
  <c r="R49" i="33"/>
  <c r="E48" i="33"/>
  <c r="I53" i="33" s="1"/>
  <c r="J53" i="33" s="1"/>
  <c r="E46" i="37"/>
  <c r="F46" i="37" s="1"/>
  <c r="E47" i="37"/>
  <c r="F47" i="37" s="1"/>
  <c r="I52" i="33"/>
  <c r="J52" i="33" s="1"/>
  <c r="G59" i="34"/>
  <c r="C36" i="36"/>
  <c r="C37" i="36"/>
  <c r="B3" i="36" s="1"/>
  <c r="B2" i="36" s="1"/>
  <c r="E43" i="35"/>
  <c r="F43" i="35" s="1"/>
  <c r="E42" i="35"/>
  <c r="F42" i="35" s="1"/>
  <c r="G53" i="33"/>
  <c r="H53" i="33" s="1"/>
  <c r="G47" i="37"/>
  <c r="H47" i="37" s="1"/>
  <c r="G46" i="37"/>
  <c r="H46" i="37" s="1"/>
  <c r="E53" i="21"/>
  <c r="F53" i="21" s="1"/>
  <c r="E52" i="21"/>
  <c r="F52" i="21" s="1"/>
  <c r="Q69" i="44"/>
  <c r="L58" i="44"/>
  <c r="L61" i="44" s="1"/>
  <c r="B3" i="11"/>
  <c r="C38" i="15"/>
  <c r="C59" i="15"/>
  <c r="C65" i="15"/>
  <c r="C23" i="43"/>
  <c r="D21" i="43" s="1"/>
  <c r="C27" i="12"/>
  <c r="D26" i="12" s="1"/>
  <c r="C32" i="12" s="1"/>
  <c r="D30" i="12" s="1"/>
  <c r="Q49" i="44"/>
  <c r="Q55" i="44" s="1"/>
  <c r="Q67" i="44"/>
  <c r="Q58" i="44"/>
  <c r="F7" i="67"/>
  <c r="C48" i="21" l="1"/>
  <c r="C27" i="46"/>
  <c r="E4" i="67"/>
  <c r="H72" i="39"/>
  <c r="I70" i="39"/>
  <c r="C26" i="46"/>
  <c r="F40" i="39"/>
  <c r="H40" i="39"/>
  <c r="J40" i="39"/>
  <c r="B2" i="21"/>
  <c r="D10" i="12" s="1"/>
  <c r="D8" i="12"/>
  <c r="E8" i="12" s="1"/>
  <c r="C5" i="59"/>
  <c r="D6" i="59"/>
  <c r="B4" i="11"/>
  <c r="M21" i="6"/>
  <c r="I21" i="6" s="1"/>
  <c r="S21" i="6" s="1"/>
  <c r="S8" i="1"/>
  <c r="I67" i="40"/>
  <c r="J65" i="40"/>
  <c r="B5" i="11"/>
  <c r="M20" i="6"/>
  <c r="I20" i="6" s="1"/>
  <c r="S20" i="6" s="1"/>
  <c r="S7" i="1"/>
  <c r="S6" i="1"/>
  <c r="K27" i="6"/>
  <c r="M19" i="6"/>
  <c r="E63" i="40"/>
  <c r="C22" i="4"/>
  <c r="D13" i="6"/>
  <c r="E68" i="39"/>
  <c r="D22" i="6"/>
  <c r="D21" i="6"/>
  <c r="D14" i="6"/>
  <c r="D24" i="6"/>
  <c r="D5" i="6"/>
  <c r="D29" i="6"/>
  <c r="D26" i="6"/>
  <c r="D20" i="6"/>
  <c r="D25" i="6"/>
  <c r="D10" i="6"/>
  <c r="D9" i="6"/>
  <c r="D23" i="6"/>
  <c r="K38" i="9"/>
  <c r="C14" i="66" s="1"/>
  <c r="B2" i="66" s="1"/>
  <c r="D19" i="6"/>
  <c r="D8" i="6"/>
  <c r="D15" i="6"/>
  <c r="D11" i="6"/>
  <c r="D6" i="6"/>
  <c r="D12" i="6"/>
  <c r="D28" i="6"/>
  <c r="H25" i="6"/>
  <c r="H21" i="6"/>
  <c r="H23" i="6"/>
  <c r="R23" i="6" s="1"/>
  <c r="H24" i="6"/>
  <c r="R24" i="6" s="1"/>
  <c r="H22" i="6"/>
  <c r="H26" i="6"/>
  <c r="P14" i="1"/>
  <c r="P16" i="1" s="1"/>
  <c r="C13" i="12" s="1"/>
  <c r="L16" i="1"/>
  <c r="N16" i="1"/>
  <c r="C29" i="43" s="1"/>
  <c r="C13" i="43"/>
  <c r="E52" i="33"/>
  <c r="F52" i="33" s="1"/>
  <c r="E53" i="33"/>
  <c r="F53" i="33" s="1"/>
  <c r="H59" i="34"/>
  <c r="I59" i="34" s="1"/>
  <c r="J59" i="34" s="1"/>
  <c r="K59" i="34" s="1"/>
  <c r="L59" i="34" s="1"/>
  <c r="M59" i="34" s="1"/>
  <c r="N59" i="34" s="1"/>
  <c r="O59" i="34" s="1"/>
  <c r="J7" i="34"/>
  <c r="H7" i="34"/>
  <c r="C48" i="33"/>
  <c r="C49" i="33"/>
  <c r="B3" i="33" s="1"/>
  <c r="B2" i="33" s="1"/>
  <c r="Q59" i="44"/>
  <c r="Q64" i="44" s="1"/>
  <c r="Q68" i="44"/>
  <c r="Q77" i="44" s="1"/>
  <c r="E7" i="67"/>
  <c r="C17" i="15"/>
  <c r="E10" i="12" l="1"/>
  <c r="E3" i="67"/>
  <c r="AC40" i="39"/>
  <c r="W40" i="39"/>
  <c r="J70" i="39"/>
  <c r="I72" i="39"/>
  <c r="D30" i="6"/>
  <c r="K65" i="40"/>
  <c r="J67" i="40"/>
  <c r="D5" i="59"/>
  <c r="M20" i="46"/>
  <c r="AB40" i="39"/>
  <c r="U40" i="39"/>
  <c r="AA40" i="39"/>
  <c r="S40" i="39"/>
  <c r="B2" i="46"/>
  <c r="R21" i="6"/>
  <c r="R8" i="1" s="1"/>
  <c r="D16" i="6"/>
  <c r="R22" i="6"/>
  <c r="D27" i="6"/>
  <c r="D31" i="6" s="1"/>
  <c r="I5" i="6" s="1"/>
  <c r="H20" i="6"/>
  <c r="R20" i="6" s="1"/>
  <c r="R7" i="1" s="1"/>
  <c r="I19" i="6"/>
  <c r="M27" i="6"/>
  <c r="S16" i="1"/>
  <c r="T6" i="1" s="1"/>
  <c r="R26" i="6"/>
  <c r="R25" i="6"/>
  <c r="A6" i="51"/>
  <c r="B7" i="63" s="1"/>
  <c r="A6" i="64"/>
  <c r="A20" i="64"/>
  <c r="N5" i="54"/>
  <c r="B43" i="63" s="1"/>
  <c r="A20" i="51"/>
  <c r="B15" i="63" s="1"/>
  <c r="C17" i="12"/>
  <c r="C14" i="12"/>
  <c r="C17" i="43"/>
  <c r="C14" i="43"/>
  <c r="U7" i="34"/>
  <c r="AB7" i="34"/>
  <c r="T49" i="34" s="1"/>
  <c r="G49" i="34" s="1"/>
  <c r="AC7" i="34"/>
  <c r="V49" i="34" s="1"/>
  <c r="I49" i="34" s="1"/>
  <c r="W7" i="34"/>
  <c r="F7" i="34"/>
  <c r="B7" i="67"/>
  <c r="M21" i="15"/>
  <c r="F35" i="15"/>
  <c r="C34" i="15" l="1"/>
  <c r="F62" i="15"/>
  <c r="C61" i="15" s="1"/>
  <c r="J20" i="15"/>
  <c r="B2" i="67"/>
  <c r="D4" i="46"/>
  <c r="B4" i="46"/>
  <c r="B3" i="46"/>
  <c r="J72" i="39"/>
  <c r="K70" i="39"/>
  <c r="L65" i="40"/>
  <c r="K67" i="40"/>
  <c r="I6" i="6"/>
  <c r="T11" i="1"/>
  <c r="T8" i="1"/>
  <c r="T9" i="1"/>
  <c r="T10" i="1"/>
  <c r="T13" i="1"/>
  <c r="T12" i="1"/>
  <c r="T7" i="1"/>
  <c r="I27" i="6"/>
  <c r="H19" i="6"/>
  <c r="S19" i="6"/>
  <c r="S27" i="6" s="1"/>
  <c r="C18" i="43"/>
  <c r="C19" i="43" s="1"/>
  <c r="C18" i="12"/>
  <c r="C23" i="12" s="1"/>
  <c r="G54" i="34"/>
  <c r="H54" i="34" s="1"/>
  <c r="G53" i="34"/>
  <c r="H53" i="34" s="1"/>
  <c r="AA7" i="34"/>
  <c r="R49" i="34" s="1"/>
  <c r="S7" i="34"/>
  <c r="I53" i="34"/>
  <c r="J53" i="34" s="1"/>
  <c r="C14" i="15"/>
  <c r="C16" i="44"/>
  <c r="B3" i="67" l="1"/>
  <c r="B4" i="67"/>
  <c r="M65" i="40"/>
  <c r="L67" i="40"/>
  <c r="K72" i="39"/>
  <c r="L70" i="39"/>
  <c r="C18" i="15"/>
  <c r="C15" i="15"/>
  <c r="C17" i="44"/>
  <c r="C20" i="44"/>
  <c r="H27" i="6"/>
  <c r="R19" i="6"/>
  <c r="T16" i="1"/>
  <c r="C25" i="43"/>
  <c r="C24" i="43" s="1"/>
  <c r="C22" i="43"/>
  <c r="C21" i="43" s="1"/>
  <c r="R50" i="34"/>
  <c r="E49" i="34"/>
  <c r="M70" i="39" l="1"/>
  <c r="L72" i="39"/>
  <c r="M67" i="40"/>
  <c r="N65" i="40"/>
  <c r="N67" i="40" s="1"/>
  <c r="J9" i="40" s="1"/>
  <c r="C21" i="44"/>
  <c r="C22" i="44" s="1"/>
  <c r="C28" i="44" s="1"/>
  <c r="C19" i="15"/>
  <c r="C20" i="15" s="1"/>
  <c r="C26" i="15" s="1"/>
  <c r="R6" i="1"/>
  <c r="R16" i="1" s="1"/>
  <c r="R27" i="6"/>
  <c r="C28" i="43"/>
  <c r="C30" i="43" s="1"/>
  <c r="C32" i="43" s="1"/>
  <c r="B2" i="43" s="1"/>
  <c r="B4" i="43" s="1"/>
  <c r="K33" i="9"/>
  <c r="K34" i="9" s="1"/>
  <c r="E54" i="34"/>
  <c r="F54" i="34" s="1"/>
  <c r="E53" i="34"/>
  <c r="F53" i="34" s="1"/>
  <c r="I54" i="34"/>
  <c r="J54" i="34" s="1"/>
  <c r="C49" i="34"/>
  <c r="C50" i="34"/>
  <c r="B3" i="34" s="1"/>
  <c r="B2" i="34" s="1"/>
  <c r="F9" i="40" l="1"/>
  <c r="H9" i="40"/>
  <c r="AC9" i="40"/>
  <c r="V44" i="40" s="1"/>
  <c r="I44" i="40" s="1"/>
  <c r="W9" i="40"/>
  <c r="N70" i="39"/>
  <c r="N72" i="39" s="1"/>
  <c r="M72" i="39"/>
  <c r="C23" i="15"/>
  <c r="C29" i="15" s="1"/>
  <c r="J19" i="15" s="1"/>
  <c r="J17" i="15" s="1"/>
  <c r="C25" i="44"/>
  <c r="C31" i="44" s="1"/>
  <c r="B3" i="43"/>
  <c r="B5" i="43"/>
  <c r="I48" i="40" l="1"/>
  <c r="J48" i="40" s="1"/>
  <c r="F9" i="39"/>
  <c r="J9" i="39"/>
  <c r="H9" i="39"/>
  <c r="U9" i="40"/>
  <c r="AB9" i="40"/>
  <c r="T44" i="40" s="1"/>
  <c r="G44" i="40" s="1"/>
  <c r="S9" i="40"/>
  <c r="AA9" i="40"/>
  <c r="R44" i="40" s="1"/>
  <c r="C33" i="15"/>
  <c r="C31" i="15" s="1"/>
  <c r="J59" i="15"/>
  <c r="J60" i="15" s="1"/>
  <c r="J14" i="15"/>
  <c r="J22" i="15" s="1"/>
  <c r="C13" i="15"/>
  <c r="C37" i="15" s="1"/>
  <c r="Q50" i="15"/>
  <c r="C56" i="15"/>
  <c r="C63" i="15" s="1"/>
  <c r="C36" i="15"/>
  <c r="C35" i="44"/>
  <c r="C33" i="44" s="1"/>
  <c r="Q51" i="44"/>
  <c r="J16" i="44"/>
  <c r="C15" i="44"/>
  <c r="C38" i="44"/>
  <c r="J21" i="44"/>
  <c r="J19" i="44" s="1"/>
  <c r="C60" i="15"/>
  <c r="C58" i="15" s="1"/>
  <c r="AC9" i="39" l="1"/>
  <c r="V49" i="39" s="1"/>
  <c r="I49" i="39" s="1"/>
  <c r="W9" i="39"/>
  <c r="AA9" i="39"/>
  <c r="R49" i="39" s="1"/>
  <c r="S9" i="39"/>
  <c r="G48" i="40"/>
  <c r="H48" i="40" s="1"/>
  <c r="G49" i="40"/>
  <c r="H49" i="40" s="1"/>
  <c r="E44" i="40"/>
  <c r="R45" i="40"/>
  <c r="U9" i="39"/>
  <c r="AB9" i="39"/>
  <c r="T49" i="39" s="1"/>
  <c r="G49" i="39" s="1"/>
  <c r="Q49" i="15"/>
  <c r="C55" i="15"/>
  <c r="C64" i="15" s="1"/>
  <c r="C57" i="15" s="1"/>
  <c r="C66" i="15" s="1"/>
  <c r="C67" i="15" s="1"/>
  <c r="C70" i="15" s="1"/>
  <c r="J35" i="15"/>
  <c r="J13" i="15"/>
  <c r="J23" i="15" s="1"/>
  <c r="J16" i="15" s="1"/>
  <c r="J25" i="15" s="1"/>
  <c r="Q71" i="15"/>
  <c r="C30" i="15"/>
  <c r="C39" i="15" s="1"/>
  <c r="C40" i="15" s="1"/>
  <c r="C39" i="44"/>
  <c r="C32" i="44" s="1"/>
  <c r="C42" i="44" s="1"/>
  <c r="C43" i="44"/>
  <c r="Q72" i="44"/>
  <c r="J24" i="44"/>
  <c r="J15" i="44"/>
  <c r="J25" i="44" s="1"/>
  <c r="L51" i="15"/>
  <c r="C45" i="40" l="1"/>
  <c r="C44" i="40"/>
  <c r="E49" i="39"/>
  <c r="R50" i="39"/>
  <c r="G53" i="39"/>
  <c r="H53" i="39" s="1"/>
  <c r="G54" i="39"/>
  <c r="H54" i="39" s="1"/>
  <c r="E48" i="40"/>
  <c r="F48" i="40" s="1"/>
  <c r="E49" i="40"/>
  <c r="F49" i="40" s="1"/>
  <c r="I49" i="40"/>
  <c r="J49" i="40" s="1"/>
  <c r="I53" i="39"/>
  <c r="J53" i="39" s="1"/>
  <c r="C46" i="15"/>
  <c r="Q68" i="15"/>
  <c r="L57" i="15"/>
  <c r="L60" i="15" s="1"/>
  <c r="Q70" i="15"/>
  <c r="Q69" i="15" s="1"/>
  <c r="J39" i="15"/>
  <c r="J40" i="15" s="1"/>
  <c r="J18" i="44"/>
  <c r="J27" i="44" s="1"/>
  <c r="Q57" i="15"/>
  <c r="Q66" i="15"/>
  <c r="C43" i="15"/>
  <c r="J42" i="15"/>
  <c r="J43" i="15" s="1"/>
  <c r="Q48" i="15"/>
  <c r="Q54" i="15" s="1"/>
  <c r="Q71" i="44"/>
  <c r="Q70" i="44" s="1"/>
  <c r="C44" i="44"/>
  <c r="C45" i="44" s="1"/>
  <c r="B2" i="44" s="1"/>
  <c r="C49" i="39" l="1"/>
  <c r="C50" i="39"/>
  <c r="E53" i="39"/>
  <c r="F53" i="39" s="1"/>
  <c r="E54" i="39"/>
  <c r="F54" i="39" s="1"/>
  <c r="I54" i="39"/>
  <c r="J54" i="39" s="1"/>
  <c r="B58" i="40"/>
  <c r="F58" i="40" s="1"/>
  <c r="B56" i="40"/>
  <c r="F56" i="40" s="1"/>
  <c r="B53" i="40"/>
  <c r="F53" i="40" s="1"/>
  <c r="B54" i="40"/>
  <c r="F54" i="40" s="1"/>
  <c r="B61" i="40"/>
  <c r="F61" i="40" s="1"/>
  <c r="F63" i="40"/>
  <c r="B2" i="40" s="1"/>
  <c r="B55" i="40"/>
  <c r="F55" i="40" s="1"/>
  <c r="B59" i="40"/>
  <c r="F59" i="40" s="1"/>
  <c r="B60" i="40"/>
  <c r="F60" i="40" s="1"/>
  <c r="B57" i="40"/>
  <c r="F57" i="40" s="1"/>
  <c r="B62" i="40"/>
  <c r="F62" i="40" s="1"/>
  <c r="Q67" i="15"/>
  <c r="Q76" i="15" s="1"/>
  <c r="L46" i="15"/>
  <c r="B2" i="15" s="1"/>
  <c r="Q58" i="15"/>
  <c r="Q63" i="15" s="1"/>
  <c r="B4" i="44"/>
  <c r="B5" i="44"/>
  <c r="B3" i="44"/>
  <c r="B62" i="39" l="1"/>
  <c r="F62" i="39" s="1"/>
  <c r="B61" i="39"/>
  <c r="F61" i="39" s="1"/>
  <c r="B66" i="39"/>
  <c r="F66" i="39" s="1"/>
  <c r="B67" i="39"/>
  <c r="F67" i="39" s="1"/>
  <c r="B63" i="39"/>
  <c r="F63" i="39" s="1"/>
  <c r="B65" i="39"/>
  <c r="F65" i="39" s="1"/>
  <c r="B58" i="39"/>
  <c r="F58" i="39" s="1"/>
  <c r="B59" i="39"/>
  <c r="F59" i="39" s="1"/>
  <c r="B64" i="39"/>
  <c r="F64" i="39" s="1"/>
  <c r="B60" i="39"/>
  <c r="F60" i="39" s="1"/>
  <c r="B5" i="40"/>
  <c r="B4" i="40"/>
  <c r="B3" i="40"/>
  <c r="B3" i="15"/>
  <c r="C8" i="12" s="1"/>
  <c r="C10" i="12"/>
  <c r="C6" i="12" s="1"/>
  <c r="F68" i="39" l="1"/>
  <c r="B2" i="39" s="1"/>
  <c r="B3" i="39" s="1"/>
  <c r="C24" i="12"/>
  <c r="C29" i="12"/>
  <c r="C19" i="9"/>
  <c r="C20" i="9"/>
  <c r="L43" i="9" l="1"/>
  <c r="B5" i="39"/>
  <c r="B4" i="39"/>
  <c r="C35" i="12"/>
  <c r="C33" i="12" s="1"/>
  <c r="C28" i="12"/>
  <c r="C26" i="12" s="1"/>
  <c r="C31" i="12" s="1"/>
  <c r="C30" i="12" s="1"/>
  <c r="C21" i="9"/>
  <c r="C36" i="12" l="1"/>
  <c r="B2" i="12" s="1"/>
  <c r="D19" i="9"/>
  <c r="L44" i="9" l="1"/>
  <c r="G19" i="9"/>
  <c r="D22" i="9"/>
  <c r="B3" i="12"/>
  <c r="B5" i="12"/>
  <c r="B4" i="12"/>
  <c r="D20" i="9"/>
  <c r="D21" i="9"/>
  <c r="G21" i="9" l="1"/>
  <c r="G20" i="9"/>
  <c r="N43" i="9"/>
  <c r="C32" i="9"/>
  <c r="G22" i="9"/>
  <c r="C45" i="9" l="1"/>
  <c r="C33" i="9"/>
  <c r="O38" i="9"/>
  <c r="O43" i="9"/>
  <c r="C42" i="9"/>
  <c r="C34" i="9"/>
  <c r="C35" i="9"/>
  <c r="F42" i="9" s="1"/>
  <c r="H14" i="66" l="1"/>
  <c r="B7" i="66" s="1"/>
  <c r="O40" i="9"/>
  <c r="R7" i="54" s="1"/>
  <c r="B52" i="63" s="1"/>
  <c r="D45" i="9"/>
  <c r="E45" i="9"/>
  <c r="F45" i="9"/>
  <c r="M38" i="9"/>
  <c r="K27" i="9" s="1"/>
  <c r="E42" i="9"/>
  <c r="P5" i="54" s="1"/>
  <c r="B46" i="63" s="1"/>
  <c r="D42" i="9"/>
  <c r="Q5" i="54" s="1"/>
  <c r="B47" i="63" s="1"/>
  <c r="N38" i="9"/>
  <c r="K28" i="9" s="1"/>
  <c r="C44" i="9"/>
  <c r="N68" i="9"/>
  <c r="R5" i="54"/>
  <c r="B48" i="63" s="1"/>
  <c r="D14" i="66"/>
  <c r="D63" i="9"/>
  <c r="K25" i="9"/>
  <c r="K26" i="9"/>
  <c r="C7" i="66" l="1"/>
  <c r="D7" i="66"/>
  <c r="D70" i="9"/>
  <c r="C96" i="9"/>
  <c r="C91" i="9" s="1"/>
  <c r="D71" i="9"/>
  <c r="D66" i="9" s="1"/>
  <c r="N72" i="9" s="1"/>
  <c r="C90" i="9"/>
  <c r="C103" i="9"/>
  <c r="C82" i="9"/>
  <c r="C81" i="9" s="1"/>
  <c r="C85" i="9" s="1"/>
  <c r="C86" i="9" s="1"/>
  <c r="D72" i="9" s="1"/>
  <c r="D77" i="9"/>
  <c r="N75" i="9" s="1"/>
  <c r="C111" i="9"/>
  <c r="C104" i="9" s="1"/>
  <c r="F14" i="66"/>
  <c r="E14" i="66"/>
  <c r="B5" i="66"/>
  <c r="O39" i="9"/>
  <c r="N69" i="9"/>
  <c r="G14" i="66"/>
  <c r="B6" i="66" s="1"/>
  <c r="D44" i="9"/>
  <c r="E44" i="9"/>
  <c r="F44" i="9"/>
  <c r="C97" i="9" l="1"/>
  <c r="C98" i="9" s="1"/>
  <c r="E98" i="9" s="1"/>
  <c r="E99" i="9" s="1"/>
  <c r="C113" i="9"/>
  <c r="C114" i="9" s="1"/>
  <c r="E114" i="9" s="1"/>
  <c r="E115" i="9" s="1"/>
  <c r="M87" i="9"/>
  <c r="N87" i="9" s="1"/>
  <c r="M86" i="9"/>
  <c r="N86" i="9" s="1"/>
  <c r="M85" i="9"/>
  <c r="N85" i="9" s="1"/>
  <c r="M84" i="9"/>
  <c r="N84" i="9" s="1"/>
  <c r="M83" i="9"/>
  <c r="N83" i="9" s="1"/>
  <c r="M88" i="9"/>
  <c r="N88" i="9" s="1"/>
  <c r="D5" i="66"/>
  <c r="C5" i="66"/>
  <c r="C6" i="66"/>
  <c r="D6" i="66"/>
  <c r="K29" i="9"/>
  <c r="K30" i="9" s="1"/>
  <c r="R6" i="54"/>
  <c r="B50" i="63" s="1"/>
  <c r="N89" i="9" l="1"/>
  <c r="O89" i="9" s="1"/>
  <c r="C115" i="9"/>
  <c r="D76" i="9" s="1"/>
  <c r="D74" i="9" s="1"/>
  <c r="N74" i="9" s="1"/>
  <c r="O77" i="9" s="1"/>
  <c r="Q77" i="9" s="1"/>
  <c r="C99" i="9"/>
  <c r="O79" i="9" l="1"/>
  <c r="O81" i="9" s="1"/>
  <c r="O78" i="9"/>
  <c r="C46" i="9"/>
  <c r="O80" i="9" l="1"/>
  <c r="F46" i="9"/>
  <c r="O41" i="9"/>
  <c r="R8" i="54" s="1"/>
  <c r="B54" i="63" s="1"/>
  <c r="D46" i="9"/>
  <c r="E46" i="9"/>
  <c r="I14" i="66"/>
  <c r="B8" i="66" s="1"/>
  <c r="C8" i="66" l="1"/>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<sst xmlns="http://schemas.openxmlformats.org/spreadsheetml/2006/main" count="7242" uniqueCount="3192">
  <si>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</si>
  <si>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</si>
  <si>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</si>
  <si>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</si>
  <si>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</si>
  <si>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</si>
  <si>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</si>
  <si>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</si>
  <si>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</si>
  <si>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</si>
  <si>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</si>
  <si>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</si>
  <si>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</si>
  <si>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</si>
  <si>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</si>
  <si>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</si>
  <si>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</si>
  <si>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</si>
  <si>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</si>
  <si>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</si>
  <si>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</si>
  <si>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</si>
  <si>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</si>
  <si>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</si>
  <si>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</si>
  <si>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</si>
  <si>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</si>
  <si>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</si>
  <si>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</si>
  <si>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</si>
  <si>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</si>
  <si>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</si>
  <si>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</si>
  <si>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</si>
  <si>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</si>
  <si>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</si>
  <si>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</si>
  <si>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</si>
  <si>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</si>
  <si>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</si>
  <si>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</si>
  <si>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</si>
  <si>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</si>
  <si>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</si>
  <si>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</si>
  <si>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</si>
  <si>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</si>
  <si>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</si>
  <si>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</si>
  <si>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</si>
  <si>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</si>
  <si>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</si>
  <si>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</si>
  <si>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</si>
  <si>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</si>
  <si>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</si>
  <si>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</si>
  <si>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</si>
  <si>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</si>
  <si>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</si>
  <si>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</si>
  <si>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</si>
  <si>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</si>
  <si>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</si>
  <si>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</si>
  <si>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</si>
  <si>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</si>
  <si>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</si>
  <si>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</si>
  <si>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</si>
  <si>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</si>
  <si>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</si>
  <si>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</si>
  <si>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</si>
  <si>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</si>
  <si>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</si>
  <si>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</si>
  <si>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</si>
  <si>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</si>
  <si>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</si>
  <si>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</si>
  <si>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</si>
  <si>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</si>
  <si>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</si>
  <si>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</si>
  <si>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</si>
  <si>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</si>
  <si>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</si>
  <si>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</si>
  <si>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</si>
  <si>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</si>
  <si>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</si>
  <si>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</si>
  <si>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</si>
  <si>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</si>
  <si>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</si>
  <si>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</si>
  <si>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</si>
  <si>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</si>
  <si>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</si>
  <si>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</si>
  <si>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</si>
  <si>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</si>
  <si>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</si>
  <si>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</si>
  <si>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</si>
  <si>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</si>
  <si>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</si>
  <si>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</si>
  <si>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</si>
  <si>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</si>
  <si>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</si>
  <si>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</si>
  <si>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</si>
  <si>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</si>
  <si>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</si>
  <si>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</si>
  <si>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</si>
  <si>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</si>
  <si>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</si>
  <si>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</si>
  <si>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</si>
  <si>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</si>
  <si>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</si>
  <si>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</si>
  <si>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</si>
  <si>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</si>
  <si>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</si>
  <si>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</si>
  <si>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</si>
  <si>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</si>
  <si>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</si>
  <si>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</si>
  <si>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</si>
  <si>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</si>
  <si>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</si>
  <si>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</si>
  <si>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</si>
  <si>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</si>
  <si>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</si>
  <si>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</si>
  <si>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</si>
  <si>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</si>
  <si>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</si>
  <si>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</si>
  <si>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</si>
  <si>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</si>
  <si>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</si>
  <si>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</si>
  <si>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</si>
  <si>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</si>
  <si>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</si>
  <si>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</si>
  <si>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</si>
  <si>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</si>
  <si>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</si>
  <si>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</si>
  <si>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</si>
  <si>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</si>
  <si>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</si>
  <si>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</si>
  <si>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</si>
  <si>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</si>
  <si>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</si>
  <si>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</si>
  <si>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</si>
  <si>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</si>
  <si>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</si>
  <si>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</si>
  <si>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</si>
  <si>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</si>
  <si>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</si>
  <si>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</si>
  <si>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</si>
  <si>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</si>
  <si>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</si>
  <si>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</si>
  <si>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</si>
  <si>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</si>
  <si>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</si>
  <si>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</si>
  <si>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</si>
  <si>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</si>
  <si>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</si>
  <si>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</si>
  <si>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</si>
  <si>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</si>
  <si>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</si>
  <si>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</si>
  <si>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</si>
  <si>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</si>
  <si>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</si>
  <si>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</si>
  <si>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</si>
  <si>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</si>
  <si>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</si>
  <si>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</si>
  <si>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</si>
  <si>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</si>
  <si>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</si>
  <si>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</si>
  <si>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</si>
  <si>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</si>
  <si>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</si>
  <si>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</si>
  <si>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</si>
  <si>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</si>
  <si>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</si>
  <si>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</si>
  <si>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</si>
  <si>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</si>
  <si>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</si>
  <si>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</si>
  <si>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</si>
  <si>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</si>
  <si>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</si>
  <si>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</si>
  <si>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</si>
  <si>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</si>
  <si>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</si>
  <si>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</si>
  <si>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</si>
  <si>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</si>
  <si>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</si>
  <si>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</si>
  <si>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</si>
  <si>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</si>
  <si>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</si>
  <si>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</si>
  <si>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</si>
  <si>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</si>
  <si>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</si>
  <si>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</si>
  <si>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</si>
  <si>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</si>
  <si>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</si>
  <si>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</si>
  <si>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</si>
  <si>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</si>
  <si>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</si>
  <si>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</si>
  <si>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</si>
  <si>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</si>
  <si>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</si>
  <si>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</si>
  <si>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</si>
  <si>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</si>
  <si>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</si>
  <si>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</si>
  <si>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</si>
  <si>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</si>
  <si>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</si>
  <si>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</si>
  <si>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</si>
  <si>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</si>
  <si>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</si>
  <si>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</si>
  <si>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</si>
  <si>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</si>
  <si>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</si>
  <si>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</si>
  <si>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</si>
  <si>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</si>
  <si>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</si>
  <si>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</si>
  <si>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</si>
  <si>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</si>
  <si>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</si>
  <si>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</si>
  <si>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</si>
  <si>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</si>
  <si>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</si>
  <si>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</si>
  <si>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</si>
  <si>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</si>
  <si>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</si>
  <si>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</si>
  <si>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</si>
  <si>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</si>
  <si>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</si>
  <si>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</si>
  <si>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</si>
  <si>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</si>
  <si>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</si>
  <si>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</si>
  <si>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</si>
  <si>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</si>
  <si>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</si>
  <si>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</si>
  <si>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</si>
  <si>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</si>
  <si>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</si>
  <si>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</si>
  <si>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</si>
  <si>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</si>
  <si>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</si>
  <si>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</si>
  <si>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</si>
  <si>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</si>
  <si>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</si>
  <si>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</si>
  <si>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</si>
  <si>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</si>
  <si>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</si>
  <si>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</si>
  <si>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</si>
  <si>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</si>
  <si>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</si>
  <si>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</si>
  <si>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</si>
  <si>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</si>
  <si>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</si>
  <si>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</si>
  <si>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</si>
  <si>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</si>
  <si>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</si>
  <si>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</si>
  <si>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</si>
  <si>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</si>
  <si>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</si>
  <si>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</si>
  <si>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</si>
  <si>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</si>
  <si>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</si>
  <si>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</si>
  <si>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</si>
  <si>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</si>
  <si>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</si>
  <si>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</si>
  <si>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</si>
  <si>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</si>
  <si>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</si>
  <si>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</si>
  <si>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</si>
  <si>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</si>
  <si>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</si>
  <si>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</si>
  <si>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</si>
  <si>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</si>
  <si>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</si>
  <si>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</si>
  <si>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</si>
  <si>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</si>
  <si>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</si>
  <si>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</si>
  <si>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</si>
  <si>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</si>
  <si>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</si>
  <si>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</si>
  <si>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</si>
  <si>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</si>
  <si>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</si>
  <si>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</si>
  <si>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</si>
  <si>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</si>
  <si>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</si>
  <si>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</si>
  <si>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</si>
  <si>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</si>
  <si>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</si>
  <si>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</si>
  <si>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</si>
  <si>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</si>
  <si>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</si>
  <si>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</si>
  <si>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</si>
  <si>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</si>
  <si>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</si>
  <si>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</si>
  <si>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</si>
  <si>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</si>
  <si>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</si>
  <si>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</si>
  <si>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</si>
  <si>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</si>
  <si>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</si>
  <si>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</si>
  <si>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</si>
  <si>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</si>
  <si>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</si>
  <si>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</si>
  <si>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</si>
  <si>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</si>
  <si>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</si>
  <si>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</si>
  <si>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</si>
  <si>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</si>
  <si>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</si>
  <si>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</si>
  <si>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</si>
  <si>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</si>
  <si>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</si>
  <si>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</si>
  <si>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</si>
  <si>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</si>
  <si>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</si>
  <si>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</si>
  <si>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</si>
  <si>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</si>
  <si>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</si>
  <si>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</si>
  <si>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</si>
  <si>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</si>
  <si>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</si>
  <si>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</si>
  <si>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</si>
  <si>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</si>
  <si>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</si>
  <si>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</si>
  <si>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</si>
  <si>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</si>
  <si>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</si>
  <si>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</si>
  <si>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</si>
  <si>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</si>
  <si>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</si>
  <si>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</si>
  <si>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</si>
  <si>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</si>
  <si>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</si>
  <si>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</si>
  <si>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</si>
  <si>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</si>
  <si>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</si>
  <si>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</si>
  <si>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</si>
  <si>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</si>
  <si>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</si>
  <si>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</si>
  <si>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</si>
  <si>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</si>
  <si>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</si>
  <si>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</si>
  <si>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</si>
  <si>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</si>
  <si>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</si>
  <si>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</si>
  <si>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</si>
  <si>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</si>
  <si>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</si>
  <si>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</si>
  <si>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</si>
  <si>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</si>
  <si>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</si>
  <si>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</si>
  <si>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</si>
  <si>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</si>
  <si>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</si>
  <si>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</si>
  <si>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</si>
  <si>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</si>
  <si>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</si>
  <si>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</si>
  <si>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</si>
  <si>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</si>
  <si>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</si>
  <si>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</si>
  <si>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</si>
  <si>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</si>
  <si>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</si>
  <si>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</si>
  <si>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</si>
  <si>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</si>
  <si>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</si>
  <si>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</si>
  <si>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</si>
  <si>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</si>
  <si>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</si>
  <si>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</si>
  <si>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</si>
  <si>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</si>
  <si>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</si>
  <si>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</si>
  <si>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</si>
  <si>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</si>
  <si>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</si>
  <si>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</si>
  <si>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</si>
  <si>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</si>
  <si>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</si>
  <si>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</si>
  <si>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</si>
  <si>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</si>
  <si>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</si>
  <si>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</si>
  <si>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</si>
  <si>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</si>
  <si>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</si>
  <si>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</si>
  <si>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</si>
  <si>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</si>
  <si>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</si>
  <si>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</si>
  <si>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</si>
  <si>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</si>
  <si>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</si>
  <si>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</si>
  <si>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</si>
  <si>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</si>
  <si>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</si>
  <si>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</si>
  <si>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</si>
  <si>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</si>
  <si>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</si>
  <si>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</si>
  <si>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</si>
  <si>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</si>
  <si>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</si>
  <si>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</si>
  <si>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</si>
  <si>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</si>
  <si>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</si>
  <si>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</si>
  <si>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</si>
  <si>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</si>
  <si>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</si>
  <si>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</si>
  <si>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</si>
  <si>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</si>
  <si>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</si>
  <si>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</si>
  <si>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</si>
  <si>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</si>
  <si>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</si>
  <si>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</si>
  <si>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</si>
  <si>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</si>
  <si>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</si>
  <si>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</si>
  <si>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</si>
  <si>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</si>
  <si>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</si>
  <si>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</si>
  <si>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</si>
  <si>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</si>
  <si>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</si>
  <si>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</si>
  <si>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</si>
  <si>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</si>
  <si>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</si>
  <si>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</si>
  <si>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</si>
  <si>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</si>
  <si>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</si>
  <si>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</si>
  <si>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</si>
  <si>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</si>
  <si>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</si>
  <si>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</si>
  <si>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</si>
  <si>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</si>
  <si>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</si>
  <si>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</si>
  <si>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</si>
  <si>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</si>
  <si>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</si>
  <si>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</si>
  <si>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</si>
  <si>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</si>
  <si>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</si>
  <si>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</si>
  <si>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</si>
  <si>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</si>
  <si>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</si>
  <si>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</si>
  <si>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</si>
  <si>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</si>
  <si>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</si>
  <si>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</si>
  <si>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</si>
  <si>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</si>
  <si>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</si>
  <si>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</si>
  <si>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</si>
  <si>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</si>
  <si>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</si>
  <si>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</si>
  <si>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</si>
  <si>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</si>
  <si>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</si>
  <si>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</si>
  <si>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</si>
  <si>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</si>
  <si>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</si>
  <si>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</si>
  <si>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</si>
  <si>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</si>
  <si>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</si>
  <si>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</si>
  <si>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</si>
  <si>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</si>
  <si>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</si>
  <si>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</si>
  <si>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</si>
  <si>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</si>
  <si>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</si>
  <si>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</si>
  <si>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</si>
  <si>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</si>
  <si>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</si>
  <si>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</si>
  <si>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</si>
  <si>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</si>
  <si>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</si>
  <si>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</si>
  <si>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</si>
  <si>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</si>
  <si>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</si>
  <si>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</si>
  <si>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</si>
  <si>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</si>
  <si>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</si>
  <si>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</si>
  <si>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</si>
  <si>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</si>
  <si>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</si>
  <si>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</si>
  <si>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</si>
  <si>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</si>
  <si>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</si>
  <si>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</si>
  <si>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</si>
  <si>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</si>
  <si>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</si>
  <si>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</si>
  <si>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</si>
  <si>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</si>
  <si>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</si>
  <si>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</si>
  <si>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</si>
  <si>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</si>
  <si>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</si>
  <si>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</si>
  <si>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</si>
  <si>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</si>
  <si>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</si>
  <si>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</si>
  <si>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</si>
  <si>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</si>
  <si>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</si>
  <si>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</si>
  <si>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</si>
  <si>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</si>
  <si>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</si>
  <si>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</si>
  <si>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</si>
  <si>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</si>
  <si>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</si>
  <si>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</si>
  <si>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</si>
  <si>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</si>
  <si>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</si>
  <si>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</si>
  <si>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</si>
  <si>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</si>
  <si>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</si>
  <si>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</si>
  <si>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</si>
  <si>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</si>
  <si>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</si>
  <si>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</si>
  <si>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</si>
  <si>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</si>
  <si>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</si>
  <si>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</si>
  <si>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</si>
  <si>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</si>
  <si>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</si>
  <si>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</si>
  <si>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</si>
  <si>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</si>
  <si>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</si>
  <si>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</si>
  <si>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</si>
  <si>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</si>
  <si>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</si>
  <si>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</si>
  <si>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</si>
  <si>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</si>
  <si>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</si>
  <si>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</si>
  <si>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</si>
  <si>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</si>
  <si>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</si>
  <si>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</si>
  <si>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</si>
  <si>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</si>
  <si>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</si>
  <si>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</si>
  <si>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</si>
  <si>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</si>
  <si>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</si>
  <si>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</si>
  <si>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</si>
  <si>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</si>
  <si>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</si>
  <si>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</si>
  <si>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</si>
  <si>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</si>
  <si>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</si>
  <si>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</si>
  <si>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</si>
  <si>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</si>
  <si>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</si>
  <si>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</si>
  <si>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</si>
  <si>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</si>
  <si>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</si>
  <si>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</si>
  <si>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</si>
  <si>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</si>
  <si>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</si>
  <si>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</si>
  <si>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</si>
  <si>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</si>
  <si>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</si>
  <si>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</si>
  <si>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</si>
  <si>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</si>
  <si>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</si>
  <si>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</si>
  <si>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</si>
  <si>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</si>
  <si>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</si>
  <si>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</si>
  <si>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</si>
  <si>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</si>
  <si>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</si>
  <si>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</si>
  <si>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</si>
  <si>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</si>
  <si>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</si>
  <si>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</si>
  <si>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</si>
  <si>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</si>
  <si>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</si>
  <si>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</si>
  <si>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</si>
  <si>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</si>
  <si>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</si>
  <si>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</si>
  <si>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</si>
  <si>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</si>
  <si>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</si>
  <si>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</si>
  <si>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</si>
  <si>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</si>
  <si>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</si>
  <si>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</si>
  <si>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</si>
  <si>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</si>
  <si>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</si>
  <si>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</si>
  <si>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</si>
  <si>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</si>
  <si>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</si>
  <si>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</si>
  <si>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</si>
  <si>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</si>
  <si>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</si>
  <si>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</si>
  <si>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</si>
  <si>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</si>
  <si>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</si>
  <si>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</si>
  <si>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</si>
  <si>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</si>
  <si>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</si>
  <si>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</si>
  <si>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</si>
  <si>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</si>
  <si>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</si>
  <si>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</si>
  <si>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</si>
  <si>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</si>
  <si>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</si>
  <si>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</si>
  <si>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</si>
  <si>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</si>
  <si>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</si>
  <si>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</si>
  <si>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</si>
  <si>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</si>
  <si>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</si>
  <si>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</si>
  <si>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</si>
  <si>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</si>
  <si>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</si>
  <si>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</si>
  <si>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</si>
  <si>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</si>
  <si>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</si>
  <si>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</si>
  <si>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</si>
  <si>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</si>
  <si>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</si>
  <si>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</si>
  <si>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</si>
  <si>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</si>
  <si>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</si>
  <si>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</si>
  <si>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</si>
  <si>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</si>
  <si>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</si>
  <si>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</si>
  <si>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</si>
  <si>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</si>
  <si>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</si>
  <si>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</si>
  <si>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</si>
  <si>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</si>
  <si>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</si>
  <si>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</si>
  <si>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</si>
  <si>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</si>
  <si>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</si>
  <si>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</si>
  <si>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</si>
  <si>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</si>
  <si>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</si>
  <si>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</si>
  <si>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</si>
  <si>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</si>
  <si>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</si>
  <si>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</si>
  <si>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</si>
  <si>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</si>
  <si>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</si>
  <si>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</si>
  <si>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</si>
  <si>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</si>
  <si>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</si>
  <si>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</si>
  <si>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</si>
  <si>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</si>
  <si>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</si>
  <si>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</si>
  <si>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</si>
  <si>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</si>
  <si>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</si>
  <si>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</si>
  <si>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</si>
  <si>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</si>
  <si>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</si>
  <si>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</si>
  <si>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</si>
  <si>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</si>
  <si>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</si>
  <si>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</si>
  <si>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</si>
  <si>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</si>
  <si>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</si>
  <si>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</si>
  <si>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</si>
  <si>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</si>
  <si>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</si>
  <si>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</si>
  <si>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</si>
  <si>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</si>
  <si>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</si>
  <si>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</si>
  <si>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</si>
  <si>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</si>
  <si>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</si>
  <si>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</si>
  <si>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</si>
  <si>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</si>
  <si>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</si>
  <si>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</si>
  <si>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</si>
  <si>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</si>
  <si>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</si>
  <si>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</si>
  <si>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</si>
  <si>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</si>
  <si>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</si>
  <si>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</si>
  <si>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</si>
  <si>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</si>
  <si>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</si>
  <si>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</si>
  <si>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</si>
  <si>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</si>
  <si>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</si>
  <si>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</si>
  <si>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</si>
  <si>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</si>
  <si>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</si>
  <si>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</si>
  <si>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</si>
  <si>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</si>
  <si>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</si>
  <si>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</si>
  <si>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</si>
  <si>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</si>
  <si>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</si>
  <si>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</si>
  <si>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</si>
  <si>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</si>
  <si>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</si>
  <si>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</si>
  <si>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</si>
  <si>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</si>
  <si>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</si>
  <si>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</si>
  <si>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</si>
  <si>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</si>
  <si>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</si>
  <si>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</si>
  <si>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</si>
  <si>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</si>
  <si>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</si>
  <si>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</si>
  <si>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</si>
  <si>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</si>
  <si>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</si>
  <si>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</si>
  <si>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</si>
  <si>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</si>
  <si>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</si>
  <si>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</si>
  <si>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</si>
  <si>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</si>
  <si>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</si>
  <si>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</si>
  <si>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</si>
  <si>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</si>
  <si>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</si>
  <si>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</si>
  <si>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</si>
  <si>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</si>
  <si>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</si>
  <si>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</si>
  <si>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</si>
  <si>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</si>
  <si>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</si>
  <si>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</si>
  <si>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</si>
  <si>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</si>
  <si>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</si>
  <si>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</si>
  <si>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</si>
  <si>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</si>
  <si>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</si>
  <si>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</si>
  <si>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</si>
  <si>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</si>
  <si>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</si>
  <si>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</si>
  <si>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</si>
  <si>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</si>
  <si>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</si>
  <si>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</si>
  <si>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</si>
  <si>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</si>
  <si>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</si>
  <si>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</si>
  <si>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</si>
  <si>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</si>
  <si>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</si>
  <si>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</si>
  <si>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</si>
  <si>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</si>
  <si>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</si>
  <si>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</si>
  <si>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</si>
  <si>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</si>
  <si>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</si>
  <si>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</si>
  <si>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</si>
  <si>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</si>
  <si>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</si>
  <si>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</si>
  <si>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</si>
  <si>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</si>
  <si>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</si>
  <si>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</si>
  <si>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</si>
  <si>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</si>
  <si>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</si>
  <si>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</si>
  <si>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</si>
  <si>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</si>
  <si>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</si>
  <si>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</si>
  <si>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</si>
  <si>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</si>
  <si>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</si>
  <si>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</si>
  <si>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</si>
  <si>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</si>
  <si>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</si>
  <si>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</si>
  <si>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</si>
  <si>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</si>
  <si>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</si>
  <si>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</si>
  <si>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</si>
  <si>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</si>
  <si>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</si>
  <si>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</si>
  <si>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</si>
  <si>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</si>
  <si>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</si>
  <si>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</si>
  <si>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</si>
  <si>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</si>
  <si>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</si>
  <si>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</si>
  <si>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</si>
  <si>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</si>
  <si>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</si>
  <si>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</si>
  <si>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</si>
  <si>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</si>
  <si>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</si>
  <si>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</si>
  <si>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</si>
  <si>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</si>
  <si>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</si>
  <si>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</si>
  <si>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</si>
  <si>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</si>
  <si>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</si>
  <si>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</si>
  <si>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</si>
  <si>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</si>
  <si>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</si>
  <si>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</si>
  <si>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</si>
  <si>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</si>
  <si>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</si>
  <si>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</si>
  <si>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</si>
  <si>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</si>
  <si>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</si>
  <si>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</si>
  <si>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</si>
  <si>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</si>
  <si>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</si>
  <si>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</si>
  <si>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</si>
  <si>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</si>
  <si>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</si>
  <si>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</si>
  <si>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</si>
  <si>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</si>
  <si>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</si>
  <si>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</si>
  <si>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</si>
  <si>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</si>
  <si>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</si>
  <si>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</si>
  <si>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</si>
  <si>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</si>
  <si>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</si>
  <si>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</si>
  <si>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</si>
  <si>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</si>
  <si>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</si>
  <si>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</si>
  <si>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</si>
  <si>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</si>
  <si>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</si>
  <si>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</si>
  <si>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</si>
  <si>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</si>
  <si>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</si>
  <si>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</si>
  <si>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</si>
  <si>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</si>
  <si>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</si>
  <si>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</si>
  <si>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</si>
  <si>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</si>
  <si>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</si>
  <si>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</si>
  <si>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</si>
  <si>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</si>
  <si>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</si>
  <si>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</si>
  <si>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</si>
  <si>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</si>
  <si>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</si>
  <si>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</si>
  <si>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</si>
  <si>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</si>
  <si>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</si>
  <si>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</si>
  <si>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</si>
  <si>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</si>
  <si>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</si>
  <si>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</si>
  <si>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</si>
  <si>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</si>
  <si>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</si>
  <si>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</si>
  <si>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</si>
  <si>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</si>
  <si>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</si>
  <si>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</si>
  <si>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</si>
  <si>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</si>
  <si>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</si>
  <si>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</si>
  <si>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</si>
  <si>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</si>
  <si>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</si>
  <si>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</si>
  <si>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</si>
  <si>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</si>
  <si>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</si>
  <si>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</si>
  <si>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</si>
  <si>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</si>
  <si>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</si>
  <si>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</si>
  <si>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</si>
  <si>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</si>
  <si>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</si>
  <si>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</si>
  <si>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</si>
  <si>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</si>
  <si>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</si>
  <si>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</si>
  <si>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</si>
  <si>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</si>
  <si>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</si>
  <si>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</si>
  <si>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</si>
  <si>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</si>
  <si>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</si>
  <si>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</si>
  <si>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</si>
  <si>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</si>
  <si>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</si>
  <si>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</si>
  <si>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</si>
  <si>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</si>
  <si>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</si>
  <si>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</si>
  <si>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</si>
  <si>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</si>
  <si>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</si>
  <si>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</si>
  <si>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</si>
  <si>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</si>
  <si>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</si>
  <si>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</si>
  <si>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</si>
  <si>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</si>
  <si>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</si>
  <si>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</si>
  <si>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</si>
  <si>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</si>
  <si>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</si>
  <si>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</si>
  <si>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</si>
  <si>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</si>
  <si>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</si>
  <si>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</si>
  <si>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</si>
  <si>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</si>
  <si>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</si>
  <si>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</si>
  <si>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</si>
  <si>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</si>
  <si>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</si>
  <si>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</si>
  <si>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</si>
  <si>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</si>
  <si>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</si>
  <si>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</si>
  <si>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</si>
  <si>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</si>
  <si>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</si>
  <si>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</si>
  <si>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</si>
  <si>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</si>
  <si>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</si>
  <si>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</si>
  <si>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</si>
  <si>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</si>
  <si>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</si>
  <si>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</si>
  <si>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</si>
  <si>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</si>
  <si>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</si>
  <si>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</si>
  <si>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</si>
  <si>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</si>
  <si>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</si>
  <si>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</si>
  <si>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</si>
  <si>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</si>
  <si>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</si>
  <si>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</si>
  <si>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</si>
  <si>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</si>
  <si>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</si>
  <si>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</si>
  <si>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</si>
  <si>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</si>
  <si>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</si>
  <si>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</si>
  <si>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</si>
  <si>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</si>
  <si>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</si>
  <si>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</si>
  <si>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</si>
  <si>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</si>
  <si>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</si>
  <si>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</si>
  <si>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</si>
  <si>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</si>
  <si>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</si>
  <si>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</si>
  <si>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</si>
  <si>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</si>
  <si>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</si>
  <si>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</si>
  <si>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</si>
  <si>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</si>
  <si>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</si>
  <si>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</si>
  <si>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</si>
  <si>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</si>
  <si>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</si>
  <si>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</si>
  <si>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</si>
  <si>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</si>
  <si>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</si>
  <si>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</si>
  <si>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</si>
  <si>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</si>
  <si>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</si>
  <si>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</si>
  <si>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</si>
  <si>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</si>
  <si>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</si>
  <si>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</si>
  <si>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</si>
  <si>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</si>
  <si>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</si>
  <si>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</si>
  <si>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</si>
  <si>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</si>
  <si>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</si>
  <si>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</si>
  <si>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</si>
  <si>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</si>
  <si>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</si>
  <si>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</si>
  <si>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</si>
  <si>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</si>
  <si>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</si>
  <si>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</si>
  <si>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</si>
  <si>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</si>
  <si>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</si>
  <si>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</si>
  <si>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</si>
  <si>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</si>
  <si>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</si>
  <si>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</si>
  <si>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</si>
  <si>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</si>
  <si>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</si>
  <si>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</si>
  <si>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</si>
  <si>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</si>
  <si>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</si>
  <si>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</si>
  <si>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</si>
  <si>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</si>
  <si>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</si>
  <si>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</si>
  <si>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</si>
  <si>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</si>
  <si>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</si>
  <si>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</si>
  <si>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</si>
  <si>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</si>
  <si>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</si>
  <si>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</si>
  <si>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</si>
  <si>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</si>
  <si>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</si>
  <si>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</si>
  <si>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</si>
  <si>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</si>
  <si>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</si>
  <si>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</si>
  <si>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</si>
  <si>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</si>
  <si>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</si>
  <si>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</si>
  <si>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</si>
  <si>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</si>
  <si>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</si>
  <si>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</si>
  <si>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</si>
  <si>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</si>
  <si>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</si>
  <si>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</si>
  <si>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</si>
  <si>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</si>
  <si>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</si>
  <si>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</si>
  <si>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</si>
  <si>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</si>
  <si>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</si>
  <si>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</si>
  <si>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</si>
  <si>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</si>
  <si>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</si>
  <si>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</si>
  <si>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</si>
  <si>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</si>
  <si>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</si>
  <si>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</si>
  <si>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</si>
  <si>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</si>
  <si>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</si>
  <si>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</si>
  <si>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</si>
  <si>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</si>
  <si>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</si>
  <si>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</si>
  <si>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</si>
  <si>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</si>
  <si>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</si>
  <si>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</si>
  <si>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</si>
  <si>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</si>
  <si>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</si>
  <si>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</si>
  <si>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</si>
  <si>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</si>
  <si>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</si>
  <si>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</si>
  <si>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</si>
  <si>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</si>
  <si>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</si>
  <si>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</si>
  <si>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</si>
  <si>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</si>
  <si>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</si>
  <si>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</si>
  <si>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</si>
  <si>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</si>
  <si>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</si>
  <si>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</si>
  <si>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</si>
  <si>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</si>
  <si>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</si>
  <si>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</si>
  <si>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</si>
  <si>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</si>
  <si>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</si>
  <si>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</si>
  <si>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</si>
  <si>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</si>
  <si>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</si>
  <si>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</si>
  <si>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</si>
  <si>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</si>
  <si>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</si>
  <si>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</si>
  <si>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</si>
  <si>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</si>
  <si>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</si>
  <si>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</si>
  <si>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</si>
  <si>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</si>
  <si>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</si>
  <si>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</si>
  <si>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</si>
  <si>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</si>
  <si>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</si>
  <si>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</si>
  <si>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</si>
  <si>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</si>
  <si>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</si>
  <si>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</si>
  <si>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</si>
  <si>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</si>
  <si>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</si>
  <si>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</si>
  <si>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</si>
  <si>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</si>
  <si>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</si>
  <si>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</si>
  <si>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</si>
  <si>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</si>
  <si>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</si>
  <si>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</si>
  <si>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</si>
  <si>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</si>
  <si>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</si>
  <si>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</si>
  <si>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</si>
  <si>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</si>
  <si>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</si>
  <si>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</si>
  <si>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</si>
  <si>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</si>
  <si>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</si>
  <si>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</si>
  <si>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</si>
  <si>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</si>
  <si>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</si>
  <si>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</si>
  <si>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</si>
  <si>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</si>
  <si>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</si>
  <si>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</si>
  <si>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</si>
  <si>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</si>
  <si>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</si>
  <si>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</si>
  <si>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</si>
  <si>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</si>
  <si>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</si>
  <si>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</si>
  <si>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</si>
  <si>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</si>
  <si>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</si>
  <si>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</si>
  <si>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</si>
  <si>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</si>
  <si>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</si>
  <si>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</si>
  <si>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</si>
  <si>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</si>
  <si>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</si>
  <si>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</si>
  <si>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</si>
  <si>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</si>
  <si>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</si>
  <si>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</si>
  <si>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</si>
  <si>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</si>
  <si>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</si>
  <si>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</si>
  <si>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</si>
  <si>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</si>
  <si>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</si>
  <si>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</si>
  <si>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</si>
  <si>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</si>
  <si>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</si>
  <si>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</si>
  <si>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</si>
  <si>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</si>
  <si>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</si>
  <si>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</si>
  <si>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</si>
  <si>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</si>
  <si>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</si>
  <si>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</si>
  <si>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</si>
  <si>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</si>
  <si>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</si>
  <si>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</si>
  <si>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</si>
  <si>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</si>
  <si>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</si>
  <si>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</si>
  <si>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</si>
  <si>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</si>
  <si>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</si>
  <si>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</si>
  <si>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</si>
  <si>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</si>
  <si>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</si>
  <si>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</si>
  <si>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</si>
  <si>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</si>
  <si>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</si>
  <si>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</si>
  <si>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</si>
  <si>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</si>
  <si>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</si>
  <si>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</si>
  <si>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</si>
  <si>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</si>
  <si>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</si>
  <si>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</si>
  <si>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</si>
  <si>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</si>
  <si>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</si>
  <si>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</si>
  <si>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</si>
  <si>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</si>
  <si>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</si>
  <si>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</si>
  <si>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</si>
  <si>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</si>
  <si>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</si>
  <si>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</si>
  <si>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</si>
  <si>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</si>
  <si>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</si>
  <si>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</si>
  <si>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</si>
  <si>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</si>
  <si>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</si>
  <si>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</si>
  <si>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</si>
  <si>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</si>
  <si>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</si>
  <si>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</si>
  <si>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</si>
  <si>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</si>
  <si>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</si>
  <si>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</si>
  <si>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</si>
  <si>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</si>
  <si>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</si>
  <si>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</si>
  <si>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</si>
  <si>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</si>
  <si>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</si>
  <si>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</si>
  <si>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</si>
  <si>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</si>
  <si>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</si>
  <si>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</si>
  <si>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</si>
  <si>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</si>
  <si>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</si>
  <si>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</si>
  <si>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</si>
  <si>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</si>
  <si>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</si>
  <si>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</si>
  <si>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</si>
  <si>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</si>
  <si>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</si>
  <si>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</si>
  <si>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</si>
  <si>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</si>
  <si>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</si>
  <si>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</si>
  <si>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</si>
  <si>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</si>
  <si>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</si>
  <si>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</si>
  <si>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</si>
  <si>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</si>
  <si>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</si>
  <si>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</si>
  <si>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</si>
  <si>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</si>
  <si>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</si>
  <si>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</si>
  <si>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</si>
  <si>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</si>
  <si>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</si>
  <si>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</si>
  <si>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</si>
  <si>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</si>
  <si>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</si>
  <si>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</si>
  <si>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</si>
  <si>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</si>
  <si>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</si>
  <si>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</si>
  <si>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</si>
  <si>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</si>
  <si>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</si>
  <si>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</si>
  <si>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</si>
  <si>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</si>
  <si>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</si>
  <si>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</si>
  <si>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</si>
  <si>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</si>
  <si>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</si>
  <si>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</si>
  <si>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</si>
  <si>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</si>
  <si>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</si>
  <si>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</si>
  <si>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</si>
  <si>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</si>
  <si>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</si>
  <si>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</si>
  <si>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</si>
  <si>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</si>
  <si>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</si>
  <si>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</si>
  <si>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</si>
  <si>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</si>
  <si>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</si>
  <si>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</si>
  <si>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</si>
  <si>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</si>
  <si>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</si>
  <si>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</si>
  <si>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</si>
  <si>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</si>
  <si>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</si>
  <si>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</si>
  <si>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</si>
  <si>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</si>
  <si>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</si>
  <si>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</si>
  <si>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</si>
  <si>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</si>
  <si>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</si>
  <si>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</si>
  <si>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</si>
  <si>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</si>
  <si>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</si>
  <si>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</si>
  <si>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</si>
  <si>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</si>
  <si>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</si>
  <si>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</si>
  <si>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</si>
  <si>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</si>
  <si>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</si>
  <si>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</si>
  <si>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</si>
  <si>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</si>
  <si>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</si>
  <si>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</si>
  <si>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</si>
  <si>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</si>
  <si>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</si>
  <si>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</si>
  <si>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</si>
  <si>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</si>
  <si>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</si>
  <si>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</si>
  <si>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</si>
  <si>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</si>
  <si>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</si>
  <si>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</si>
  <si>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</si>
  <si>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</si>
  <si>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</si>
  <si>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</si>
  <si>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</si>
  <si>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</si>
  <si>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</si>
  <si>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</si>
  <si>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</si>
  <si>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</si>
  <si>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</si>
  <si>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</si>
  <si>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</si>
  <si>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</si>
  <si>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</si>
  <si>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</si>
  <si>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</si>
  <si>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</si>
  <si>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</si>
  <si>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</si>
  <si>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</si>
  <si>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</si>
  <si>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</si>
  <si>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</si>
  <si>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</si>
  <si>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</si>
  <si>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</si>
  <si>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</si>
  <si>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</si>
  <si>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</si>
  <si>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</si>
  <si>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</si>
  <si>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</si>
  <si>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</si>
  <si>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</si>
  <si>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</si>
  <si>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</si>
  <si>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</si>
  <si>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</si>
  <si>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</si>
  <si>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</si>
  <si>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</si>
  <si>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</si>
  <si>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</si>
  <si>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</si>
  <si>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</si>
  <si>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</si>
  <si>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</si>
  <si>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</si>
  <si>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</si>
  <si>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</si>
  <si>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</si>
  <si>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</si>
  <si>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</si>
  <si>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</si>
  <si>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</si>
  <si>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</si>
  <si>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</si>
  <si>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</si>
  <si>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</si>
  <si>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</si>
  <si>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</si>
  <si>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</si>
  <si>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</si>
  <si>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</si>
  <si>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</si>
  <si>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</si>
  <si>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</si>
  <si>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</si>
  <si>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</si>
  <si>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</si>
  <si>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</si>
  <si>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</si>
  <si>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</si>
  <si>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</si>
  <si>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</si>
  <si>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</si>
  <si>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</si>
  <si>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</si>
  <si>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</si>
  <si>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</si>
  <si>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</si>
  <si>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</si>
  <si>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</si>
  <si>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</si>
  <si>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</si>
  <si>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</si>
  <si>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</si>
  <si>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</si>
  <si>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</si>
  <si>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</si>
  <si>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</si>
  <si>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</si>
  <si>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</si>
  <si>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</si>
  <si>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</si>
  <si>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</si>
  <si>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</si>
  <si>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</si>
  <si>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</si>
  <si>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</si>
  <si>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</si>
  <si>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</si>
  <si>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</si>
  <si>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</si>
  <si>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</si>
  <si>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</si>
  <si>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</si>
  <si>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</si>
  <si>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</si>
  <si>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</si>
  <si>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</si>
  <si>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</si>
  <si>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</si>
  <si>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</si>
  <si>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</si>
  <si>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</si>
  <si>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</si>
  <si>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</si>
  <si>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</si>
  <si>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</si>
  <si>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</si>
  <si>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</si>
  <si>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</si>
  <si>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</si>
  <si>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</si>
  <si>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</si>
  <si>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</si>
  <si>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</si>
  <si>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</si>
  <si>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</si>
  <si>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</si>
  <si>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</si>
  <si>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</si>
  <si>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</si>
  <si>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</si>
  <si>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</si>
  <si>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</si>
  <si>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</si>
  <si>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</si>
  <si>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</si>
  <si>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</si>
  <si>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</si>
  <si>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</si>
  <si>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</si>
  <si>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</si>
  <si>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</si>
  <si>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</si>
  <si>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</si>
  <si>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</si>
  <si>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</si>
  <si>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</si>
  <si>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</si>
  <si>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</si>
  <si>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</si>
  <si>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</si>
  <si>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</si>
  <si>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</si>
  <si>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</si>
  <si>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</si>
  <si>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</si>
  <si>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</si>
  <si>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</si>
  <si>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</si>
  <si>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</si>
  <si>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</si>
  <si>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</si>
  <si>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</si>
  <si>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</si>
  <si>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</si>
  <si>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</si>
  <si>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</si>
  <si>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</si>
  <si>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</si>
  <si>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</si>
  <si>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</si>
  <si>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</si>
  <si>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</si>
  <si>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</si>
  <si>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</si>
  <si>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</si>
  <si>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</si>
  <si>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</si>
  <si>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</si>
  <si>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</si>
  <si>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</si>
  <si>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</si>
  <si>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</si>
  <si>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</si>
  <si>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</si>
  <si>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</si>
  <si>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</si>
  <si>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</si>
  <si>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</si>
  <si>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</si>
  <si>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</si>
  <si>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</si>
  <si>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</si>
  <si>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</si>
  <si>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</si>
  <si>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</si>
  <si>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</si>
  <si>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</si>
  <si>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</si>
  <si>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</si>
  <si>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</si>
  <si>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</si>
  <si>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</si>
  <si>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</si>
  <si>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</si>
  <si>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</si>
  <si>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</si>
  <si>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</si>
  <si>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</si>
  <si>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</si>
  <si>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</si>
  <si>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</si>
  <si>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</si>
  <si>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</si>
  <si>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</si>
  <si>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</si>
  <si>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</si>
  <si>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</si>
  <si>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</si>
  <si>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</si>
  <si>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</si>
  <si>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</si>
  <si>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</si>
  <si>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</si>
  <si>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</si>
  <si>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</si>
  <si>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</si>
  <si>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</si>
  <si>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</si>
  <si>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</si>
  <si>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</si>
  <si>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</si>
  <si>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</si>
  <si>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</si>
  <si>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</si>
  <si>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</si>
  <si>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</si>
  <si>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</si>
  <si>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</si>
  <si>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</si>
  <si>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</si>
  <si>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</si>
  <si>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</si>
  <si>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</si>
  <si>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</si>
  <si>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</si>
  <si>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</si>
  <si>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</si>
  <si>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</si>
  <si>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</si>
  <si>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</si>
  <si>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</si>
  <si>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</si>
  <si>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</si>
  <si>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</si>
  <si>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</si>
  <si>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</si>
  <si>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</si>
  <si>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</si>
  <si>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</si>
  <si>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</si>
  <si>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</si>
  <si>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</si>
  <si>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</si>
  <si>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</si>
  <si>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</si>
  <si>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</si>
  <si>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</si>
  <si>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</si>
  <si>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</si>
  <si>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</si>
  <si>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</si>
  <si>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</si>
  <si>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</si>
  <si>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</si>
  <si>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</si>
  <si>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</si>
  <si>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</si>
  <si>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</si>
  <si>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</si>
  <si>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</si>
  <si>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</si>
  <si>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</si>
  <si>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</si>
  <si>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</si>
  <si>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</si>
  <si>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</si>
  <si>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</si>
  <si>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</si>
  <si>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</si>
  <si>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</si>
  <si>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</si>
  <si>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</si>
  <si>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</si>
  <si>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</si>
  <si>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</si>
  <si>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</si>
  <si>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</si>
  <si>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</si>
  <si>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</si>
  <si>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</si>
  <si>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</si>
  <si>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</si>
  <si>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</si>
  <si>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</si>
  <si>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</si>
  <si>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</si>
  <si>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</si>
  <si>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</si>
  <si>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</si>
  <si>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</si>
  <si>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</si>
  <si>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</si>
  <si>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</si>
  <si>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</si>
  <si>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</si>
  <si>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</si>
  <si>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</si>
  <si>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</si>
  <si>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</si>
  <si>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</si>
  <si>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</si>
  <si>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</si>
  <si>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</si>
  <si>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</si>
  <si>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</si>
  <si>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</si>
  <si>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</si>
  <si>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</si>
  <si>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</si>
  <si>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</si>
  <si>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</si>
  <si>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</si>
  <si>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</si>
  <si>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</si>
  <si>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</si>
  <si>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</si>
  <si>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</si>
  <si>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</si>
  <si>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</si>
  <si>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</si>
  <si>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</si>
  <si>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</si>
  <si>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</si>
  <si>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</si>
  <si>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</si>
  <si>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</si>
  <si>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</si>
  <si>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</si>
  <si>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</si>
  <si>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</si>
  <si>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</si>
  <si>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</si>
  <si>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</si>
  <si>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</si>
  <si>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</si>
  <si>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</si>
  <si>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</si>
  <si>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</si>
  <si>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</si>
  <si>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</si>
  <si>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</si>
  <si>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</si>
  <si>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</si>
  <si>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</si>
  <si>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</si>
  <si>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</si>
  <si>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</si>
  <si>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</si>
  <si>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</si>
  <si>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</si>
  <si>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</si>
  <si>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</si>
  <si>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</si>
  <si>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</si>
  <si>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</si>
  <si>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</si>
  <si>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</si>
  <si>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</si>
  <si>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</si>
  <si>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</si>
  <si>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</si>
  <si>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</si>
  <si>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</si>
  <si>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</si>
  <si>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</si>
  <si>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</si>
  <si>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</si>
  <si>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</si>
  <si>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</si>
  <si>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</si>
  <si>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</si>
  <si>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</si>
  <si>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</si>
  <si>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</si>
  <si>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</si>
  <si>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</si>
  <si>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</si>
  <si>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</si>
  <si>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</si>
  <si>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</si>
  <si>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</si>
  <si>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</si>
  <si>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</si>
  <si>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</si>
  <si>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</si>
  <si>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</si>
  <si>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</si>
  <si>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</si>
  <si>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</si>
  <si>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</si>
  <si>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</si>
  <si>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</si>
  <si>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</si>
  <si>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</si>
  <si>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</si>
  <si>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</si>
  <si>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</si>
  <si>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</si>
  <si>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</si>
  <si>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</si>
  <si>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</si>
  <si>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</si>
  <si>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</si>
  <si>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</si>
  <si>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</si>
  <si>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</si>
  <si>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</si>
  <si>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</si>
  <si>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</si>
  <si>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</si>
  <si>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</si>
  <si>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</si>
  <si>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</si>
  <si>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</si>
  <si>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</si>
  <si>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</si>
  <si>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</si>
  <si>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</si>
  <si>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</si>
  <si>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</si>
  <si>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</si>
  <si>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</si>
  <si>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</si>
  <si>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</si>
  <si>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</si>
  <si>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</si>
  <si>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</si>
  <si>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</si>
  <si>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</si>
  <si>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</si>
  <si>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</si>
  <si>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</si>
  <si>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</si>
  <si>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</si>
  <si>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</si>
  <si>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</si>
  <si>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</si>
  <si>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</si>
  <si>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</si>
  <si>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</si>
  <si>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</si>
  <si>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</si>
  <si>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</si>
  <si>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</si>
  <si>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</si>
  <si>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</si>
  <si>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</si>
  <si>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</si>
  <si>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</si>
  <si>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</si>
  <si>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</si>
  <si>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</si>
  <si>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</si>
  <si>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</si>
  <si>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</si>
  <si>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</si>
  <si>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</si>
  <si>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</si>
  <si>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</si>
  <si>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</si>
  <si>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</si>
  <si>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</si>
  <si>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</si>
  <si>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</si>
  <si>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</si>
  <si>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</si>
  <si>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</si>
  <si>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</si>
  <si>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</si>
  <si>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</si>
  <si>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</si>
  <si>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</si>
  <si>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</si>
  <si>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</si>
  <si>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</si>
  <si>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</si>
  <si>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</si>
  <si>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</si>
  <si>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</si>
  <si>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</si>
  <si>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</si>
  <si>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</si>
  <si>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</si>
  <si>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</si>
  <si>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</si>
  <si>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</si>
  <si>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</si>
  <si>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</si>
  <si>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</si>
  <si>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</si>
  <si>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</si>
  <si>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</si>
  <si>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</si>
  <si>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</si>
  <si>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</si>
  <si>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</si>
  <si>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</si>
  <si>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</si>
  <si>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</si>
  <si>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</si>
  <si>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</si>
  <si>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</si>
  <si>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</si>
  <si>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</si>
  <si>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</si>
  <si>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</si>
  <si>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</si>
  <si>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</si>
  <si>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</si>
  <si>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</si>
  <si>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</si>
  <si>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</si>
  <si>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</si>
  <si>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</si>
  <si>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</si>
  <si>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</si>
  <si>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</si>
  <si>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</si>
  <si>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</si>
  <si>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</si>
  <si>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</si>
  <si>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</si>
  <si>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</si>
  <si>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</si>
  <si>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</si>
  <si>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</si>
  <si>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</si>
  <si>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</si>
  <si>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</si>
  <si>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</si>
  <si>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</si>
  <si>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</si>
  <si>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</si>
  <si>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</si>
  <si>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</si>
  <si>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</si>
  <si>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</si>
  <si>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</si>
  <si>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</si>
  <si>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</si>
  <si>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</si>
  <si>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</si>
  <si>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</si>
  <si>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</si>
  <si>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</si>
  <si>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</si>
  <si>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</si>
  <si>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</si>
  <si>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</si>
  <si>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</si>
  <si>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</si>
  <si>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</si>
  <si>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</si>
  <si>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</si>
  <si>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</si>
  <si>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</si>
  <si>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</si>
  <si>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</si>
  <si>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</si>
  <si>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</si>
  <si>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</si>
  <si>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</si>
  <si>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</si>
  <si>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</si>
  <si>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</si>
  <si>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</si>
  <si>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</si>
  <si>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</si>
  <si>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</si>
  <si>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</si>
  <si>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</si>
  <si>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</si>
  <si>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</si>
  <si>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</si>
  <si>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</si>
  <si>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</si>
  <si>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</si>
  <si>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</si>
  <si>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</si>
  <si>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</si>
  <si>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</si>
  <si>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</si>
  <si>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</si>
  <si>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</si>
  <si>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</si>
  <si>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</si>
  <si>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</si>
  <si>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</si>
  <si>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</si>
  <si>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</si>
  <si>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</si>
  <si>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</si>
  <si>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</si>
  <si>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</si>
  <si>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</si>
  <si>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</si>
  <si>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</si>
  <si>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</si>
  <si>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</si>
  <si>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</si>
  <si>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</si>
  <si>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</si>
  <si>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</si>
  <si>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</si>
  <si>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</si>
  <si>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</si>
  <si>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</si>
  <si>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</si>
  <si>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</si>
  <si>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</si>
  <si>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</si>
  <si>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</si>
  <si>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</si>
  <si>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</si>
  <si>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</si>
  <si>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</si>
  <si>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</si>
  <si>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</si>
  <si>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</si>
  <si>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</si>
  <si>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</si>
  <si>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</si>
  <si>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</si>
  <si>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</si>
  <si>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</si>
  <si>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</si>
  <si>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</si>
  <si>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</si>
  <si>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</si>
  <si>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</si>
  <si>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</si>
  <si>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</si>
  <si>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</si>
  <si>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</si>
  <si>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</si>
  <si>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</si>
  <si>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</si>
  <si>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</si>
  <si>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</si>
  <si>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</si>
  <si>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</si>
  <si>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</si>
  <si>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</si>
  <si>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</si>
  <si>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</si>
  <si>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</si>
  <si>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</si>
  <si>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</si>
  <si>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</si>
  <si>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</si>
  <si>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</si>
  <si>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</si>
  <si>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</si>
  <si>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</si>
  <si>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</si>
  <si>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</si>
  <si>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</si>
  <si>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</si>
  <si>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</si>
  <si>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</si>
  <si>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</si>
  <si>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</si>
  <si>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</si>
  <si>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</si>
  <si>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</si>
  <si>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</si>
  <si>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</si>
  <si>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</si>
  <si>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</si>
  <si>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</si>
  <si>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</si>
  <si>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</si>
  <si>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</si>
  <si>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</si>
  <si>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</si>
  <si>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</si>
  <si>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</si>
  <si>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</si>
  <si>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</si>
  <si>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</si>
  <si>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</si>
  <si>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</si>
  <si>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</si>
  <si>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</si>
  <si>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</si>
  <si>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</si>
  <si>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</si>
  <si>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</si>
  <si>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</si>
  <si>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</si>
  <si>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</si>
  <si>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</si>
  <si>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</si>
  <si>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</si>
  <si>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</si>
  <si>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</si>
  <si>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</si>
  <si>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</si>
  <si>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</si>
  <si>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</si>
  <si>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</si>
  <si>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</si>
  <si>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</si>
  <si>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</si>
  <si>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</si>
  <si>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</si>
  <si>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</si>
  <si>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</si>
  <si>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</si>
  <si>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</si>
  <si>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</si>
  <si>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</si>
  <si>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</si>
  <si>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</si>
  <si>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</si>
  <si>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</si>
  <si>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</si>
  <si>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</si>
  <si>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</si>
  <si>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</si>
  <si>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</si>
  <si>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</si>
  <si>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</si>
  <si>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</si>
  <si>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</si>
  <si>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</si>
  <si>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</si>
  <si>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</si>
  <si>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</si>
  <si>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</si>
  <si>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</si>
  <si>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</si>
  <si>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</si>
  <si>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</si>
  <si>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</si>
  <si>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</si>
  <si>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</si>
  <si>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</si>
  <si>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</si>
  <si>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</si>
  <si>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</si>
  <si>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</si>
  <si>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</si>
  <si>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</si>
  <si>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</si>
  <si>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</si>
  <si>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</si>
  <si>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</si>
  <si>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</si>
  <si>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</si>
  <si>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</si>
  <si>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</si>
  <si>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</si>
  <si>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</si>
  <si>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</si>
  <si>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</si>
  <si>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</si>
  <si>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</si>
  <si>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</si>
  <si>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</si>
  <si>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</si>
  <si>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</si>
  <si>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</si>
  <si>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</si>
  <si>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</si>
  <si>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</si>
  <si>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</si>
  <si>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</si>
  <si>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</si>
  <si>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</si>
  <si>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</si>
  <si>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</si>
  <si>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</si>
  <si>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</si>
  <si>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</si>
  <si>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</si>
  <si>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</si>
  <si>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</si>
  <si>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</si>
  <si>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</si>
  <si>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</si>
  <si>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</si>
  <si>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</si>
  <si>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</si>
  <si>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</si>
  <si>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</si>
  <si>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</si>
  <si>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</si>
  <si>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</si>
  <si>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</si>
  <si>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</si>
  <si>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</si>
  <si>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</si>
  <si>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</si>
  <si>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</si>
  <si>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</si>
  <si>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</si>
  <si>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</si>
  <si>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</si>
  <si>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</si>
  <si>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</si>
  <si>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</si>
  <si>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</si>
  <si>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</si>
  <si>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</si>
  <si>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</si>
  <si>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</si>
  <si>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</si>
  <si>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</si>
  <si>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</si>
  <si>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</si>
  <si>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</si>
  <si>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</si>
  <si>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</si>
  <si>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</si>
  <si>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</si>
  <si>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</si>
  <si>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</si>
  <si>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</si>
  <si>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</si>
  <si>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</si>
  <si>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</si>
  <si>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</si>
  <si>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</si>
  <si>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</si>
  <si>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</si>
  <si>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</si>
  <si>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</si>
  <si>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</si>
  <si>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</si>
  <si>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</si>
  <si>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</si>
  <si>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</si>
  <si>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</si>
  <si>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</si>
  <si>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</si>
  <si>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</si>
  <si>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</si>
  <si>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</si>
  <si>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</si>
  <si>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</si>
  <si>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</si>
  <si>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</si>
  <si>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</si>
  <si>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</si>
  <si>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</si>
  <si>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</si>
  <si>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</si>
  <si>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</si>
  <si>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</si>
  <si>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</si>
  <si>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</si>
  <si>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</si>
  <si>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</si>
  <si>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</si>
  <si>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</si>
  <si>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</si>
  <si>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</si>
  <si>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</si>
  <si>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</si>
  <si>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</si>
  <si>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</si>
  <si>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</si>
  <si>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</si>
  <si>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</si>
  <si>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</si>
  <si>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</si>
  <si>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</si>
  <si>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</si>
  <si>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</si>
  <si>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</si>
  <si>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</si>
  <si>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</si>
  <si>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</si>
  <si>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</si>
  <si>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</si>
  <si>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</si>
  <si>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</si>
  <si>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</si>
  <si>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</si>
  <si>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</si>
  <si>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</si>
  <si>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</si>
  <si>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</si>
  <si>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</si>
  <si>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</si>
  <si>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</si>
  <si>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</si>
  <si>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</si>
  <si>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</si>
  <si>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</si>
  <si>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</si>
  <si>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</si>
  <si>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</si>
  <si>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</si>
  <si>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</si>
  <si>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</si>
  <si>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</si>
  <si>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</si>
  <si>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</si>
  <si>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</si>
  <si>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</si>
  <si>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</si>
  <si>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</si>
  <si>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</si>
  <si>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</si>
  <si>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</si>
  <si>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</si>
  <si>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</si>
  <si>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</si>
  <si>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</si>
  <si>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</si>
  <si>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</si>
  <si>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</si>
  <si>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</si>
  <si>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</si>
  <si>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</si>
  <si>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</si>
  <si>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</si>
  <si>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</si>
  <si>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</si>
  <si>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</si>
  <si>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</si>
  <si>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</si>
  <si>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</si>
  <si>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</si>
  <si>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</si>
  <si>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</si>
  <si>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</si>
  <si>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</si>
  <si>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</si>
  <si>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</si>
  <si>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</si>
  <si>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</si>
  <si>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</si>
  <si>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</si>
  <si>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</si>
  <si>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</si>
  <si>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</si>
  <si>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</si>
  <si>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</si>
  <si>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</si>
  <si>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</si>
  <si>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</si>
  <si>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</si>
  <si>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</si>
  <si>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</si>
  <si>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</si>
  <si>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</si>
  <si>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</si>
  <si>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</si>
  <si>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</si>
  <si>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</si>
  <si>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</si>
  <si>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</si>
  <si>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</si>
  <si>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</si>
  <si>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</si>
  <si>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</si>
  <si>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</si>
  <si>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</si>
  <si>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</si>
  <si>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</si>
  <si>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</si>
  <si>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</si>
  <si>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</si>
  <si>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</si>
  <si>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</si>
  <si>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</si>
  <si>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</si>
  <si>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</si>
  <si>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</si>
  <si>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</si>
  <si>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</si>
  <si>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</si>
  <si>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</si>
  <si>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</si>
  <si>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</si>
  <si>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</si>
  <si>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</si>
  <si>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</si>
  <si>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</si>
  <si>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</si>
  <si>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</si>
  <si>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</si>
  <si>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</si>
  <si>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</si>
  <si>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</si>
  <si>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</si>
  <si>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</si>
  <si>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</si>
  <si>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</si>
  <si>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</si>
  <si>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</si>
  <si>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</si>
  <si>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</si>
  <si>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</si>
  <si>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</si>
  <si>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</si>
  <si>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</si>
  <si>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</si>
  <si>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</si>
  <si>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</si>
  <si>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</si>
  <si>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</si>
  <si>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</si>
  <si>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</si>
  <si>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</si>
  <si>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</si>
  <si>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</si>
  <si>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</si>
  <si>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</si>
  <si>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</si>
  <si>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</si>
  <si>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</si>
  <si>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</si>
  <si>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</si>
  <si>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</si>
  <si>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</si>
  <si>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</si>
  <si>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</si>
  <si>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</si>
  <si>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</si>
  <si>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</si>
  <si>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</si>
  <si>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</si>
  <si>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</si>
  <si>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</si>
  <si>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</si>
  <si>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</si>
  <si>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</si>
  <si>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</si>
  <si>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</si>
  <si>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</si>
  <si>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</si>
  <si>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</si>
  <si>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</si>
  <si>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</si>
  <si>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</si>
  <si>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</si>
  <si>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</si>
  <si>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</si>
  <si>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</si>
  <si>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</si>
  <si>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</si>
  <si>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</si>
  <si>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</si>
  <si>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</si>
  <si>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</si>
  <si>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</si>
  <si>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</si>
  <si>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</si>
  <si>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</si>
  <si>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</si>
  <si>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</si>
  <si>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</si>
  <si>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</si>
  <si>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</si>
  <si>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</si>
  <si>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</si>
  <si>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</si>
  <si>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</si>
  <si>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</si>
  <si>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</si>
  <si>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</si>
  <si>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</si>
  <si>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</si>
  <si>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</si>
  <si>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</si>
  <si>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</si>
  <si>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</si>
  <si>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</si>
  <si>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</si>
  <si>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</si>
  <si>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</si>
  <si>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</si>
  <si>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</si>
  <si>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</si>
  <si>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</si>
  <si>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</si>
  <si>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</si>
  <si>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</si>
  <si>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</si>
  <si>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</si>
  <si>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</si>
  <si>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</si>
  <si>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</si>
  <si>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</si>
  <si>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</si>
  <si>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</si>
  <si>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</si>
  <si>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</si>
  <si>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</si>
  <si>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</si>
  <si>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</si>
  <si>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</si>
  <si>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</si>
  <si>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</si>
  <si>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</si>
  <si>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</si>
  <si>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</si>
  <si>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</si>
  <si>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</si>
  <si>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</si>
  <si>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</si>
  <si>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</si>
  <si>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</si>
  <si>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</si>
  <si>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</si>
  <si>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</si>
  <si>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</si>
  <si>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</si>
  <si>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</si>
  <si>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</si>
  <si>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</si>
  <si>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</si>
  <si>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</si>
  <si>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</si>
  <si>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</si>
  <si>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</si>
  <si>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</si>
  <si>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</si>
  <si>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</si>
  <si>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</si>
  <si>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</si>
  <si>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</si>
  <si>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</si>
  <si>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</si>
  <si>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</si>
  <si>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</si>
  <si>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</si>
  <si>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</si>
  <si>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</si>
  <si>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</si>
  <si>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</si>
  <si>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</si>
  <si>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</si>
  <si>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</si>
  <si>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</si>
  <si>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</si>
  <si>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</si>
  <si>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</si>
  <si>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</si>
  <si>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</si>
  <si>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</si>
  <si>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</si>
  <si>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</si>
  <si>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</si>
  <si>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</si>
  <si>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</si>
  <si>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</si>
  <si>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</si>
  <si>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</si>
  <si>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</si>
  <si>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</si>
  <si>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</si>
  <si>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</si>
  <si>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</si>
  <si>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</si>
  <si>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</si>
  <si>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</si>
  <si>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</si>
  <si>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</si>
  <si>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</si>
  <si>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</si>
  <si>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</si>
  <si>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</si>
  <si>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</si>
  <si>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</si>
  <si>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</si>
  <si>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</si>
  <si>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</si>
  <si>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</si>
  <si>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</si>
  <si>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</si>
  <si>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</si>
  <si>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</si>
  <si>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</si>
  <si>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</si>
  <si>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</si>
  <si>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</si>
  <si>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</si>
  <si>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</si>
  <si>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</si>
  <si>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</si>
  <si>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</si>
  <si>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</si>
  <si>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</si>
  <si>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</si>
  <si>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</si>
  <si>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</si>
  <si>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</si>
  <si>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</si>
  <si>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</si>
  <si>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</si>
  <si>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</si>
  <si>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</si>
  <si>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</si>
  <si>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</si>
  <si>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</si>
  <si>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</si>
  <si>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</si>
  <si>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</si>
  <si>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</si>
  <si>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</si>
  <si>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</si>
  <si>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</si>
  <si>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</si>
  <si>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</si>
  <si>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</si>
  <si>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</si>
  <si>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</si>
  <si>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</si>
  <si>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</si>
  <si>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</si>
  <si>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</si>
  <si>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</si>
  <si>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</si>
  <si>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</si>
  <si>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</si>
  <si>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</si>
  <si>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</si>
  <si>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</si>
  <si>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</si>
  <si>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</si>
  <si>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</si>
  <si>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</si>
  <si>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</si>
  <si>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</si>
  <si>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</si>
  <si>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</si>
  <si>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</si>
  <si>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</si>
  <si>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</si>
  <si>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</si>
  <si>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</si>
  <si>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</si>
  <si>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</si>
  <si>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</si>
  <si>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</si>
  <si>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</si>
  <si>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</si>
  <si>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</si>
  <si>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</si>
  <si>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</si>
  <si>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</si>
  <si>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</si>
  <si>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</si>
  <si>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</si>
  <si>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</si>
  <si>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</si>
  <si>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</si>
  <si>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</si>
  <si>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</si>
  <si>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</si>
  <si>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</si>
  <si>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</si>
  <si>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</si>
  <si>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</si>
  <si>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</si>
  <si>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</si>
  <si>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</si>
  <si>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</si>
  <si>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</si>
  <si>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</si>
  <si>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</si>
  <si>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</si>
  <si>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</si>
  <si>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</si>
  <si>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</si>
  <si>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</si>
  <si>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</si>
  <si>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</si>
  <si>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</si>
  <si>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</si>
  <si>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</si>
  <si>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</si>
  <si>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</si>
  <si>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</si>
  <si>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</si>
  <si>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</si>
  <si>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</si>
  <si>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</si>
  <si>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</si>
  <si>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</si>
  <si>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</si>
  <si>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</si>
  <si>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</si>
  <si>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</si>
  <si>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</si>
  <si>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</si>
  <si>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</si>
  <si>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</si>
  <si>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</si>
  <si>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</si>
  <si>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</si>
  <si>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</si>
  <si>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</si>
  <si>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</si>
  <si>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</si>
  <si>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</si>
  <si>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</si>
  <si>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</si>
  <si>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</si>
  <si>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</si>
  <si>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</si>
  <si>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</si>
  <si>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</si>
  <si>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</si>
  <si>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</si>
  <si>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</si>
  <si>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</si>
  <si>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</si>
  <si>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</si>
  <si>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</si>
  <si>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</si>
  <si>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</si>
  <si>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</si>
  <si>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</si>
  <si>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</si>
  <si>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</si>
  <si>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</si>
  <si>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</si>
  <si>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</si>
  <si>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</si>
  <si>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</si>
  <si>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</si>
  <si>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</si>
  <si>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</si>
  <si>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王鹏</t>
  </si>
  <si>
    <t>崔锴</t>
  </si>
  <si>
    <t>五矿信托</t>
    <phoneticPr fontId="6" type="noConversion"/>
  </si>
  <si>
    <t>抵押价格</t>
  </si>
  <si>
    <t>企业</t>
  </si>
  <si>
    <t>住宅、车库</t>
    <phoneticPr fontId="6" type="noConversion"/>
  </si>
  <si>
    <t>一致</t>
  </si>
  <si>
    <t>车库</t>
  </si>
  <si>
    <t>否</t>
  </si>
  <si>
    <t>办公项目</t>
  </si>
  <si>
    <t>无</t>
  </si>
  <si>
    <t>场地平整</t>
  </si>
  <si>
    <t>平整</t>
  </si>
  <si>
    <t>通路</t>
  </si>
  <si>
    <t>通电</t>
  </si>
  <si>
    <t>通讯</t>
  </si>
  <si>
    <t>通上水</t>
  </si>
  <si>
    <t>通下水</t>
  </si>
  <si>
    <t>燃气</t>
  </si>
  <si>
    <t>洋房</t>
  </si>
  <si>
    <t>洋房</t>
    <phoneticPr fontId="3" type="noConversion"/>
  </si>
  <si>
    <t>地上</t>
  </si>
  <si>
    <t>地下</t>
  </si>
  <si>
    <t>洋房</t>
    <phoneticPr fontId="7" type="noConversion"/>
  </si>
  <si>
    <t>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</si>
  <si>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</si>
  <si>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</si>
  <si>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</si>
  <si>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</si>
  <si>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</si>
  <si>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</si>
  <si>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</si>
  <si>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</si>
  <si>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</si>
  <si>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</si>
  <si>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</si>
  <si>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</si>
  <si>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</si>
  <si>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北京市怀柔区雁栖镇陈各庄村HR00-0010-6047地块R2二类居住用地、HR00-0010-6045和HR00-0010-6054地块S4社会停车场用地</t>
  </si>
  <si>
    <t>综合用地(含住宅)</t>
  </si>
  <si>
    <t>r2≤1.55,s4≤0.1</t>
  </si>
  <si>
    <t>挂牌</t>
  </si>
  <si>
    <t>2019-12-19</t>
  </si>
  <si>
    <t>北京科技园建设(集团)股份有限公司、北京京雁置业有限责任公司、北京北控城市开发有限公司和北京市长城伟业投资开发总公司联合体</t>
  </si>
  <si>
    <t>2星</t>
  </si>
  <si>
    <t>北京市房山区良乡镇FS04-0100-6076等地块R2二类居住用地、A33基础教育用地、F3其他类多功能用地</t>
  </si>
  <si>
    <t>fs04-0100-6076、6077、6078≤2.3,6084、6085≤2.2,a33≤0.8,f3≤3</t>
  </si>
  <si>
    <t>2019-12-12</t>
  </si>
  <si>
    <t>北京骏祥企业管理咨询有限公司</t>
  </si>
  <si>
    <t>北京市房山区拱辰街道FS00-LX09-6001地块R2二类居住用地、FS00-LX09-6003地块A33基础教育用地</t>
  </si>
  <si>
    <t>r2≤2.15,a33≤0.8</t>
  </si>
  <si>
    <t>2019-11-18</t>
  </si>
  <si>
    <t>北京茂越企业管理有限公司</t>
  </si>
  <si>
    <t>3星</t>
  </si>
  <si>
    <t>北京市怀柔区怀柔新城07街区(杨宋镇凤翔一园10号)HR00-0007-6006地块R2二类居住用地</t>
  </si>
  <si>
    <t>住宅用地</t>
  </si>
  <si>
    <t>≤2.2</t>
  </si>
  <si>
    <t>招标</t>
  </si>
  <si>
    <t>2019-09-23</t>
  </si>
  <si>
    <t>北京怀胜城市建设开发有限公司和北京怀胜青春广场置业有限公司联合体</t>
  </si>
  <si>
    <t>北京市顺义区北小营镇顺义新城第30街区30-01-02地块R2二类居住用地、30-01-04地块A33基础教育用地</t>
  </si>
  <si>
    <t>r2≤2,a33≤0.8</t>
  </si>
  <si>
    <t>2019-08-29</t>
  </si>
  <si>
    <t>天津北方彤茂企业管理有限公司和北京城建投资发展股份有限公司联合体</t>
  </si>
  <si>
    <t>北京市顺义区高丽营镇SY02-0102-6001、SY02-0102-6002地块R2二类居住用地</t>
  </si>
  <si>
    <t>≤1.5</t>
  </si>
  <si>
    <t>2019-06-27</t>
  </si>
  <si>
    <t>北京首都开发股份有限公司和富力瑞康有限公司联合体</t>
  </si>
  <si>
    <t>1星</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</si>
  <si>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</si>
  <si>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</si>
  <si>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</si>
  <si>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</si>
  <si>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</si>
  <si>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</si>
  <si>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</si>
  <si>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</si>
  <si>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</si>
  <si>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</si>
  <si>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</si>
  <si>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</si>
  <si>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</si>
  <si>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</si>
  <si>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</si>
  <si>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</si>
  <si>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</si>
  <si>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</si>
  <si>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</si>
  <si>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</si>
  <si>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</si>
  <si>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</si>
  <si>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</si>
  <si>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</si>
  <si>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</si>
  <si>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</si>
  <si>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</si>
  <si>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</si>
  <si>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北京市房山区拱辰街道17-02-10地块F1住宅混合公建用地、17-02-09地块A33基础教育用地</t>
  </si>
  <si>
    <t>北京华发创盛置业有限公司</t>
  </si>
  <si>
    <t>北京市房山区青龙湖镇中心区01-0010、0021地块R2二类居住用地、01-0015地块B4综合性商业金融服务业用地</t>
  </si>
  <si>
    <t>2018-10-19</t>
  </si>
  <si>
    <t>中铁建设集团房地产有限公司</t>
  </si>
  <si>
    <t>北京市房山区青龙湖镇FS16-0201-0005地块R2二类居住用地、FS16-0201-0004地块B4综合性商业金融服务业用地、FS16-0201-0003地块S4社会停车场用地</t>
  </si>
  <si>
    <t>2018-09-13</t>
  </si>
  <si>
    <t>北京首都开发股份有限公司</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</si>
  <si>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</si>
  <si>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</si>
  <si>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</si>
  <si>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</si>
  <si>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</si>
  <si>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</si>
  <si>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</si>
  <si>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</si>
  <si>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北京市怀柔区富密路289号HR-0014-0022地块R2二类居住用地</t>
  </si>
  <si>
    <t>2018-01-18</t>
  </si>
  <si>
    <t>北京京粮置业有限公司</t>
  </si>
  <si>
    <t>北京市顺义区牛栏山镇SY00-0017-6001等地块B1商业用地、R2二类居住用地、F1住宅混合公建用地</t>
  </si>
  <si>
    <t>2017-12-14</t>
  </si>
  <si>
    <t>北京亚通房地产开发有限责任公司(石榴)</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</si>
  <si>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</si>
  <si>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</si>
  <si>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</si>
  <si>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</si>
  <si>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</si>
  <si>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</si>
  <si>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</si>
  <si>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</si>
  <si>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</si>
  <si>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北京中海地产有限公司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</si>
  <si>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</si>
  <si>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</si>
  <si>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</si>
  <si>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</si>
  <si>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</si>
  <si>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房山区周口店镇02-0001等地块R2二类居住用地</t>
  </si>
  <si>
    <t>2017-07-18</t>
  </si>
  <si>
    <t>北京万科企业有限公司和深圳安创投资管理有限公司联合体</t>
  </si>
  <si>
    <t>顺义区后沙峪镇SY00-0019-6001、6003地块R2二类居住用地、SY00-0019-6004地块B1商业用地</t>
  </si>
  <si>
    <t>r2:1.8;b1:2</t>
  </si>
  <si>
    <t>2017-07-13</t>
  </si>
  <si>
    <t>北京市怀柔区庙城中学北棚户区改造前期工作及拟改造土地使用权</t>
  </si>
  <si>
    <t>2017-06-23</t>
  </si>
  <si>
    <t>北京银地澜湾置业有限责任公司</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</si>
  <si>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</si>
  <si>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</si>
  <si>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</si>
  <si>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顺义区高丽营镇于庄03-21、03-31地块R2二类居住用地</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</si>
  <si>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</si>
  <si>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</si>
  <si>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</si>
  <si>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</si>
  <si>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</si>
  <si>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</si>
  <si>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</si>
  <si>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</si>
  <si>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</si>
  <si>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</si>
  <si>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</si>
  <si>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</si>
  <si>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</si>
  <si>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</si>
  <si>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5星</t>
  </si>
  <si>
    <t>正常</t>
  </si>
  <si>
    <t>楼面地价</t>
  </si>
  <si>
    <t>60-70（含）</t>
  </si>
  <si>
    <t>较好</t>
  </si>
  <si>
    <t>七通</t>
  </si>
  <si>
    <t>高层</t>
  </si>
  <si>
    <t>钢混</t>
  </si>
  <si>
    <t>中档</t>
  </si>
  <si>
    <t>精装修</t>
  </si>
  <si>
    <t>专业</t>
  </si>
  <si>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</si>
  <si>
    <t>一般</t>
  </si>
  <si>
    <t>毛坯</t>
  </si>
  <si>
    <t xml:space="preserve">北科建水岸雁栖
</t>
    <phoneticPr fontId="3" type="noConversion"/>
  </si>
  <si>
    <r>
      <rPr>
        <sz val="11"/>
        <color theme="9" tint="-0.249977111117893"/>
        <rFont val="仿宋_GB2312"/>
        <family val="3"/>
        <charset val="134"/>
      </rPr>
      <t>龙山广场</t>
    </r>
    <r>
      <rPr>
        <sz val="11"/>
        <color theme="9" tint="-0.249977111117893"/>
        <rFont val="Arial"/>
        <family val="2"/>
      </rPr>
      <t xml:space="preserve"> </t>
    </r>
    <phoneticPr fontId="3" type="noConversion"/>
  </si>
  <si>
    <t>洋房</t>
    <phoneticPr fontId="21" type="noConversion"/>
  </si>
  <si>
    <t>高层</t>
    <phoneticPr fontId="21" type="noConversion"/>
  </si>
  <si>
    <t>住宅</t>
    <phoneticPr fontId="21" type="noConversion"/>
  </si>
  <si>
    <t>售价</t>
  </si>
  <si>
    <t>下跃</t>
  </si>
  <si>
    <t>下跃</t>
    <phoneticPr fontId="7" type="noConversion"/>
  </si>
  <si>
    <t>不动产收益法</t>
  </si>
  <si>
    <t>土地（套用方法）</t>
  </si>
  <si>
    <t>自定义</t>
  </si>
  <si>
    <t>已全部缴纳</t>
  </si>
  <si>
    <t>比较法-住宅、综合</t>
  </si>
  <si>
    <t>剩余法-待开发</t>
  </si>
  <si>
    <t>仓储</t>
  </si>
  <si>
    <t>住宅</t>
    <phoneticPr fontId="26" type="noConversion"/>
  </si>
  <si>
    <t>住宅、商业、办公</t>
  </si>
  <si>
    <t>住宅、商业、办公</t>
    <phoneticPr fontId="26" type="noConversion"/>
  </si>
  <si>
    <t>按租金收入计税</t>
  </si>
  <si>
    <t>精装修</t>
    <phoneticPr fontId="21" type="noConversion"/>
  </si>
  <si>
    <t>毛坯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</si>
</sst>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0.00_-;\-* #,##0.00_-;_-* &quot;-&quot;??_-;_-@_-"/>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95" fontId="145" fillId="0" borderId="0" applyFont="0" applyFill="0" applyBorder="0" applyAlignment="0" applyProtection="0">
      <alignment vertical="center"/>
    </xf>
    <xf numFmtId="0" fontId="32" fillId="0" borderId="0"/>
  </cellStyleXfs>
  <cellXfs count="35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86" fillId="6" borderId="0" xfId="16" applyFill="1"/>
    <xf numFmtId="0" fontId="0" fillId="6" borderId="0" xfId="0" applyFill="1">
      <alignment vertical="center"/>
    </xf>
    <xf numFmtId="0" fontId="158" fillId="6" borderId="0" xfId="16" applyFont="1" applyFill="1"/>
    <xf numFmtId="0" fontId="147" fillId="6" borderId="0" xfId="0" applyFont="1" applyFill="1">
      <alignment vertical="center"/>
    </xf>
    <xf numFmtId="0" fontId="144" fillId="0" borderId="6" xfId="0" applyNumberFormat="1" applyFont="1" applyFill="1" applyBorder="1" applyAlignment="1" applyProtection="1">
      <alignment horizontal="center" vertical="center" wrapText="1"/>
      <protection locked="0"/>
    </xf>
    <xf numFmtId="184" fontId="71" fillId="0" borderId="62"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8"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184" fontId="71" fillId="0" borderId="33"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8"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184" fontId="71" fillId="0" borderId="33"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0" borderId="24"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10" fontId="71" fillId="0" borderId="2" xfId="1" applyNumberFormat="1" applyFont="1" applyBorder="1" applyAlignment="1" applyProtection="1">
      <alignment horizontal="center" vertical="center"/>
      <protection locked="0"/>
    </xf>
    <xf numFmtId="183" fontId="71" fillId="0" borderId="2" xfId="1" applyNumberFormat="1" applyFont="1" applyBorder="1" applyAlignment="1" applyProtection="1">
      <alignment horizontal="center" vertical="center"/>
      <protection locked="0"/>
    </xf>
    <xf numFmtId="182" fontId="71" fillId="0" borderId="5" xfId="1"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76"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153" fillId="6" borderId="5" xfId="2" applyNumberFormat="1" applyFont="1" applyFill="1" applyBorder="1" applyAlignment="1" applyProtection="1">
      <alignment vertical="center"/>
      <protection locked="0"/>
    </xf>
    <xf numFmtId="178" fontId="158" fillId="6" borderId="12" xfId="2" applyNumberFormat="1" applyFont="1" applyFill="1" applyBorder="1" applyAlignment="1" applyProtection="1">
      <alignment horizontal="center"/>
    </xf>
    <xf numFmtId="0" fontId="153" fillId="2" borderId="30" xfId="0" applyNumberFormat="1" applyFont="1" applyFill="1" applyBorder="1" applyAlignment="1" applyProtection="1">
      <alignment horizontal="center" vertical="center" wrapText="1"/>
      <protection locked="0"/>
    </xf>
    <xf numFmtId="0" fontId="153" fillId="5" borderId="7" xfId="0" applyNumberFormat="1" applyFont="1" applyFill="1" applyBorder="1" applyAlignment="1" applyProtection="1">
      <alignment horizontal="center" vertical="center" wrapText="1"/>
    </xf>
    <xf numFmtId="0" fontId="153" fillId="2" borderId="59" xfId="0" applyNumberFormat="1" applyFont="1" applyFill="1" applyBorder="1" applyAlignment="1" applyProtection="1">
      <alignment horizontal="center" vertical="center" wrapText="1"/>
      <protection locked="0"/>
    </xf>
    <xf numFmtId="0"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49"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49" fontId="153" fillId="2" borderId="20" xfId="0" applyNumberFormat="1" applyFont="1" applyFill="1" applyBorder="1" applyAlignment="1" applyProtection="1">
      <alignment horizontal="center" vertical="center" wrapText="1"/>
      <protection locked="0"/>
    </xf>
    <xf numFmtId="0" fontId="153"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277" fillId="6" borderId="16" xfId="0" applyNumberFormat="1" applyFont="1" applyFill="1" applyBorder="1" applyAlignment="1" applyProtection="1">
      <alignment horizontal="center" vertical="center" wrapText="1"/>
      <protection locked="0"/>
    </xf>
    <xf numFmtId="185" fontId="158" fillId="6" borderId="2" xfId="0" applyNumberFormat="1" applyFont="1" applyFill="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178" fontId="84" fillId="8" borderId="2" xfId="2" applyNumberFormat="1"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0 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570658</xdr:colOff>
      <xdr:row>29</xdr:row>
      <xdr:rowOff>18427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42858" cy="4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北京市出让国有建设用地使用权抵押价格预评估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王鹏、崔锴</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受贵公司委托，我公司对北京市出让国有建设用地使用权抵押价格进行了预评估。</v>
      </c>
      <c r="AM6" s="2855"/>
    </row>
    <row r="7" spans="1:55" s="2829" customFormat="1">
      <c r="A7" s="2830" t="s">
        <v>2654</v>
      </c>
      <c r="B7" s="2831" t="str">
        <f>'预评函-1'!A6</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2656</v>
      </c>
      <c r="B10" s="2831" t="str">
        <f>'预评函-1'!A11</f>
        <v>2020年3月30日（评估专业人员勘察现场之日）</v>
      </c>
    </row>
    <row r="11" spans="1:55" s="2829" customFormat="1">
      <c r="A11" s="2830" t="s">
        <v>2662</v>
      </c>
      <c r="B11" s="2831" t="str">
        <f>'预评函-1'!A14</f>
        <v>根据《国有土地使用证》[]，本次评估估价对象证载（地类）用途为住宅、车库。</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根据委托估价方介绍及评估专业人员现场勘查，本次评估估价对象实际土地开发程度为红线外市政基础设施达“七通”（即通路、通电、通讯、通上水、通下水、燃气、）、宗地红线内场地平整。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根据《国有土地使用证》[]，估价对象（分摊）出让国有建设用地使用权面积为42532.75平方米。根据《建设工程规划许可证》[]、《出让合同》[]，估价对象规划建筑面积为97045平方米。</v>
      </c>
    </row>
    <row r="16" spans="1:55" s="2829" customFormat="1">
      <c r="A16" s="2830" t="s">
        <v>2666</v>
      </c>
      <c r="B16" s="2831" t="str">
        <f>'预评函-1'!A22</f>
        <v>本次估价对象为出让国有建设用地使用权，《国有土地使用证》[]证载土地终止日期为住宅2090年1月6日车库2070年1月6日、仓储2070年1月6日。截至估价期日，出让国有建设用地使用权剩余土地使用年限为。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估价期日：2020年3月30日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住宅、车库</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42532.75</v>
      </c>
    </row>
    <row r="44" spans="1:2">
      <c r="A44" s="2830" t="s">
        <v>2737</v>
      </c>
      <c r="B44" s="2831" t="str">
        <f>'预评函-2'!O3</f>
        <v>规划建筑面积/㎡</v>
      </c>
    </row>
    <row r="45" spans="1:2">
      <c r="A45" s="2830" t="s">
        <v>2719</v>
      </c>
      <c r="B45" s="2831">
        <f>'预评函-2'!O5</f>
        <v>97045</v>
      </c>
    </row>
    <row r="46" spans="1:2">
      <c r="A46" s="2830" t="s">
        <v>2720</v>
      </c>
      <c r="B46" s="2831">
        <f ca="1">'预评函-2'!P5</f>
        <v>37882</v>
      </c>
    </row>
    <row r="47" spans="1:2">
      <c r="A47" s="2830" t="s">
        <v>2721</v>
      </c>
      <c r="B47" s="2831">
        <f ca="1">'预评函-2'!Q5</f>
        <v>16603</v>
      </c>
    </row>
    <row r="48" spans="1:2">
      <c r="A48" s="2830" t="s">
        <v>2722</v>
      </c>
      <c r="B48" s="2831">
        <f ca="1">'预评函-2'!R5</f>
        <v>161123</v>
      </c>
    </row>
    <row r="49" spans="1:2">
      <c r="A49" s="2830" t="s">
        <v>2738</v>
      </c>
      <c r="B49" s="2831" t="str">
        <f>'预评函-2'!A6</f>
        <v>抵押价格</v>
      </c>
    </row>
    <row r="50" spans="1:2">
      <c r="A50" s="2830" t="s">
        <v>2723</v>
      </c>
      <c r="B50" s="2831">
        <f ca="1">'预评函-2'!R6</f>
        <v>158693</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3.估价规划限制条件：详见《建设工程规划许可证》[]、《出让合同》[]。</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综上，本次评估估价师知悉的法定优先受偿款为人民币2430万元整。</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崔锴</v>
      </c>
    </row>
    <row r="72" spans="1:2" s="2845" customFormat="1" ht="15" thickBot="1">
      <c r="A72" s="2852" t="s">
        <v>2688</v>
      </c>
      <c r="B72" s="2858">
        <f ca="1">'预评函-3'!B21</f>
        <v>2010110070</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3" sqref="H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295" t="str">
        <f>IF(B10="北京市","北京市",C10)&amp;F10&amp;B16&amp;"国有建设用地使用权"&amp;B9&amp;"预评估"</f>
        <v>北京市出让国有建设用地使用权抵押价格预评估</v>
      </c>
      <c r="C1" s="3296"/>
      <c r="D1" s="3296"/>
      <c r="E1" s="3296"/>
      <c r="F1" s="3296"/>
      <c r="G1" s="3296"/>
      <c r="H1" s="3296"/>
      <c r="I1" s="3297"/>
      <c r="J1" s="1675"/>
      <c r="K1" s="2416" t="str">
        <f>IF(B10="北京市","北京市",C10)&amp;F10&amp;B16&amp;"国有建设用地使用权"&amp;B9</f>
        <v>北京市出让国有建设用地使用权抵押价格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北京市出让国有建设用地使用权</v>
      </c>
      <c r="L2" s="1704"/>
      <c r="M2" s="1704"/>
      <c r="N2" s="1675"/>
      <c r="O2" s="1676"/>
      <c r="P2" s="1675"/>
      <c r="Q2" s="1675"/>
      <c r="R2" s="1675"/>
      <c r="S2" s="1675"/>
      <c r="T2" s="1675"/>
      <c r="U2" s="1675"/>
    </row>
    <row r="3" spans="1:21">
      <c r="A3" s="1642" t="s">
        <v>1937</v>
      </c>
      <c r="B3" s="1643">
        <v>43920</v>
      </c>
      <c r="C3" s="1644" t="s">
        <v>1993</v>
      </c>
      <c r="D3" s="1643">
        <f>B3</f>
        <v>43920</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2996</v>
      </c>
      <c r="C4" s="1827">
        <f ca="1">SUMIF(土地估价师,B4,估价师及机构信息!E3:E24)</f>
        <v>2002110030</v>
      </c>
      <c r="D4" s="1824" t="s">
        <v>2997</v>
      </c>
      <c r="E4" s="1827">
        <f ca="1">SUMIF(土地估价师,D4,估价师及机构信息!E3:E24)</f>
        <v>2010110070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王鹏、崔锴</v>
      </c>
      <c r="L4" s="1704"/>
      <c r="M4" s="1704"/>
      <c r="N4" s="1675"/>
      <c r="O4" s="1676"/>
      <c r="P4" s="1675"/>
      <c r="Q4" s="1675"/>
      <c r="R4" s="1675"/>
      <c r="S4" s="1675"/>
      <c r="T4" s="1675"/>
      <c r="U4" s="1675"/>
    </row>
    <row r="5" spans="1:21" ht="15"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t="s">
        <v>2998</v>
      </c>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2989</v>
      </c>
      <c r="C8" s="1652"/>
      <c r="D8" s="3301" t="s">
        <v>1942</v>
      </c>
      <c r="E8" s="1825" t="s">
        <v>2999</v>
      </c>
      <c r="F8" s="1653"/>
      <c r="G8" s="1641"/>
      <c r="H8" s="1641"/>
      <c r="I8" s="1688"/>
      <c r="J8" s="1675"/>
      <c r="K8" s="1755"/>
      <c r="L8" s="1704"/>
      <c r="M8" s="1704"/>
      <c r="N8" s="1675"/>
      <c r="O8" s="1676"/>
      <c r="P8" s="1675"/>
      <c r="Q8" s="1675"/>
      <c r="R8" s="1675"/>
      <c r="S8" s="1675"/>
      <c r="T8" s="1675"/>
      <c r="U8" s="1675"/>
    </row>
    <row r="9" spans="1:21" ht="15" thickBot="1">
      <c r="A9" s="1654" t="s">
        <v>1941</v>
      </c>
      <c r="B9" s="1655" t="s">
        <v>2999</v>
      </c>
      <c r="C9" s="1656"/>
      <c r="D9" s="3302"/>
      <c r="E9" s="1655" t="s">
        <v>952</v>
      </c>
      <c r="F9" s="1728"/>
      <c r="G9" s="1723"/>
      <c r="H9" s="1723"/>
      <c r="I9" s="1724"/>
      <c r="J9" s="1675"/>
      <c r="K9" s="1755"/>
      <c r="L9" s="1704"/>
      <c r="M9" s="1704"/>
      <c r="N9" s="1675"/>
      <c r="O9" s="1676"/>
      <c r="P9" s="1675"/>
      <c r="Q9" s="1675"/>
      <c r="R9" s="1675"/>
      <c r="S9" s="1675"/>
      <c r="T9" s="1675"/>
      <c r="U9" s="1675"/>
    </row>
    <row r="10" spans="1:21" ht="15" thickTop="1">
      <c r="A10" s="1725" t="s">
        <v>1997</v>
      </c>
      <c r="B10" s="1700" t="s">
        <v>1943</v>
      </c>
      <c r="C10" s="1657"/>
      <c r="D10" s="1648"/>
      <c r="E10" s="1658" t="s">
        <v>1944</v>
      </c>
      <c r="F10" s="1659"/>
      <c r="G10" s="1726"/>
      <c r="H10" s="1727"/>
      <c r="I10" s="1648"/>
      <c r="J10" s="1675"/>
      <c r="K10" s="1755"/>
      <c r="L10" s="1704"/>
      <c r="M10" s="1704"/>
      <c r="N10" s="1675"/>
      <c r="O10" s="1676"/>
      <c r="P10" s="1675"/>
      <c r="Q10" s="1675"/>
      <c r="R10" s="1675"/>
      <c r="S10" s="1675"/>
      <c r="T10" s="1675"/>
      <c r="U10" s="1675"/>
    </row>
    <row r="11" spans="1:21">
      <c r="A11" s="1678" t="s">
        <v>1998</v>
      </c>
      <c r="B11" s="1679" t="s">
        <v>3000</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298" t="s">
        <v>3001</v>
      </c>
      <c r="C12" s="3299"/>
      <c r="D12" s="3300"/>
      <c r="E12" s="1680" t="s">
        <v>2059</v>
      </c>
      <c r="F12" s="3316" t="s">
        <v>2886</v>
      </c>
      <c r="G12" s="3317"/>
      <c r="H12" s="3317"/>
      <c r="I12" s="3318"/>
      <c r="J12" s="1675"/>
      <c r="K12" s="1755"/>
      <c r="L12" s="1704"/>
      <c r="M12" s="1704"/>
      <c r="N12" s="1675"/>
      <c r="O12" s="1676"/>
      <c r="P12" s="1675"/>
      <c r="Q12" s="1675"/>
      <c r="R12" s="1675"/>
      <c r="S12" s="1675"/>
      <c r="T12" s="1675"/>
      <c r="U12" s="1675"/>
    </row>
    <row r="13" spans="1:21">
      <c r="A13" s="1668" t="s">
        <v>2057</v>
      </c>
      <c r="B13" s="3298"/>
      <c r="C13" s="3299"/>
      <c r="D13" s="3300"/>
      <c r="E13" s="1680" t="s">
        <v>2059</v>
      </c>
      <c r="F13" s="3316" t="s">
        <v>2887</v>
      </c>
      <c r="G13" s="3317"/>
      <c r="H13" s="3317"/>
      <c r="I13" s="3318"/>
      <c r="J13" s="1675"/>
      <c r="K13" s="1755"/>
      <c r="L13" s="1704"/>
      <c r="M13" s="1704"/>
      <c r="N13" s="1675"/>
      <c r="O13" s="1676"/>
      <c r="P13" s="1675"/>
      <c r="Q13" s="1675"/>
      <c r="R13" s="1675"/>
      <c r="S13" s="1675"/>
      <c r="T13" s="1675"/>
      <c r="U13" s="1675"/>
    </row>
    <row r="14" spans="1:21">
      <c r="A14" s="1642" t="s">
        <v>2060</v>
      </c>
      <c r="B14" s="1680"/>
      <c r="C14" s="1826" t="s">
        <v>3002</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28.5">
      <c r="A16" s="1661" t="s">
        <v>1945</v>
      </c>
      <c r="B16" s="1662" t="s">
        <v>2984</v>
      </c>
      <c r="C16" s="1680" t="s">
        <v>1946</v>
      </c>
      <c r="D16" s="2607" t="s">
        <v>1947</v>
      </c>
      <c r="E16" s="1703"/>
      <c r="F16" s="1703"/>
      <c r="G16" s="1703" t="s">
        <v>3003</v>
      </c>
      <c r="H16" s="1703" t="s">
        <v>3185</v>
      </c>
      <c r="I16" s="1667" t="s">
        <v>1952</v>
      </c>
      <c r="J16" s="1675"/>
      <c r="K16" s="2417" t="str">
        <f>IF(D17="","",D16&amp;TEXT(D17,"yyyy年m月d日;;"))</f>
        <v>住宅2090年1月6日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车库2070年1月6日</v>
      </c>
      <c r="R16" s="1680" t="str">
        <f>IF(OR(Q16="",S16=""),"","、")</f>
        <v>、</v>
      </c>
      <c r="S16" s="2417" t="str">
        <f>IF(H17="","",H16&amp;TEXT(H17,"yyyy年m月d日;;"))</f>
        <v>仓储2070年1月6日</v>
      </c>
      <c r="T16" s="1680" t="str">
        <f>IF(OR(S16="",U16=""),"","、")</f>
        <v/>
      </c>
      <c r="U16" s="2417" t="str">
        <f>IF(I17="","",I16&amp;TEXT(I17,"yyyy年m月d日;;"))</f>
        <v/>
      </c>
    </row>
    <row r="17" spans="1:21">
      <c r="A17" s="1744"/>
      <c r="B17" s="1663"/>
      <c r="C17" s="1664" t="s">
        <v>1953</v>
      </c>
      <c r="D17" s="1681">
        <v>69404</v>
      </c>
      <c r="E17" s="1681"/>
      <c r="F17" s="1681"/>
      <c r="G17" s="1681">
        <v>62099</v>
      </c>
      <c r="H17" s="1681">
        <f>G17</f>
        <v>62099</v>
      </c>
      <c r="I17" s="1681"/>
      <c r="J17" s="1675"/>
      <c r="K17" s="2416" t="str">
        <f>CONCATENATE(K16,L16,M16,N16,O16,P16,Q16,R16,S16,T16,,U16)</f>
        <v>住宅2090年1月6日车库2070年1月6日、仓储2070年1月6日</v>
      </c>
      <c r="L17" s="1704"/>
      <c r="M17" s="1704"/>
      <c r="N17" s="1675"/>
      <c r="O17" s="1676"/>
      <c r="P17" s="1675"/>
      <c r="Q17" s="1675"/>
      <c r="R17" s="1675"/>
      <c r="S17" s="1675"/>
      <c r="T17" s="1675"/>
      <c r="U17" s="1675"/>
    </row>
    <row r="18" spans="1:21">
      <c r="A18" s="1744"/>
      <c r="B18" s="1663"/>
      <c r="C18" s="1664" t="s">
        <v>1954</v>
      </c>
      <c r="D18" s="1665">
        <v>70</v>
      </c>
      <c r="E18" s="1665"/>
      <c r="F18" s="1665"/>
      <c r="G18" s="1665">
        <v>50</v>
      </c>
      <c r="H18" s="1665">
        <v>50</v>
      </c>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69.81</v>
      </c>
      <c r="E19" s="1666" t="str">
        <f>IF(B16="出让",IF(E17="","",ROUNDDOWN(MIN((E17-$D$3)/365,E18),2)),E18)</f>
        <v/>
      </c>
      <c r="F19" s="1666" t="str">
        <f>IF(B16="出让",IF(F17="","",ROUNDDOWN(MIN((F17-$D$3)/365,F18),2)),F18)</f>
        <v/>
      </c>
      <c r="G19" s="1666">
        <f>IF(B16="出让",IF(G17="","",ROUNDDOWN(MIN((G17-$D$3)/365,G18),2)),G18)</f>
        <v>49.8</v>
      </c>
      <c r="H19" s="1666">
        <f>IF(B16="出让",IF(H17="","",ROUNDDOWN(MIN((H17-$D$3)/365,H18),2)),H18)</f>
        <v>49.8</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313"/>
      <c r="E20" s="3314"/>
      <c r="F20" s="3314"/>
      <c r="G20" s="3314"/>
      <c r="H20" s="3314"/>
      <c r="I20" s="3315"/>
      <c r="J20" s="1675"/>
      <c r="K20" s="1755"/>
      <c r="L20" s="1704"/>
      <c r="M20" s="1704"/>
      <c r="N20" s="1675"/>
      <c r="O20" s="1676"/>
      <c r="P20" s="1675"/>
      <c r="Q20" s="1675"/>
      <c r="R20" s="1675"/>
      <c r="S20" s="1675"/>
      <c r="T20" s="1675"/>
      <c r="U20" s="1675"/>
    </row>
    <row r="21" spans="1:21">
      <c r="A21" s="1744" t="s">
        <v>1956</v>
      </c>
      <c r="B21" s="1745" t="s">
        <v>1957</v>
      </c>
      <c r="C21" s="1740">
        <f>'数据-汇总表'!E3</f>
        <v>97045</v>
      </c>
      <c r="D21" s="1741" t="s">
        <v>1958</v>
      </c>
      <c r="E21" s="3303" t="s">
        <v>1996</v>
      </c>
      <c r="F21" s="3304"/>
      <c r="G21" s="3304"/>
      <c r="H21" s="3304"/>
      <c r="I21" s="3305"/>
      <c r="J21" s="1675"/>
      <c r="K21" s="1755"/>
      <c r="L21" s="1704"/>
      <c r="M21" s="1704"/>
      <c r="N21" s="1675"/>
      <c r="O21" s="1676"/>
      <c r="P21" s="1675"/>
      <c r="Q21" s="1675"/>
      <c r="R21" s="1675"/>
      <c r="S21" s="1675"/>
      <c r="T21" s="1675"/>
      <c r="U21" s="1675"/>
    </row>
    <row r="22" spans="1:21">
      <c r="A22" s="3092" t="s">
        <v>952</v>
      </c>
      <c r="B22" s="1642" t="s">
        <v>1959</v>
      </c>
      <c r="C22" s="1667">
        <f>'数据-汇总表'!D3</f>
        <v>42532.75</v>
      </c>
      <c r="D22" s="1668" t="s">
        <v>1958</v>
      </c>
      <c r="E22" s="3303" t="s">
        <v>2888</v>
      </c>
      <c r="F22" s="3304"/>
      <c r="G22" s="3304"/>
      <c r="H22" s="3304"/>
      <c r="I22" s="3305"/>
      <c r="J22" s="1675"/>
      <c r="K22" s="1755"/>
      <c r="L22" s="1704"/>
      <c r="M22" s="1704"/>
      <c r="N22" s="1675"/>
      <c r="O22" s="1676"/>
      <c r="P22" s="1675"/>
      <c r="Q22" s="1675"/>
      <c r="R22" s="1675"/>
      <c r="S22" s="1675"/>
      <c r="T22" s="1675"/>
      <c r="U22" s="1675"/>
    </row>
    <row r="23" spans="1:21" ht="43.5" thickBot="1">
      <c r="A23" s="1746" t="s">
        <v>1960</v>
      </c>
      <c r="B23" s="1682" t="s">
        <v>1961</v>
      </c>
      <c r="C23" s="1683" t="s">
        <v>3004</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306" t="s">
        <v>1964</v>
      </c>
      <c r="C24" s="3307"/>
      <c r="D24" s="3308" t="s">
        <v>1965</v>
      </c>
      <c r="E24" s="3309"/>
      <c r="F24" s="1689" t="s">
        <v>1966</v>
      </c>
      <c r="G24" s="1675"/>
      <c r="H24" s="1675"/>
      <c r="I24" s="1688"/>
      <c r="J24" s="1675"/>
      <c r="K24" s="3294"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1968</v>
      </c>
      <c r="D25" s="1691"/>
      <c r="E25" s="1692" t="s">
        <v>952</v>
      </c>
      <c r="F25" s="1693"/>
      <c r="G25" s="1675"/>
      <c r="H25" s="1675"/>
      <c r="I25" s="1688"/>
      <c r="J25" s="1675"/>
      <c r="K25" s="329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1969</v>
      </c>
      <c r="C26" s="1690" t="s">
        <v>2324</v>
      </c>
      <c r="D26" s="1641"/>
      <c r="E26" s="1641"/>
      <c r="F26" s="1669"/>
      <c r="G26" s="1675"/>
      <c r="H26" s="1675"/>
      <c r="I26" s="1688"/>
      <c r="J26" s="1675"/>
      <c r="K26" s="329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80" t="s">
        <v>1999</v>
      </c>
      <c r="B31" s="1745" t="s">
        <v>2000</v>
      </c>
      <c r="C31" s="3319" t="s">
        <v>3005</v>
      </c>
      <c r="D31" s="3320"/>
      <c r="E31" s="1675"/>
      <c r="F31" s="1675"/>
      <c r="G31" s="1675"/>
      <c r="H31" s="1675"/>
      <c r="I31" s="1688"/>
      <c r="J31" s="1675"/>
      <c r="K31" s="2419"/>
      <c r="L31" s="1675"/>
      <c r="M31" s="1675"/>
      <c r="N31" s="1675"/>
      <c r="O31" s="1675"/>
      <c r="P31" s="1675"/>
      <c r="Q31" s="1675"/>
      <c r="R31" s="1675"/>
      <c r="S31" s="1675"/>
      <c r="T31" s="1675"/>
      <c r="U31" s="1675"/>
    </row>
    <row r="32" spans="1:21">
      <c r="A32" s="3280"/>
      <c r="B32" s="1642" t="s">
        <v>2001</v>
      </c>
      <c r="C32" s="1700" t="s">
        <v>3006</v>
      </c>
      <c r="D32" s="1701"/>
      <c r="E32" s="1675"/>
      <c r="F32" s="1675"/>
      <c r="G32" s="1675"/>
      <c r="H32" s="1675"/>
      <c r="I32" s="1688"/>
      <c r="J32" s="1675"/>
      <c r="K32" s="2419"/>
      <c r="L32" s="1675"/>
      <c r="M32" s="1675"/>
      <c r="N32" s="1675"/>
      <c r="O32" s="1675"/>
      <c r="P32" s="1675"/>
      <c r="Q32" s="1675"/>
      <c r="R32" s="1675"/>
      <c r="S32" s="1675"/>
      <c r="T32" s="1675"/>
      <c r="U32" s="1675"/>
    </row>
    <row r="33" spans="1:21">
      <c r="A33" s="3280"/>
      <c r="B33" s="1642" t="s">
        <v>2002</v>
      </c>
      <c r="C33" s="1702" t="s">
        <v>3004</v>
      </c>
      <c r="D33" s="1819"/>
      <c r="E33" s="1675"/>
      <c r="F33" s="1675"/>
      <c r="G33" s="1675"/>
      <c r="H33" s="1675"/>
      <c r="I33" s="1688"/>
      <c r="J33" s="1675"/>
      <c r="K33" s="2419"/>
      <c r="L33" s="1675"/>
      <c r="M33" s="1675"/>
      <c r="N33" s="1675"/>
      <c r="O33" s="1675"/>
      <c r="P33" s="1675"/>
      <c r="Q33" s="1675"/>
      <c r="R33" s="1675"/>
      <c r="S33" s="1675"/>
      <c r="T33" s="1675"/>
      <c r="U33" s="1675"/>
    </row>
    <row r="34" spans="1:21">
      <c r="A34" s="3281"/>
      <c r="B34" s="1642" t="s">
        <v>2003</v>
      </c>
      <c r="C34" s="3282"/>
      <c r="D34" s="3283"/>
      <c r="E34" s="1675"/>
      <c r="F34" s="1675"/>
      <c r="G34" s="1675"/>
      <c r="H34" s="1675"/>
      <c r="I34" s="1688"/>
      <c r="J34" s="1675"/>
      <c r="K34" s="2419"/>
      <c r="L34" s="1675"/>
      <c r="M34" s="1675"/>
      <c r="N34" s="1675"/>
      <c r="O34" s="1675"/>
      <c r="P34" s="1675"/>
      <c r="Q34" s="1675"/>
      <c r="R34" s="1675"/>
      <c r="S34" s="1675"/>
      <c r="T34" s="1675"/>
      <c r="U34" s="1675"/>
    </row>
    <row r="35" spans="1:21">
      <c r="A35" s="3284" t="s">
        <v>847</v>
      </c>
      <c r="B35" s="1703" t="s">
        <v>3007</v>
      </c>
      <c r="C35" s="1757" t="str">
        <f>IF(B35="场地平整","——","具体情况：")</f>
        <v>——</v>
      </c>
      <c r="D35" s="3286"/>
      <c r="E35" s="3287"/>
      <c r="F35" s="3287"/>
      <c r="G35" s="3287"/>
      <c r="H35" s="3287"/>
      <c r="I35" s="3288"/>
      <c r="J35" s="1675"/>
      <c r="K35" s="1756"/>
      <c r="L35" s="1704"/>
      <c r="M35" s="1704"/>
      <c r="N35" s="1675"/>
      <c r="O35" s="1676"/>
      <c r="P35" s="1675"/>
      <c r="Q35" s="1675"/>
      <c r="R35" s="1675"/>
      <c r="S35" s="1675"/>
      <c r="T35" s="1675"/>
      <c r="U35" s="1675"/>
    </row>
    <row r="36" spans="1:21">
      <c r="A36" s="3280"/>
      <c r="B36" s="3289" t="s">
        <v>2052</v>
      </c>
      <c r="C36" s="3290"/>
      <c r="D36" s="1773" t="s">
        <v>3008</v>
      </c>
      <c r="E36" s="3291"/>
      <c r="F36" s="3291"/>
      <c r="G36" s="1668" t="str">
        <f>IF(B35="场地未平整","估价结果处理","")</f>
        <v/>
      </c>
      <c r="H36" s="3292"/>
      <c r="I36" s="3292"/>
      <c r="J36" s="1675"/>
      <c r="K36" s="1756"/>
      <c r="L36" s="1704"/>
      <c r="M36" s="1704"/>
      <c r="N36" s="1675"/>
      <c r="O36" s="1676"/>
      <c r="P36" s="1675"/>
      <c r="Q36" s="1675"/>
      <c r="R36" s="1675"/>
      <c r="S36" s="1675"/>
      <c r="T36" s="1675"/>
      <c r="U36" s="1675"/>
    </row>
    <row r="37" spans="1:21" ht="28.5">
      <c r="A37" s="3280"/>
      <c r="B37" s="3310" t="s">
        <v>848</v>
      </c>
      <c r="C37" s="1705" t="s">
        <v>849</v>
      </c>
      <c r="D37" s="1706">
        <v>44198</v>
      </c>
      <c r="E37" s="1707"/>
      <c r="F37" s="1675"/>
      <c r="G37" s="1675"/>
      <c r="H37" s="1675"/>
      <c r="I37" s="1688"/>
      <c r="J37" s="1675"/>
      <c r="K37" s="1756"/>
      <c r="L37" s="1675"/>
      <c r="M37" s="1675"/>
      <c r="N37" s="1675"/>
      <c r="O37" s="1675"/>
      <c r="P37" s="1675"/>
      <c r="Q37" s="1675"/>
      <c r="R37" s="1675"/>
      <c r="S37" s="1675"/>
      <c r="T37" s="1675"/>
      <c r="U37" s="1675"/>
    </row>
    <row r="38" spans="1:21">
      <c r="A38" s="3280"/>
      <c r="B38" s="3311"/>
      <c r="C38" s="1650" t="s">
        <v>850</v>
      </c>
      <c r="D38" s="1772">
        <f>ROUNDDOWN(MIN(('数据-取费表'!$B$2-D37)/365,D34),1)</f>
        <v>-0.7</v>
      </c>
      <c r="E38" s="1708" t="s">
        <v>851</v>
      </c>
      <c r="F38" s="1675"/>
      <c r="G38" s="1675"/>
      <c r="H38" s="1675"/>
      <c r="I38" s="1688"/>
      <c r="J38" s="1675"/>
      <c r="K38" s="1756"/>
      <c r="L38" s="1675"/>
      <c r="M38" s="1675"/>
      <c r="N38" s="1675"/>
      <c r="O38" s="1675"/>
      <c r="P38" s="1675"/>
      <c r="Q38" s="1675"/>
      <c r="R38" s="1675"/>
      <c r="S38" s="1675"/>
      <c r="T38" s="1675"/>
      <c r="U38" s="1675"/>
    </row>
    <row r="39" spans="1:21">
      <c r="A39" s="3281"/>
      <c r="B39" s="3312"/>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3009</v>
      </c>
      <c r="C40" s="1671" t="s">
        <v>3010</v>
      </c>
      <c r="D40" s="1671" t="s">
        <v>3011</v>
      </c>
      <c r="E40" s="1671" t="s">
        <v>3012</v>
      </c>
      <c r="F40" s="1671" t="s">
        <v>3013</v>
      </c>
      <c r="G40" s="1671" t="s">
        <v>3014</v>
      </c>
      <c r="H40" s="1671"/>
      <c r="I40" s="1688"/>
      <c r="J40" s="1675"/>
      <c r="K40" s="1711">
        <f>COUNTIF(B40:H40,"——")</f>
        <v>0</v>
      </c>
      <c r="L40" s="1680" t="s">
        <v>1976</v>
      </c>
      <c r="M40" s="1677" t="s">
        <v>1977</v>
      </c>
      <c r="N40" s="1677" t="s">
        <v>1978</v>
      </c>
      <c r="O40" s="1677" t="s">
        <v>1979</v>
      </c>
      <c r="P40" s="1677" t="s">
        <v>1980</v>
      </c>
      <c r="Q40" s="1677" t="s">
        <v>1981</v>
      </c>
      <c r="R40" s="1677" t="s">
        <v>1982</v>
      </c>
      <c r="S40" s="3293" t="s">
        <v>1983</v>
      </c>
      <c r="T40" s="1712" t="str">
        <f>NUMBERSTRING(7-K40,1)&amp;"通"</f>
        <v>七通</v>
      </c>
      <c r="U40" s="1675"/>
    </row>
    <row r="41" spans="1:21">
      <c r="A41" s="1644"/>
      <c r="B41" s="3285" t="s">
        <v>1721</v>
      </c>
      <c r="C41" s="3285"/>
      <c r="D41" s="3285"/>
      <c r="E41" s="3285"/>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通路、通电、通讯、通上水、通下水、燃气</v>
      </c>
      <c r="R41" s="1715" t="str">
        <f>B40&amp;"、"&amp;C40&amp;"、"&amp;D40&amp;"、"&amp;E40&amp;"、"&amp;F40&amp;"、"&amp;G40&amp;"、"&amp;H40</f>
        <v>通路、通电、通讯、通上水、通下水、燃气、</v>
      </c>
      <c r="S41" s="3293"/>
      <c r="T41" s="1714" t="str">
        <f>IF(T40="一通",L41,IF(T40="二通",M41,IF(T40="三通",N41,IF(T40="四通",O41,IF(T40="五通",P41,IF(T40="六通",Q41,R41))))))</f>
        <v>通路、通电、通讯、通上水、通下水、燃气、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t="s">
        <v>1415</v>
      </c>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2889</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2331</v>
      </c>
      <c r="BA2" s="2322"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45274.62</v>
      </c>
      <c r="B3" s="22">
        <f>IF(C3="否",G5-AT5,G5)</f>
        <v>103301</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103301</v>
      </c>
      <c r="H5" s="27">
        <f t="shared" ref="H5:AT5" si="0">SUM(H13:H641)</f>
        <v>91455</v>
      </c>
      <c r="I5" s="27">
        <f t="shared" si="0"/>
        <v>67178</v>
      </c>
      <c r="J5" s="27">
        <f t="shared" si="0"/>
        <v>0</v>
      </c>
      <c r="K5" s="27">
        <f t="shared" si="0"/>
        <v>16471</v>
      </c>
      <c r="L5" s="27">
        <f t="shared" si="0"/>
        <v>0</v>
      </c>
      <c r="M5" s="27">
        <f t="shared" si="0"/>
        <v>7806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5590</v>
      </c>
      <c r="AD5" s="27">
        <f t="shared" si="0"/>
        <v>590</v>
      </c>
      <c r="AE5" s="27">
        <f t="shared" si="0"/>
        <v>0</v>
      </c>
      <c r="AF5" s="27">
        <f t="shared" si="0"/>
        <v>2636</v>
      </c>
      <c r="AG5" s="27">
        <f t="shared" si="0"/>
        <v>0</v>
      </c>
      <c r="AH5" s="27">
        <f t="shared" si="0"/>
        <v>0</v>
      </c>
      <c r="AI5" s="27">
        <f t="shared" si="0"/>
        <v>0</v>
      </c>
      <c r="AJ5" s="27">
        <f t="shared" si="0"/>
        <v>0</v>
      </c>
      <c r="AK5" s="27">
        <f t="shared" si="0"/>
        <v>0</v>
      </c>
      <c r="AL5" s="27">
        <f t="shared" si="0"/>
        <v>0</v>
      </c>
      <c r="AM5" s="27">
        <f t="shared" si="0"/>
        <v>0</v>
      </c>
      <c r="AN5" s="27">
        <f t="shared" si="0"/>
        <v>2364</v>
      </c>
      <c r="AO5" s="27">
        <f t="shared" si="0"/>
        <v>0</v>
      </c>
      <c r="AP5" s="27">
        <f t="shared" si="0"/>
        <v>0</v>
      </c>
      <c r="AQ5" s="27">
        <f t="shared" si="0"/>
        <v>0</v>
      </c>
      <c r="AR5" s="27">
        <f t="shared" si="0"/>
        <v>0</v>
      </c>
      <c r="AS5" s="27">
        <f t="shared" si="0"/>
        <v>0</v>
      </c>
      <c r="AT5" s="27">
        <f t="shared" si="0"/>
        <v>6256</v>
      </c>
      <c r="AU5" s="985"/>
      <c r="AV5" s="26" t="s">
        <v>168</v>
      </c>
      <c r="AW5" s="986"/>
      <c r="AX5" s="986"/>
      <c r="AY5" s="28" t="s">
        <v>3</v>
      </c>
      <c r="AZ5" s="29">
        <f t="shared" ref="AZ5:BT5" si="1">SUM(AZ13:AZ641)</f>
        <v>97045</v>
      </c>
      <c r="BA5" s="29">
        <f t="shared" si="1"/>
        <v>91455</v>
      </c>
      <c r="BB5" s="29">
        <f t="shared" si="1"/>
        <v>67178</v>
      </c>
      <c r="BC5" s="29">
        <f t="shared" si="1"/>
        <v>16471</v>
      </c>
      <c r="BD5" s="29">
        <f t="shared" si="1"/>
        <v>7806</v>
      </c>
      <c r="BE5" s="29">
        <f t="shared" si="1"/>
        <v>0</v>
      </c>
      <c r="BF5" s="29">
        <f t="shared" si="1"/>
        <v>0</v>
      </c>
      <c r="BG5" s="29">
        <f t="shared" si="1"/>
        <v>0</v>
      </c>
      <c r="BH5" s="29">
        <f t="shared" si="1"/>
        <v>0</v>
      </c>
      <c r="BI5" s="29">
        <f t="shared" si="1"/>
        <v>0</v>
      </c>
      <c r="BJ5" s="29">
        <f t="shared" si="1"/>
        <v>0</v>
      </c>
      <c r="BK5" s="29">
        <f t="shared" si="1"/>
        <v>0</v>
      </c>
      <c r="BL5" s="29">
        <f t="shared" si="1"/>
        <v>5590</v>
      </c>
      <c r="BM5" s="29">
        <f t="shared" si="1"/>
        <v>590</v>
      </c>
      <c r="BN5" s="29">
        <f t="shared" si="1"/>
        <v>2636</v>
      </c>
      <c r="BO5" s="29">
        <f t="shared" si="1"/>
        <v>0</v>
      </c>
      <c r="BP5" s="29">
        <f t="shared" si="1"/>
        <v>0</v>
      </c>
      <c r="BQ5" s="29">
        <f t="shared" si="1"/>
        <v>0</v>
      </c>
      <c r="BR5" s="29">
        <f t="shared" si="1"/>
        <v>2364</v>
      </c>
      <c r="BS5" s="29">
        <f t="shared" si="1"/>
        <v>0</v>
      </c>
      <c r="BT5" s="30">
        <f t="shared" si="1"/>
        <v>0</v>
      </c>
    </row>
    <row r="6" spans="1:72" s="37" customFormat="1" ht="12.75">
      <c r="A6" s="26" t="s">
        <v>169</v>
      </c>
      <c r="B6" s="31"/>
      <c r="C6" s="31"/>
      <c r="D6" s="32"/>
      <c r="E6" s="27">
        <f>H6+AC6+AT6</f>
        <v>42532.74</v>
      </c>
      <c r="F6" s="27" t="s">
        <v>1</v>
      </c>
      <c r="G6" s="27" t="s">
        <v>2</v>
      </c>
      <c r="H6" s="33">
        <f>SUMIF(I$12:AB$12,"总值",I6:AB6)</f>
        <v>40082.769999999997</v>
      </c>
      <c r="I6" s="27">
        <f t="shared" ref="I6:AB6" si="2">ROUND($A$3*I5/$B$3,2)</f>
        <v>29442.68</v>
      </c>
      <c r="J6" s="27">
        <f t="shared" si="2"/>
        <v>0</v>
      </c>
      <c r="K6" s="27">
        <f t="shared" si="2"/>
        <v>7218.89</v>
      </c>
      <c r="L6" s="27">
        <f t="shared" si="2"/>
        <v>0</v>
      </c>
      <c r="M6" s="27">
        <f t="shared" si="2"/>
        <v>3421.2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2449.9699999999998</v>
      </c>
      <c r="AD6" s="27">
        <f t="shared" ref="AD6:AS6" si="3">ROUND($A$3*AD5/$B$3,2)</f>
        <v>258.58</v>
      </c>
      <c r="AE6" s="27">
        <f t="shared" si="3"/>
        <v>0</v>
      </c>
      <c r="AF6" s="27">
        <f t="shared" si="3"/>
        <v>1155.3</v>
      </c>
      <c r="AG6" s="27">
        <f t="shared" si="3"/>
        <v>0</v>
      </c>
      <c r="AH6" s="27">
        <f t="shared" si="3"/>
        <v>0</v>
      </c>
      <c r="AI6" s="27">
        <f t="shared" si="3"/>
        <v>0</v>
      </c>
      <c r="AJ6" s="27">
        <f t="shared" si="3"/>
        <v>0</v>
      </c>
      <c r="AK6" s="27">
        <f t="shared" si="3"/>
        <v>0</v>
      </c>
      <c r="AL6" s="27">
        <f t="shared" si="3"/>
        <v>0</v>
      </c>
      <c r="AM6" s="27">
        <f t="shared" si="3"/>
        <v>0</v>
      </c>
      <c r="AN6" s="27">
        <f t="shared" si="3"/>
        <v>1036.0899999999999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42532.75</v>
      </c>
      <c r="AZ6" s="27" t="s">
        <v>3</v>
      </c>
      <c r="BA6" s="27">
        <f>ROUND($AY$6*BA5/$AZ$5,2)</f>
        <v>40082.769999999997</v>
      </c>
      <c r="BB6" s="27">
        <f>ROUND($AY$6*BB5/$AZ$5,2)</f>
        <v>29442.68</v>
      </c>
      <c r="BC6" s="27">
        <f t="shared" ref="BC6:BH6" si="4">ROUND($AY$6*BC5/$AZ$5,2)</f>
        <v>7218.89</v>
      </c>
      <c r="BD6" s="27">
        <f t="shared" si="4"/>
        <v>3421.2</v>
      </c>
      <c r="BE6" s="27">
        <f t="shared" si="4"/>
        <v>0</v>
      </c>
      <c r="BF6" s="27">
        <f t="shared" si="4"/>
        <v>0</v>
      </c>
      <c r="BG6" s="27">
        <f t="shared" si="4"/>
        <v>0</v>
      </c>
      <c r="BH6" s="27">
        <f t="shared" si="4"/>
        <v>0</v>
      </c>
      <c r="BI6" s="27">
        <f t="shared" ref="BI6:BT6" si="5">ROUND($AY$6*BI5/$AZ$5,2)</f>
        <v>0</v>
      </c>
      <c r="BJ6" s="27">
        <f t="shared" si="5"/>
        <v>0</v>
      </c>
      <c r="BK6" s="27">
        <f t="shared" si="5"/>
        <v>0</v>
      </c>
      <c r="BL6" s="27">
        <f t="shared" si="5"/>
        <v>2449.98</v>
      </c>
      <c r="BM6" s="27">
        <f t="shared" si="5"/>
        <v>258.58</v>
      </c>
      <c r="BN6" s="27">
        <f t="shared" si="5"/>
        <v>1155.3</v>
      </c>
      <c r="BO6" s="27">
        <f t="shared" si="5"/>
        <v>0</v>
      </c>
      <c r="BP6" s="27">
        <f t="shared" si="5"/>
        <v>0</v>
      </c>
      <c r="BQ6" s="27">
        <f t="shared" si="5"/>
        <v>0</v>
      </c>
      <c r="BR6" s="27">
        <f t="shared" si="5"/>
        <v>1036.0899999999999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7" t="s">
        <v>3017</v>
      </c>
      <c r="J9" s="51"/>
      <c r="K9" s="2967" t="s">
        <v>3018</v>
      </c>
      <c r="L9" s="51"/>
      <c r="M9" s="2967"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7" t="s">
        <v>923</v>
      </c>
      <c r="J10" s="51"/>
      <c r="K10" s="2969" t="s">
        <v>3003</v>
      </c>
      <c r="L10" s="51"/>
      <c r="M10" s="2969" t="s">
        <v>3185</v>
      </c>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t="s">
        <v>3015</v>
      </c>
      <c r="J11" s="71"/>
      <c r="K11" s="2968" t="s">
        <v>3003</v>
      </c>
      <c r="L11" s="71"/>
      <c r="M11" s="70" t="s">
        <v>3015</v>
      </c>
      <c r="N11" s="71"/>
      <c r="O11" s="70"/>
      <c r="P11" s="71"/>
      <c r="Q11" s="70"/>
      <c r="R11" s="71"/>
      <c r="S11" s="70"/>
      <c r="T11" s="71"/>
      <c r="U11" s="70"/>
      <c r="V11" s="71"/>
      <c r="W11" s="70"/>
      <c r="X11" s="71"/>
      <c r="Y11" s="70"/>
      <c r="Z11" s="71"/>
      <c r="AA11" s="70"/>
      <c r="AB11" s="71"/>
      <c r="AC11" s="55"/>
      <c r="AD11" s="2316" t="s">
        <v>2328</v>
      </c>
      <c r="AE11" s="999"/>
      <c r="AF11" s="2316" t="s">
        <v>2328</v>
      </c>
      <c r="AG11" s="999"/>
      <c r="AH11" s="2316" t="s">
        <v>2327</v>
      </c>
      <c r="AI11" s="2317"/>
      <c r="AJ11" s="2316" t="s">
        <v>2327</v>
      </c>
      <c r="AK11" s="2315"/>
      <c r="AL11" s="997"/>
      <c r="AM11" s="999"/>
      <c r="AN11" s="997"/>
      <c r="AO11" s="999"/>
      <c r="AP11" s="1181"/>
      <c r="AQ11" s="1183"/>
      <c r="AR11" s="1181"/>
      <c r="AS11" s="1183"/>
      <c r="AT11" s="1000"/>
      <c r="AU11" s="45"/>
      <c r="AV11" s="55"/>
      <c r="AW11" s="1000"/>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洋房</v>
      </c>
      <c r="BC12" s="79" t="str">
        <f>K11</f>
        <v>车库</v>
      </c>
      <c r="BD12" s="79" t="str">
        <f>M11</f>
        <v>洋房</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t="s">
        <v>3016</v>
      </c>
      <c r="D13" s="2963" t="s">
        <v>1678</v>
      </c>
      <c r="E13" s="27">
        <f t="shared" ref="E13:E20" si="6">IF($C$3="是",ROUND($A$3*G13/$B$3,2),ROUND($A$3*(G13-AT13)/$B$3,2))</f>
        <v>42532.75</v>
      </c>
      <c r="F13" s="81"/>
      <c r="G13" s="82">
        <f t="shared" ref="G13:G20" si="7">H13+AC13+AT13</f>
        <v>103301</v>
      </c>
      <c r="H13" s="33">
        <f t="shared" ref="H13:H20" si="8">SUMIF(I$12:AB$12,"总值",I13:AB13)</f>
        <v>91455</v>
      </c>
      <c r="I13" s="2966">
        <v>67178</v>
      </c>
      <c r="J13" s="2966"/>
      <c r="K13" s="2966">
        <v>16471</v>
      </c>
      <c r="L13" s="2966"/>
      <c r="M13" s="2966">
        <v>7806</v>
      </c>
      <c r="N13" s="83"/>
      <c r="O13" s="83"/>
      <c r="P13" s="83"/>
      <c r="Q13" s="83"/>
      <c r="R13" s="83"/>
      <c r="S13" s="83"/>
      <c r="T13" s="83"/>
      <c r="U13" s="83"/>
      <c r="V13" s="83"/>
      <c r="W13" s="83"/>
      <c r="X13" s="83"/>
      <c r="Y13" s="83"/>
      <c r="Z13" s="83"/>
      <c r="AA13" s="83"/>
      <c r="AB13" s="83"/>
      <c r="AC13" s="27">
        <f t="shared" ref="AC13:AC20" si="9">SUMIF(AD$12:AS$12,"总值",AD13:AS13)</f>
        <v>5590</v>
      </c>
      <c r="AD13" s="2970">
        <v>590</v>
      </c>
      <c r="AE13" s="2970"/>
      <c r="AF13" s="2970">
        <v>2636</v>
      </c>
      <c r="AG13" s="2970"/>
      <c r="AH13" s="2970"/>
      <c r="AI13" s="2970"/>
      <c r="AJ13" s="2970"/>
      <c r="AK13" s="2970"/>
      <c r="AL13" s="2970"/>
      <c r="AM13" s="2970"/>
      <c r="AN13" s="2970">
        <f>1344+1020</f>
        <v>2364</v>
      </c>
      <c r="AO13" s="2970"/>
      <c r="AP13" s="2970"/>
      <c r="AQ13" s="2970"/>
      <c r="AR13" s="2970"/>
      <c r="AS13" s="2970"/>
      <c r="AT13" s="2971">
        <f>6112+144</f>
        <v>6256</v>
      </c>
      <c r="AU13" s="2972"/>
      <c r="AV13" s="17">
        <f t="shared" ref="AV13:AX20" si="10">A13</f>
        <v>0</v>
      </c>
      <c r="AW13" s="17">
        <f t="shared" si="10"/>
        <v>0</v>
      </c>
      <c r="AX13" s="17" t="str">
        <f t="shared" si="10"/>
        <v>洋房</v>
      </c>
      <c r="AY13" s="993">
        <f t="shared" ref="AY13:AY20" si="11">ROUND($AY$6*AZ13/$AZ$5,2)</f>
        <v>42532.75</v>
      </c>
      <c r="AZ13" s="27">
        <f t="shared" ref="AZ13:AZ20" si="12">BA13+BL13</f>
        <v>97045</v>
      </c>
      <c r="BA13" s="27">
        <f t="shared" ref="BA13:BA20" si="13">SUM(BB13:BK13)</f>
        <v>91455</v>
      </c>
      <c r="BB13" s="27">
        <f t="shared" ref="BB13:BB20" si="14">IF($D13="是",I13-J13,0)</f>
        <v>67178</v>
      </c>
      <c r="BC13" s="27">
        <f t="shared" ref="BC13:BC20" si="15">IF($D13="是",K13-L13,0)</f>
        <v>16471</v>
      </c>
      <c r="BD13" s="27">
        <f t="shared" ref="BD13:BD20" si="16">IF($D13="是",M13-N13,0)</f>
        <v>7806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5590</v>
      </c>
      <c r="BM13" s="27">
        <f t="shared" ref="BM13:BM20" si="25">IF($D13="是",AD13-AE13,0)</f>
        <v>590</v>
      </c>
      <c r="BN13" s="27">
        <f t="shared" ref="BN13:BN20" si="26">IF($D13="是",AF13-AG13,0)</f>
        <v>2636</v>
      </c>
      <c r="BO13" s="27">
        <f t="shared" ref="BO13:BO20" si="27">IF($D13="是",AH13-AI13,0)</f>
        <v>0</v>
      </c>
      <c r="BP13" s="27">
        <f t="shared" ref="BP13:BP20" si="28">IF($D13="是",AJ13-AK13,0)</f>
        <v>0</v>
      </c>
      <c r="BQ13" s="27">
        <f t="shared" ref="BQ13:BQ20" si="29">IF($D13="是",AL13-AM13,0)</f>
        <v>0</v>
      </c>
      <c r="BR13" s="27">
        <f t="shared" ref="BR13:BR20" si="30">IF($D13="是",AN13-AO13,0)</f>
        <v>2364</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1" t="s">
        <v>0</v>
      </c>
      <c r="B1" s="3321" t="s">
        <v>4</v>
      </c>
      <c r="C1" s="3321" t="s">
        <v>5</v>
      </c>
      <c r="D1" s="3322" t="s">
        <v>40</v>
      </c>
      <c r="E1" s="3322" t="s">
        <v>41</v>
      </c>
      <c r="F1" s="3322"/>
      <c r="G1" s="3322"/>
      <c r="H1" s="3322"/>
      <c r="I1" s="3322"/>
      <c r="J1" s="3322"/>
      <c r="K1" s="3322"/>
      <c r="L1" s="3322"/>
      <c r="M1" s="3322"/>
    </row>
    <row r="2" spans="1:13" ht="27" customHeight="1">
      <c r="A2" s="3321"/>
      <c r="B2" s="3321"/>
      <c r="C2" s="3321"/>
      <c r="D2" s="3322"/>
      <c r="E2" s="3322" t="s">
        <v>24</v>
      </c>
      <c r="F2" s="3322" t="s">
        <v>25</v>
      </c>
      <c r="G2" s="3322"/>
      <c r="H2" s="3322"/>
      <c r="I2" s="3322"/>
      <c r="J2" s="3322" t="s">
        <v>26</v>
      </c>
      <c r="K2" s="3322"/>
      <c r="L2" s="3322"/>
      <c r="M2" s="3322"/>
    </row>
    <row r="3" spans="1:13" ht="28.5">
      <c r="A3" s="3321"/>
      <c r="B3" s="3321"/>
      <c r="C3" s="3321"/>
      <c r="D3" s="3322"/>
      <c r="E3" s="33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2" t="s">
        <v>42</v>
      </c>
      <c r="B9" s="3322"/>
      <c r="C9" s="33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32" t="s">
        <v>203</v>
      </c>
      <c r="B2" s="3332"/>
      <c r="C2" s="3332"/>
      <c r="D2" s="1957" t="s">
        <v>204</v>
      </c>
      <c r="E2" s="106" t="s">
        <v>205</v>
      </c>
      <c r="F2" s="1966"/>
      <c r="G2" s="1191"/>
      <c r="H2" s="1192"/>
      <c r="I2" s="1193" t="s">
        <v>857</v>
      </c>
      <c r="J2" s="1966"/>
      <c r="K2" s="1966"/>
      <c r="L2" s="1966"/>
    </row>
    <row r="3" spans="1:16" ht="15.75" thickBot="1">
      <c r="A3" s="3333" t="s">
        <v>206</v>
      </c>
      <c r="B3" s="3333"/>
      <c r="C3" s="3333"/>
      <c r="D3" s="107">
        <f>'数据-基础表'!AY6</f>
        <v>42532.75</v>
      </c>
      <c r="E3" s="107">
        <f>'数据-基础表'!AZ5</f>
        <v>97045</v>
      </c>
      <c r="F3" s="1966"/>
      <c r="G3" s="279" t="s">
        <v>858</v>
      </c>
      <c r="H3" s="274" t="s">
        <v>859</v>
      </c>
      <c r="I3" s="1958">
        <f>ROUND('数据-基础表'!B3/'数据-基础表'!A3,2)</f>
        <v>2.2799999999999998</v>
      </c>
      <c r="J3" s="1966"/>
      <c r="K3" s="1966"/>
      <c r="L3" s="1966"/>
    </row>
    <row r="4" spans="1:16" ht="15">
      <c r="A4" s="3334"/>
      <c r="B4" s="3335"/>
      <c r="C4" s="3336"/>
      <c r="D4" s="108" t="s">
        <v>204</v>
      </c>
      <c r="E4" s="109" t="s">
        <v>205</v>
      </c>
      <c r="F4" s="1966"/>
      <c r="G4" s="1194"/>
      <c r="H4" s="274" t="s">
        <v>860</v>
      </c>
      <c r="I4" s="1958">
        <f>ROUND(SUMIF('数据-基础表'!I9:AS9,"地上",'数据-基础表'!I5:AS5)/'数据-基础表'!A3,2)</f>
        <v>1.5</v>
      </c>
      <c r="J4" s="1966"/>
      <c r="K4" s="1966"/>
      <c r="L4" s="1966"/>
    </row>
    <row r="5" spans="1:16">
      <c r="A5" s="110" t="s">
        <v>207</v>
      </c>
      <c r="B5" s="3337" t="s">
        <v>230</v>
      </c>
      <c r="C5" s="3337"/>
      <c r="D5" s="111">
        <f>ROUND($D$3*E5/$E$3,2)</f>
        <v>29442.68</v>
      </c>
      <c r="E5" s="112">
        <f>SUMIF('数据-基础表'!$11:$11,"住宅",'数据-基础表'!$5:$5)</f>
        <v>67178</v>
      </c>
      <c r="F5" s="1966"/>
      <c r="G5" s="279" t="s">
        <v>861</v>
      </c>
      <c r="H5" s="274" t="s">
        <v>859</v>
      </c>
      <c r="I5" s="1958">
        <f>ROUND(E31/D31,2)</f>
        <v>2.2799999999999998</v>
      </c>
      <c r="J5" s="1966"/>
      <c r="K5" s="1966"/>
      <c r="L5" s="1966"/>
    </row>
    <row r="6" spans="1:16" ht="15" thickBot="1">
      <c r="A6" s="113"/>
      <c r="B6" s="3337" t="s">
        <v>208</v>
      </c>
      <c r="C6" s="3337"/>
      <c r="D6" s="111">
        <f>ROUND($D$3*E6/$E$3,2)</f>
        <v>13090.07</v>
      </c>
      <c r="E6" s="112">
        <f>E3-E5</f>
        <v>29867</v>
      </c>
      <c r="F6" s="1966"/>
      <c r="G6" s="1194"/>
      <c r="H6" s="274" t="s">
        <v>860</v>
      </c>
      <c r="I6" s="1958">
        <f>ROUND(F31/D31,2)</f>
        <v>1.59</v>
      </c>
      <c r="J6" s="1966"/>
      <c r="K6" s="1966"/>
      <c r="L6" s="1966"/>
    </row>
    <row r="7" spans="1:16" ht="15">
      <c r="A7" s="3329"/>
      <c r="B7" s="3330"/>
      <c r="C7" s="3331"/>
      <c r="D7" s="108" t="s">
        <v>204</v>
      </c>
      <c r="E7" s="114" t="s">
        <v>231</v>
      </c>
      <c r="F7" s="1966"/>
      <c r="G7" s="1149" t="s">
        <v>1645</v>
      </c>
      <c r="H7" s="1150"/>
      <c r="I7" s="1828"/>
      <c r="J7" s="1966"/>
      <c r="K7" s="1966"/>
      <c r="L7" s="1966"/>
    </row>
    <row r="8" spans="1:16">
      <c r="A8" s="110" t="s">
        <v>209</v>
      </c>
      <c r="B8" s="115" t="s">
        <v>210</v>
      </c>
      <c r="C8" s="111" t="s">
        <v>211</v>
      </c>
      <c r="D8" s="111">
        <f t="shared" ref="D8:D15" si="0">ROUND($D$3*E8/$E$3,2)</f>
        <v>29442.68</v>
      </c>
      <c r="E8" s="116">
        <f>SUMIF('数据-基础表'!BB10:BK10,"地上",'数据-基础表'!BB5:BK5)</f>
        <v>67178</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3421.2</v>
      </c>
      <c r="E12" s="116">
        <f>SUMPRODUCT(('数据-基础表'!BB10:BK10="地下")*('数据-基础表'!BB11:BK11="仓储")*('数据-基础表'!BB5:BK5))</f>
        <v>7806</v>
      </c>
      <c r="F12" s="1966"/>
      <c r="G12" s="1968"/>
      <c r="H12" s="1968"/>
      <c r="I12" s="1966"/>
      <c r="J12" s="1966"/>
      <c r="K12" s="1966"/>
      <c r="L12" s="1966"/>
    </row>
    <row r="13" spans="1:16">
      <c r="A13" s="117"/>
      <c r="B13" s="118"/>
      <c r="C13" s="2313" t="s">
        <v>2332</v>
      </c>
      <c r="D13" s="111">
        <f t="shared" si="0"/>
        <v>7218.89</v>
      </c>
      <c r="E13" s="116">
        <f>SUMPRODUCT(('数据-基础表'!BB10:BK10="地下")*('数据-基础表'!BB11:BK11="车库")*('数据-基础表'!BB5:BK5))</f>
        <v>16471</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40082.769999999997</v>
      </c>
      <c r="E16" s="120">
        <f>SUM(E8:E15)</f>
        <v>91455</v>
      </c>
      <c r="F16" s="1966"/>
      <c r="G16" s="1968"/>
      <c r="H16" s="965" t="s">
        <v>219</v>
      </c>
      <c r="I16" s="966"/>
      <c r="J16" s="1966"/>
      <c r="K16" s="3323" t="s">
        <v>2564</v>
      </c>
      <c r="L16" s="3324"/>
      <c r="M16" s="3324"/>
      <c r="N16" s="3324"/>
      <c r="O16" s="3324"/>
      <c r="P16" s="3325"/>
    </row>
    <row r="17" spans="1:19" ht="15">
      <c r="A17" s="121" t="s">
        <v>216</v>
      </c>
      <c r="B17" s="122" t="s">
        <v>217</v>
      </c>
      <c r="C17" s="2280" t="s">
        <v>2311</v>
      </c>
      <c r="D17" s="108" t="s">
        <v>204</v>
      </c>
      <c r="E17" s="124" t="s">
        <v>205</v>
      </c>
      <c r="F17" s="125"/>
      <c r="G17" s="1359"/>
      <c r="H17" s="967" t="s">
        <v>218</v>
      </c>
      <c r="I17" s="968" t="s">
        <v>2310</v>
      </c>
      <c r="J17" s="1966"/>
      <c r="K17" s="3326" t="s">
        <v>2565</v>
      </c>
      <c r="L17" s="3327"/>
      <c r="M17" s="3328"/>
      <c r="N17" s="3326" t="s">
        <v>2566</v>
      </c>
      <c r="O17" s="3327"/>
      <c r="P17" s="3328"/>
      <c r="R17" s="2281" t="s">
        <v>2309</v>
      </c>
      <c r="S17" s="144"/>
    </row>
    <row r="18" spans="1:19" ht="15">
      <c r="A18" s="117"/>
      <c r="B18" s="128"/>
      <c r="C18" s="129"/>
      <c r="D18" s="2603"/>
      <c r="E18" s="130" t="s">
        <v>220</v>
      </c>
      <c r="F18" s="131" t="s">
        <v>221</v>
      </c>
      <c r="G18" s="1360" t="s">
        <v>222</v>
      </c>
      <c r="H18" s="969" t="s">
        <v>223</v>
      </c>
      <c r="I18" s="970" t="s">
        <v>224</v>
      </c>
      <c r="J18" s="1966"/>
      <c r="K18" s="2566" t="s">
        <v>2567</v>
      </c>
      <c r="L18" s="2567" t="s">
        <v>2568</v>
      </c>
      <c r="M18" s="2568" t="s">
        <v>2569</v>
      </c>
      <c r="N18" s="2566" t="s">
        <v>2567</v>
      </c>
      <c r="O18" s="2567" t="s">
        <v>2568</v>
      </c>
      <c r="P18" s="2568" t="s">
        <v>2569</v>
      </c>
      <c r="R18" s="2282" t="s">
        <v>2307</v>
      </c>
      <c r="S18" s="2282" t="s">
        <v>2308</v>
      </c>
    </row>
    <row r="19" spans="1:19">
      <c r="A19" s="133"/>
      <c r="B19" s="115" t="s">
        <v>225</v>
      </c>
      <c r="C19" s="2973" t="s">
        <v>3019</v>
      </c>
      <c r="D19" s="111">
        <f t="shared" ref="D19:D26" si="1">ROUND($D$3*E19/$E$3,2)</f>
        <v>29442.68</v>
      </c>
      <c r="E19" s="134">
        <f t="shared" ref="E19:E26" si="2">SUM(F19:G19)</f>
        <v>67178</v>
      </c>
      <c r="F19" s="135">
        <f>'数据-基础表'!I13</f>
        <v>67178</v>
      </c>
      <c r="G19" s="1361"/>
      <c r="H19" s="971">
        <f>ROUND($D$3*I19/$E$3,2)</f>
        <v>761.06</v>
      </c>
      <c r="I19" s="116">
        <f>IF($I$17="自定义",P19,M19)</f>
        <v>1736.47</v>
      </c>
      <c r="J19" s="1966"/>
      <c r="K19" s="2569">
        <f t="shared" ref="K19:K26" si="3">ROUND(E$28*E19/E$27,2)</f>
        <v>1736.47</v>
      </c>
      <c r="L19" s="274">
        <f t="shared" ref="L19:L26" si="4">ROUND(IF(COUNTIF(C19,"*住宅*")&gt;0,E$29*E19/E$32,0),2)</f>
        <v>0</v>
      </c>
      <c r="M19" s="2570">
        <f>K19+L19</f>
        <v>1736.47</v>
      </c>
      <c r="N19" s="2571"/>
      <c r="O19" s="2572"/>
      <c r="P19" s="2573">
        <f>N19+O19</f>
        <v>0</v>
      </c>
      <c r="R19" s="274">
        <f t="shared" ref="R19:S26" si="5">D19+H19</f>
        <v>30203.74</v>
      </c>
      <c r="S19" s="2283">
        <f t="shared" si="5"/>
        <v>68914.47</v>
      </c>
    </row>
    <row r="20" spans="1:19">
      <c r="A20" s="138"/>
      <c r="B20" s="115" t="s">
        <v>226</v>
      </c>
      <c r="C20" s="2973" t="s">
        <v>3020</v>
      </c>
      <c r="D20" s="111">
        <f t="shared" si="1"/>
        <v>7218.89</v>
      </c>
      <c r="E20" s="134">
        <f t="shared" si="2"/>
        <v>16471</v>
      </c>
      <c r="F20" s="135"/>
      <c r="G20" s="1361">
        <f>'数据-基础表'!K13</f>
        <v>16471</v>
      </c>
      <c r="H20" s="971">
        <f t="shared" ref="H20:H26" si="6">ROUND($D$3*I20/$E$3,2)</f>
        <v>186.6</v>
      </c>
      <c r="I20" s="116">
        <f t="shared" ref="I20:I26" si="7">IF($I$17="自定义",P20,M20)</f>
        <v>425.76</v>
      </c>
      <c r="J20" s="1966"/>
      <c r="K20" s="2569">
        <f t="shared" si="3"/>
        <v>425.76</v>
      </c>
      <c r="L20" s="274">
        <f t="shared" si="4"/>
        <v>0</v>
      </c>
      <c r="M20" s="2570">
        <f t="shared" ref="M20:M26" si="8">K20+L20</f>
        <v>425.76</v>
      </c>
      <c r="N20" s="2571"/>
      <c r="O20" s="2572"/>
      <c r="P20" s="2573">
        <f t="shared" ref="P20:P26" si="9">N20+O20</f>
        <v>0</v>
      </c>
      <c r="R20" s="274">
        <f t="shared" si="5"/>
        <v>7405.4900000000007</v>
      </c>
      <c r="S20" s="2283">
        <f t="shared" si="5"/>
        <v>16896.759999999998</v>
      </c>
    </row>
    <row r="21" spans="1:19">
      <c r="A21" s="138"/>
      <c r="B21" s="115" t="s">
        <v>226</v>
      </c>
      <c r="C21" s="2973" t="s">
        <v>3178</v>
      </c>
      <c r="D21" s="111">
        <f t="shared" si="1"/>
        <v>3421.2</v>
      </c>
      <c r="E21" s="134">
        <f t="shared" si="2"/>
        <v>7806</v>
      </c>
      <c r="F21" s="135"/>
      <c r="G21" s="1361">
        <f>'数据-基础表'!M13</f>
        <v>7806</v>
      </c>
      <c r="H21" s="971">
        <f t="shared" si="6"/>
        <v>88.44</v>
      </c>
      <c r="I21" s="116">
        <f t="shared" si="7"/>
        <v>201.78</v>
      </c>
      <c r="J21" s="1966"/>
      <c r="K21" s="2569">
        <f t="shared" si="3"/>
        <v>201.78</v>
      </c>
      <c r="L21" s="274">
        <f t="shared" si="4"/>
        <v>0</v>
      </c>
      <c r="M21" s="2570">
        <f t="shared" si="8"/>
        <v>201.78</v>
      </c>
      <c r="N21" s="2571"/>
      <c r="O21" s="2572"/>
      <c r="P21" s="2573">
        <f t="shared" si="9"/>
        <v>0</v>
      </c>
      <c r="R21" s="274">
        <f t="shared" si="5"/>
        <v>3509.64</v>
      </c>
      <c r="S21" s="2283">
        <f t="shared" si="5"/>
        <v>8007.78</v>
      </c>
    </row>
    <row r="22" spans="1:19">
      <c r="A22" s="138"/>
      <c r="B22" s="115" t="s">
        <v>226</v>
      </c>
      <c r="C22" s="1358"/>
      <c r="D22" s="111">
        <f t="shared" si="1"/>
        <v>0</v>
      </c>
      <c r="E22" s="134">
        <f t="shared" si="2"/>
        <v>0</v>
      </c>
      <c r="F22" s="140"/>
      <c r="G22" s="1362"/>
      <c r="H22" s="971">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2"/>
      <c r="H23" s="971">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2"/>
      <c r="H24" s="971">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43.5" thickBot="1">
      <c r="A27" s="138"/>
      <c r="B27" s="111"/>
      <c r="C27" s="127" t="s">
        <v>215</v>
      </c>
      <c r="D27" s="134">
        <f>SUM(D19:D26)</f>
        <v>40082.769999999997</v>
      </c>
      <c r="E27" s="143">
        <f>IF(SUM(E19:E26)='数据-基础表'!BA5,SUM(E19:E26),IF(F27="地上面积有误","面积有误","地下面积有误"))</f>
        <v>91455</v>
      </c>
      <c r="F27" s="134">
        <f>IF(SUM(F19:F26)=E8,SUM(F19:F26),"地上面积有误")</f>
        <v>67178</v>
      </c>
      <c r="G27" s="112">
        <f>SUM(G19:G26)</f>
        <v>24277</v>
      </c>
      <c r="H27" s="972">
        <f>SUM(H19:H26)</f>
        <v>1036.0999999999999</v>
      </c>
      <c r="I27" s="973">
        <f>SUM(I19:I26)</f>
        <v>2364.0100000000002</v>
      </c>
      <c r="J27" s="1966"/>
      <c r="K27" s="2578">
        <f>SUM(K19:K26)</f>
        <v>2364.0100000000002</v>
      </c>
      <c r="L27" s="2579">
        <f>SUM(L19:L26)</f>
        <v>0</v>
      </c>
      <c r="M27" s="2580">
        <f>SUM(M19:M26)</f>
        <v>2364.0100000000002</v>
      </c>
      <c r="N27" s="2578">
        <f t="shared" ref="N27:O27" si="10">SUM(N19:N26)</f>
        <v>0</v>
      </c>
      <c r="O27" s="2579">
        <f t="shared" si="10"/>
        <v>0</v>
      </c>
      <c r="P27" s="2581">
        <f>SUM(P19:P26)</f>
        <v>0</v>
      </c>
      <c r="R27" s="2287" t="str">
        <f>IF(SUM(R19:R26)=$D$3,SUM(R19:R26),SUM(R19:R26)&amp;"误差"&amp;ROUND(SUM(R19:R26)-$D$3,2))</f>
        <v>41118.87误差-1413.88</v>
      </c>
      <c r="S27" s="274" t="str">
        <f>IF(SUM(S19:S26)=$E$3,SUM(S19:S26),SUM(S19:S26)&amp;"误差"&amp;ROUND(SUM(S19:S26)-E3,2))</f>
        <v>93819.01误差-3225.99</v>
      </c>
    </row>
    <row r="28" spans="1:19">
      <c r="A28" s="138"/>
      <c r="B28" s="115" t="s">
        <v>227</v>
      </c>
      <c r="C28" s="136" t="s">
        <v>228</v>
      </c>
      <c r="D28" s="111">
        <f>ROUND($D$3*E28/$E$3,2)</f>
        <v>1036.0899999999999</v>
      </c>
      <c r="E28" s="134">
        <f>SUM(F28:G28)</f>
        <v>2364</v>
      </c>
      <c r="F28" s="144">
        <f>'数据-基础表'!BQ5+'数据-基础表'!BS5</f>
        <v>0</v>
      </c>
      <c r="G28" s="145">
        <f>'数据-基础表'!BR5+'数据-基础表'!BT5</f>
        <v>2364</v>
      </c>
      <c r="H28" s="1966"/>
      <c r="I28" s="1966"/>
      <c r="J28" s="1966"/>
      <c r="K28" s="1966"/>
      <c r="L28" s="1966"/>
    </row>
    <row r="29" spans="1:19">
      <c r="A29" s="138"/>
      <c r="B29" s="115" t="s">
        <v>227</v>
      </c>
      <c r="C29" s="2295" t="s">
        <v>2318</v>
      </c>
      <c r="D29" s="111">
        <f>ROUND($D$3*E29/$E$3,2)</f>
        <v>1413.89</v>
      </c>
      <c r="E29" s="134">
        <f>SUM(F29:G29)</f>
        <v>3226</v>
      </c>
      <c r="F29" s="144">
        <f>'数据-基础表'!BM5+'数据-基础表'!BO5</f>
        <v>590</v>
      </c>
      <c r="G29" s="146">
        <f>'数据-基础表'!BN5+'数据-基础表'!BP5</f>
        <v>2636</v>
      </c>
      <c r="H29" s="1966"/>
      <c r="I29" s="1966"/>
      <c r="J29" s="1966"/>
      <c r="K29" s="1966"/>
      <c r="L29" s="1966"/>
    </row>
    <row r="30" spans="1:19">
      <c r="A30" s="138"/>
      <c r="B30" s="111"/>
      <c r="C30" s="147" t="s">
        <v>215</v>
      </c>
      <c r="D30" s="134">
        <f>SUM(D28:D29)</f>
        <v>2449.98</v>
      </c>
      <c r="E30" s="134">
        <f>SUM(E28:E29)</f>
        <v>5590</v>
      </c>
      <c r="F30" s="134">
        <f>SUM(F28:F29)</f>
        <v>590</v>
      </c>
      <c r="G30" s="112">
        <f>SUM(G28:G29)</f>
        <v>5000</v>
      </c>
      <c r="H30" s="1966"/>
      <c r="I30" s="1966"/>
      <c r="J30" s="1966"/>
      <c r="K30" s="1966"/>
      <c r="L30" s="1966"/>
    </row>
    <row r="31" spans="1:19" ht="32.25" customHeight="1" thickBot="1">
      <c r="A31" s="1363"/>
      <c r="B31" s="1364" t="s">
        <v>229</v>
      </c>
      <c r="C31" s="2312" t="s">
        <v>2320</v>
      </c>
      <c r="D31" s="1365">
        <f>D27+D30</f>
        <v>42532.75</v>
      </c>
      <c r="E31" s="1365">
        <f>E27+E30</f>
        <v>97045</v>
      </c>
      <c r="F31" s="1366">
        <f>F27+F30</f>
        <v>67768</v>
      </c>
      <c r="G31" s="1367">
        <f>G27+G30</f>
        <v>29277</v>
      </c>
      <c r="H31" s="1966"/>
      <c r="I31" s="1966"/>
      <c r="J31" s="1966"/>
      <c r="K31" s="1966"/>
      <c r="L31" s="1966"/>
    </row>
    <row r="32" spans="1:19">
      <c r="A32" s="1966"/>
      <c r="B32" s="2324" t="s">
        <v>2319</v>
      </c>
      <c r="C32" s="2608"/>
      <c r="D32" s="1194"/>
      <c r="E32" s="1194">
        <f>SUMIF(C19:C26,"*住宅*",E19:E26)</f>
        <v>0</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Q12" sqref="Q11:Q12"/>
    </sheetView>
  </sheetViews>
  <sheetFormatPr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9" style="1980"/>
    <col min="84" max="16384" width="9"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20">
        <f>项目基本情况!D3</f>
        <v>43920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6"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洋房</v>
      </c>
      <c r="B6" s="2319" t="str">
        <f>IF(A6=0,"","经营性")</f>
        <v>经营性</v>
      </c>
      <c r="C6" s="173" t="s">
        <v>923</v>
      </c>
      <c r="D6" s="2290">
        <f>SUMIF(项目基本情况!D$15:I$15,C6,项目基本情况!D$18:I$18)</f>
        <v>70</v>
      </c>
      <c r="E6" s="2291">
        <f>IF(B6="","",SUMIF(项目基本情况!D$15:I$15,C6,项目基本情况!D$17:I$17))</f>
        <v>69404</v>
      </c>
      <c r="F6" s="174">
        <f>SUMIF(项目基本情况!D$15:I$15,C6,项目基本情况!D$19:I$19)</f>
        <v>69.81</v>
      </c>
      <c r="G6" s="175">
        <f>IF(ISERROR(ROUND(POWER(1+H6,D6-F6)*(POWER(1+H6,F6)-1)/(POWER(1+H6,D6)-1),3)),0,ROUND(POWER(1+H6,D6-F6)*(POWER(1+H6,F6)-1)/(POWER(1+H6,D6)-1),3))</f>
        <v>0.999</v>
      </c>
      <c r="H6" s="2974">
        <v>0.04</v>
      </c>
      <c r="I6" s="2974">
        <v>4.4999999999999998E-2</v>
      </c>
      <c r="J6" s="176">
        <v>0.08</v>
      </c>
      <c r="K6" s="179">
        <f>SUMIF('数据-汇总表'!C$19:C$33,'数据-取费表'!A6,'数据-汇总表'!E$19:E$33)</f>
        <v>67178</v>
      </c>
      <c r="L6" s="3566">
        <v>2500</v>
      </c>
      <c r="M6" s="177">
        <f t="shared" ref="M6:M14" si="0">ROUND(K6*L6/10000,0)</f>
        <v>16795</v>
      </c>
      <c r="N6" s="2975">
        <v>0</v>
      </c>
      <c r="O6" s="177">
        <f>IF($N$5="成新度","——",ROUND(M6*N6,0))</f>
        <v>0</v>
      </c>
      <c r="P6" s="178">
        <f>IF($N$5="成新度","——",M6-O6)</f>
        <v>16795</v>
      </c>
      <c r="Q6" s="192">
        <v>0.2</v>
      </c>
      <c r="R6" s="179">
        <f>SUMIF('数据-汇总表'!C$19:C$33,A6,'数据-汇总表'!R$19:R$33)</f>
        <v>30203.74</v>
      </c>
      <c r="S6" s="132">
        <f>IF('数据-汇总表'!$I$17="按面积比例",SUMIF('数据-汇总表'!C$19:C$33,A6,'数据-汇总表'!K$19:K$33),SUMIF('数据-汇总表'!C$19:C$33,A6,'数据-汇总表'!N$19:N$33))</f>
        <v>1736.47</v>
      </c>
      <c r="T6" s="2216">
        <f>IF($T$4="按面积比例",IF(ISERROR(ROUND($M$14*S6/S$16,0)),"0",ROUND($M$14*S6/S$16,0)),"需自行计算录入")</f>
        <v>434</v>
      </c>
      <c r="U6" s="180"/>
      <c r="V6" s="181"/>
      <c r="W6" s="181"/>
      <c r="X6" s="2303"/>
      <c r="Y6" s="182"/>
      <c r="Z6" s="183"/>
      <c r="AA6" s="176"/>
      <c r="AB6" s="176"/>
      <c r="AC6" s="2306"/>
      <c r="AD6" s="184"/>
      <c r="AE6" s="969">
        <f ca="1">IF(AN6="",0,SUMIF(INDIRECT("'"&amp;AN6&amp;"'"&amp;"!E:E"),$AE$5,INDIRECT("'"&amp;AN6&amp;"'"&amp;"!F:F")))</f>
        <v>0</v>
      </c>
      <c r="AF6" s="141"/>
      <c r="AG6" s="1206">
        <f>IF(AF6="",0,AE6-AF6)</f>
        <v>0</v>
      </c>
      <c r="AH6" s="141"/>
      <c r="AI6" s="187"/>
      <c r="AJ6" s="188"/>
      <c r="AK6" s="189"/>
      <c r="AL6" s="190"/>
      <c r="AM6" s="2987"/>
      <c r="AN6" s="2353"/>
      <c r="AO6" s="1982"/>
      <c r="AP6" s="1197">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t="str">
        <f>'数据-汇总表'!C20</f>
        <v>车库</v>
      </c>
      <c r="B7" s="2319" t="str">
        <f t="shared" ref="B7:B13" si="1">IF(A7=0,"","经营性")</f>
        <v>经营性</v>
      </c>
      <c r="C7" s="173" t="s">
        <v>3003</v>
      </c>
      <c r="D7" s="2290">
        <f>SUMIF(项目基本情况!D$15:I$15,C7,项目基本情况!D$18:I$18)</f>
        <v>50</v>
      </c>
      <c r="E7" s="2291">
        <f>IF(B7="","",SUMIF(项目基本情况!D$15:I$15,C7,项目基本情况!D$17:I$17))</f>
        <v>62099</v>
      </c>
      <c r="F7" s="174">
        <f>SUMIF(项目基本情况!D$15:I$15,C7,项目基本情况!D$19:I$19)</f>
        <v>49.8</v>
      </c>
      <c r="G7" s="175">
        <f t="shared" ref="G7:G11" si="2">IF(ISERROR(ROUND(POWER(1+H7,D7-F7)*(POWER(1+H7,F7)-1)/(POWER(1+H7,D7)-1),3)),0,ROUND(POWER(1+H7,D7-F7)*(POWER(1+H7,F7)-1)/(POWER(1+H7,D7)-1),3))</f>
        <v>0.999</v>
      </c>
      <c r="H7" s="2974">
        <v>4.4999999999999998E-2</v>
      </c>
      <c r="I7" s="2974">
        <v>0.05</v>
      </c>
      <c r="J7" s="176">
        <v>0.08</v>
      </c>
      <c r="K7" s="179">
        <f>SUMIF('数据-汇总表'!C$19:C$33,'数据-取费表'!A7,'数据-汇总表'!E$19:E$33)</f>
        <v>16471</v>
      </c>
      <c r="L7" s="3566">
        <v>2500</v>
      </c>
      <c r="M7" s="177">
        <f t="shared" si="0"/>
        <v>4118</v>
      </c>
      <c r="N7" s="2975">
        <v>0</v>
      </c>
      <c r="O7" s="177">
        <f t="shared" ref="O7:O14" si="3">IF($N$5="成新度","——",ROUND(M7*N7,0))</f>
        <v>0</v>
      </c>
      <c r="P7" s="178">
        <f t="shared" ref="P7:P14" si="4">IF($N$5="成新度","——",M7-O7)</f>
        <v>4118</v>
      </c>
      <c r="Q7" s="2976">
        <v>0.05</v>
      </c>
      <c r="R7" s="179">
        <f>SUMIF('数据-汇总表'!C$19:C$33,A7,'数据-汇总表'!R$19:R$33)</f>
        <v>7405.4900000000007</v>
      </c>
      <c r="S7" s="132">
        <f>IF('数据-汇总表'!$I$17="按面积比例",SUMIF('数据-汇总表'!C$19:C$33,A7,'数据-汇总表'!K$19:K$33),SUMIF('数据-汇总表'!C$19:C$33,A7,'数据-汇总表'!N$19:N$33))</f>
        <v>425.76</v>
      </c>
      <c r="T7" s="2216">
        <f t="shared" ref="T7:T13" si="5">IF($T$4="按面积比例",IF(ISERROR(ROUND($M$14*S7/S$16,0)),"0",ROUND($M$14*S7/S$16,0)),"需自行计算录入")</f>
        <v>106</v>
      </c>
      <c r="U7" s="180">
        <v>0.8</v>
      </c>
      <c r="V7" s="181">
        <v>0.02</v>
      </c>
      <c r="W7" s="181">
        <v>0.1</v>
      </c>
      <c r="X7" s="2303"/>
      <c r="Y7" s="182">
        <v>1</v>
      </c>
      <c r="Z7" s="183"/>
      <c r="AA7" s="176"/>
      <c r="AB7" s="176"/>
      <c r="AC7" s="2306"/>
      <c r="AD7" s="184"/>
      <c r="AE7" s="969">
        <f t="shared" ref="AE7:AE13" ca="1" si="6">IF(AN7="",0,SUMIF(INDIRECT("'"&amp;AN7&amp;"'"&amp;"!E:E"),$AE$5,INDIRECT("'"&amp;AN7&amp;"'"&amp;"!F:F")))</f>
        <v>47.8</v>
      </c>
      <c r="AF7" s="141"/>
      <c r="AG7" s="1206">
        <f t="shared" ref="AG7:AG13" si="7">IF(AF7="",0,AE7-AF7)</f>
        <v>0</v>
      </c>
      <c r="AH7" s="141"/>
      <c r="AI7" s="187">
        <v>365</v>
      </c>
      <c r="AJ7" s="188"/>
      <c r="AK7" s="3249">
        <v>1.4999999999999999E-2</v>
      </c>
      <c r="AL7" s="3250">
        <v>1.5E-3</v>
      </c>
      <c r="AM7" s="3251">
        <v>0.01</v>
      </c>
      <c r="AN7" s="2353" t="s">
        <v>3179</v>
      </c>
      <c r="AO7" s="1982"/>
      <c r="AP7" s="1197">
        <f t="shared" ref="AP7:AP13" si="8">ROUND(1-1/(1+H7)^F7,3)</f>
        <v>0.88800000000000001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t="str">
        <f>'数据-汇总表'!C21</f>
        <v>下跃</v>
      </c>
      <c r="B8" s="2319" t="str">
        <f t="shared" si="1"/>
        <v>经营性</v>
      </c>
      <c r="C8" s="3552" t="s">
        <v>3185</v>
      </c>
      <c r="D8" s="2290">
        <f>SUMIF(项目基本情况!D$15:I$15,C8,项目基本情况!D$18:I$18)</f>
        <v>50</v>
      </c>
      <c r="E8" s="2291">
        <f>IF(B8="","",SUMIF(项目基本情况!D$15:I$15,C8,项目基本情况!D$17:I$17))</f>
        <v>62099</v>
      </c>
      <c r="F8" s="174">
        <f>SUMIF(项目基本情况!D$15:I$15,C8,项目基本情况!D$19:I$19)</f>
        <v>49.8</v>
      </c>
      <c r="G8" s="175">
        <f t="shared" si="2"/>
        <v>0.999</v>
      </c>
      <c r="H8" s="2974">
        <v>0.04</v>
      </c>
      <c r="I8" s="2974">
        <v>4.4999999999999998E-2</v>
      </c>
      <c r="J8" s="176">
        <v>0.08</v>
      </c>
      <c r="K8" s="179">
        <f>SUMIF('数据-汇总表'!C$19:C$33,'数据-取费表'!A8,'数据-汇总表'!E$19:E$33)</f>
        <v>7806</v>
      </c>
      <c r="L8" s="3566">
        <v>2500</v>
      </c>
      <c r="M8" s="177">
        <f>ROUND(K8*L8/10000,0)</f>
        <v>1952</v>
      </c>
      <c r="N8" s="2975">
        <v>0</v>
      </c>
      <c r="O8" s="177">
        <f t="shared" si="3"/>
        <v>0</v>
      </c>
      <c r="P8" s="178">
        <f t="shared" si="4"/>
        <v>1952</v>
      </c>
      <c r="Q8" s="2976">
        <v>0.15</v>
      </c>
      <c r="R8" s="179">
        <f>SUMIF('数据-汇总表'!C$19:C$33,A8,'数据-汇总表'!R$19:R$33)</f>
        <v>3509.64</v>
      </c>
      <c r="S8" s="132">
        <f>IF('数据-汇总表'!$I$17="按面积比例",SUMIF('数据-汇总表'!C$19:C$33,A8,'数据-汇总表'!K$19:K$33),SUMIF('数据-汇总表'!C$19:C$33,A8,'数据-汇总表'!N$19:N$33))</f>
        <v>201.78</v>
      </c>
      <c r="T8" s="2216">
        <f t="shared" si="5"/>
        <v>50</v>
      </c>
      <c r="U8" s="180"/>
      <c r="V8" s="181"/>
      <c r="W8" s="181"/>
      <c r="X8" s="2303"/>
      <c r="Y8" s="182"/>
      <c r="Z8" s="183"/>
      <c r="AA8" s="176"/>
      <c r="AB8" s="176"/>
      <c r="AC8" s="2306"/>
      <c r="AD8" s="184"/>
      <c r="AE8" s="969">
        <f t="shared" ca="1" si="6"/>
        <v>0</v>
      </c>
      <c r="AF8" s="141"/>
      <c r="AG8" s="1206">
        <f t="shared" si="7"/>
        <v>0</v>
      </c>
      <c r="AH8" s="141"/>
      <c r="AI8" s="187"/>
      <c r="AJ8" s="188"/>
      <c r="AK8" s="189"/>
      <c r="AL8" s="190"/>
      <c r="AM8" s="2351"/>
      <c r="AN8" s="2353"/>
      <c r="AO8" s="1982"/>
      <c r="AP8" s="1197">
        <f t="shared" si="8"/>
        <v>0.85799999999999998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567"/>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69">
        <f t="shared" ca="1" si="6"/>
        <v>0</v>
      </c>
      <c r="AF9" s="141"/>
      <c r="AG9" s="1206">
        <f t="shared" si="7"/>
        <v>0</v>
      </c>
      <c r="AH9" s="141"/>
      <c r="AI9" s="187"/>
      <c r="AJ9" s="188"/>
      <c r="AK9" s="189"/>
      <c r="AL9" s="190"/>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567"/>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69">
        <f t="shared" ca="1" si="6"/>
        <v>0</v>
      </c>
      <c r="AF10" s="141"/>
      <c r="AG10" s="1206">
        <f t="shared" si="7"/>
        <v>0</v>
      </c>
      <c r="AH10" s="141"/>
      <c r="AI10" s="187"/>
      <c r="AJ10" s="188"/>
      <c r="AK10" s="189"/>
      <c r="AL10" s="190"/>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567"/>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4"/>
      <c r="AA11" s="176"/>
      <c r="AB11" s="176"/>
      <c r="AC11" s="2306"/>
      <c r="AD11" s="184"/>
      <c r="AE11" s="969">
        <f t="shared" ca="1" si="6"/>
        <v>0</v>
      </c>
      <c r="AF11" s="141"/>
      <c r="AG11" s="1206">
        <f t="shared" si="7"/>
        <v>0</v>
      </c>
      <c r="AH11" s="141"/>
      <c r="AI11" s="187"/>
      <c r="AJ11" s="188"/>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567"/>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4"/>
      <c r="AA12" s="176"/>
      <c r="AB12" s="176"/>
      <c r="AC12" s="2306"/>
      <c r="AD12" s="184"/>
      <c r="AE12" s="969">
        <f t="shared" ca="1" si="6"/>
        <v>0</v>
      </c>
      <c r="AF12" s="141"/>
      <c r="AG12" s="1206">
        <f t="shared" si="7"/>
        <v>0</v>
      </c>
      <c r="AH12" s="141"/>
      <c r="AI12" s="187"/>
      <c r="AJ12" s="188"/>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567"/>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69">
        <f t="shared" ca="1" si="6"/>
        <v>0</v>
      </c>
      <c r="AF13" s="141"/>
      <c r="AG13" s="1206">
        <f t="shared" si="7"/>
        <v>0</v>
      </c>
      <c r="AH13" s="141"/>
      <c r="AI13" s="187"/>
      <c r="AJ13" s="188"/>
      <c r="AK13" s="189"/>
      <c r="AL13" s="190"/>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2312</v>
      </c>
      <c r="B14" s="2288" t="s">
        <v>1679</v>
      </c>
      <c r="C14" s="2289" t="s">
        <v>2312</v>
      </c>
      <c r="D14" s="2290"/>
      <c r="E14" s="2291"/>
      <c r="F14" s="174"/>
      <c r="G14" s="175"/>
      <c r="H14" s="2292"/>
      <c r="I14" s="2292"/>
      <c r="J14" s="2292"/>
      <c r="K14" s="179">
        <f>SUMIF('数据-汇总表'!C$19:C$33,'数据-取费表'!A14,'数据-汇总表'!E$19:E$33)</f>
        <v>2364</v>
      </c>
      <c r="L14" s="3567">
        <v>2500</v>
      </c>
      <c r="M14" s="177">
        <f t="shared" si="0"/>
        <v>591</v>
      </c>
      <c r="N14" s="193">
        <v>0</v>
      </c>
      <c r="O14" s="177">
        <f t="shared" si="3"/>
        <v>0</v>
      </c>
      <c r="P14" s="178">
        <f t="shared" si="4"/>
        <v>591</v>
      </c>
      <c r="Q14" s="2300"/>
      <c r="R14" s="179"/>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2314</v>
      </c>
      <c r="B15" s="2288" t="s">
        <v>1679</v>
      </c>
      <c r="C15" s="2289" t="s">
        <v>2313</v>
      </c>
      <c r="D15" s="2290"/>
      <c r="E15" s="2291"/>
      <c r="F15" s="174"/>
      <c r="G15" s="175"/>
      <c r="H15" s="2292"/>
      <c r="I15" s="2292"/>
      <c r="J15" s="2292"/>
      <c r="K15" s="179">
        <f>SUMIF('数据-汇总表'!C$19:C$33,'数据-取费表'!A15,'数据-汇总表'!E$19:E$33)</f>
        <v>3226</v>
      </c>
      <c r="L15" s="2298"/>
      <c r="M15" s="177"/>
      <c r="N15" s="2301"/>
      <c r="O15" s="177"/>
      <c r="P15" s="178"/>
      <c r="Q15" s="2300"/>
      <c r="R15" s="179"/>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0.999</v>
      </c>
      <c r="H16" s="202">
        <f>ROUND(SUMPRODUCT(H6:H13,K6:K13)/SUMPRODUCT((H6:H13&gt;0)*(K6:K13)),3)</f>
        <v>4.1000000000000002E-2</v>
      </c>
      <c r="I16" s="203"/>
      <c r="J16" s="203"/>
      <c r="K16" s="204">
        <f>SUM(K6:K15)</f>
        <v>97045</v>
      </c>
      <c r="L16" s="205">
        <f>ROUND(M16*10000/SUM(K6:K14),0)</f>
        <v>2500</v>
      </c>
      <c r="M16" s="205">
        <f>SUM(M6:M14)</f>
        <v>23456</v>
      </c>
      <c r="N16" s="206">
        <f>ROUND(SUMPRODUCT(M6:M14,N6:N14)/M16,3)</f>
        <v>0</v>
      </c>
      <c r="O16" s="205">
        <f>SUM(O6:O14)</f>
        <v>0</v>
      </c>
      <c r="P16" s="205">
        <f>SUM(P6:P14)</f>
        <v>23456</v>
      </c>
      <c r="Q16" s="207">
        <f>ROUND(SUMPRODUCT(Q6:Q13,K6:K13)/SUMPRODUCT((Q6:Q13&gt;0)*(K6:K13)),2)</f>
        <v>0.17</v>
      </c>
      <c r="R16" s="2293">
        <f>SUM(R6:R13)</f>
        <v>41118.870000000003</v>
      </c>
      <c r="S16" s="208">
        <f>SUM(S6:S13)</f>
        <v>2364.0100000000002</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0.92</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f>500/35/30</f>
        <v>0.47619047619047622</v>
      </c>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2</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2336</v>
      </c>
      <c r="B27" s="226">
        <v>160</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2337</v>
      </c>
      <c r="B28" s="228">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2335</v>
      </c>
      <c r="B29" s="231"/>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0.03</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2893</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0.02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0.05</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1"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1409</v>
      </c>
      <c r="C53" s="3023" t="s">
        <v>2901</v>
      </c>
      <c r="D53" s="3024"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2903</v>
      </c>
      <c r="B54" s="186"/>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2904</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2905</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2906</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2907</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2908</v>
      </c>
      <c r="B59" s="186">
        <v>1.5</v>
      </c>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2912</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4" activePane="bottomRight" state="frozen"/>
      <selection activeCell="E29" sqref="E29"/>
      <selection pane="topRight" activeCell="E29" sqref="E29"/>
      <selection pane="bottomLeft" activeCell="E29" sqref="E29"/>
      <selection pane="bottomRight" activeCell="E17" sqref="E16:E1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38" t="s">
        <v>1663</v>
      </c>
      <c r="B1" s="3339"/>
      <c r="C1" s="3339"/>
      <c r="D1" s="3339"/>
      <c r="E1" s="3339"/>
      <c r="F1" s="3339"/>
      <c r="G1" s="3339"/>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28" t="s">
        <v>2919</v>
      </c>
      <c r="D3" s="1991"/>
      <c r="E3" s="1222" t="s">
        <v>1666</v>
      </c>
      <c r="F3" s="1223" t="s">
        <v>1654</v>
      </c>
      <c r="G3" s="3032" t="s">
        <v>2918</v>
      </c>
      <c r="H3" s="1990"/>
      <c r="I3" s="1990"/>
      <c r="J3" s="1990"/>
      <c r="K3" s="1990"/>
      <c r="L3" s="1990"/>
      <c r="M3" s="1990"/>
      <c r="N3" s="1990"/>
      <c r="O3" s="1990"/>
      <c r="P3" s="1990"/>
      <c r="Q3" s="1990"/>
      <c r="R3" s="1990"/>
    </row>
    <row r="4" spans="1:18" ht="41.25">
      <c r="A4" s="1222"/>
      <c r="B4" s="1224" t="s">
        <v>1667</v>
      </c>
      <c r="C4" s="3029" t="s">
        <v>2920</v>
      </c>
      <c r="D4" s="1991"/>
      <c r="E4" s="1225"/>
      <c r="F4" s="1226" t="s">
        <v>1668</v>
      </c>
      <c r="G4" s="3030" t="s">
        <v>2915</v>
      </c>
      <c r="H4" s="1990"/>
      <c r="I4" s="1990"/>
      <c r="J4" s="1990"/>
      <c r="K4" s="1990"/>
      <c r="L4" s="1990"/>
      <c r="M4" s="1990"/>
      <c r="N4" s="1990"/>
      <c r="O4" s="1990"/>
      <c r="P4" s="1990"/>
      <c r="Q4" s="1990"/>
      <c r="R4" s="1990"/>
    </row>
    <row r="5" spans="1:18" ht="41.25">
      <c r="A5" s="1222"/>
      <c r="B5" s="1224" t="s">
        <v>1669</v>
      </c>
      <c r="C5" s="3029" t="s">
        <v>2921</v>
      </c>
      <c r="D5" s="1991"/>
      <c r="E5" s="1225"/>
      <c r="F5" s="1224" t="s">
        <v>2544</v>
      </c>
      <c r="G5" s="3030" t="s">
        <v>2916</v>
      </c>
      <c r="H5" s="1990"/>
      <c r="I5" s="1990"/>
      <c r="J5" s="1990"/>
      <c r="K5" s="1990"/>
      <c r="L5" s="1990"/>
      <c r="M5" s="1990"/>
      <c r="N5" s="1990"/>
      <c r="O5" s="1990"/>
      <c r="P5" s="1990"/>
      <c r="Q5" s="1990"/>
      <c r="R5" s="1990"/>
    </row>
    <row r="6" spans="1:18" ht="54">
      <c r="A6" s="1222"/>
      <c r="B6" s="1224" t="s">
        <v>1655</v>
      </c>
      <c r="C6" s="3030" t="s">
        <v>2915</v>
      </c>
      <c r="D6" s="1991"/>
      <c r="E6" s="1225"/>
      <c r="F6" s="1224" t="s">
        <v>2545</v>
      </c>
      <c r="G6" s="3030" t="s">
        <v>2913</v>
      </c>
      <c r="H6" s="1990"/>
      <c r="I6" s="1990"/>
      <c r="J6" s="1990"/>
      <c r="K6" s="1990"/>
      <c r="L6" s="1990"/>
      <c r="M6" s="1990"/>
      <c r="N6" s="1990"/>
      <c r="O6" s="1990"/>
      <c r="P6" s="1990"/>
      <c r="Q6" s="1990"/>
      <c r="R6" s="1990"/>
    </row>
    <row r="7" spans="1:18" ht="41.25" thickBot="1">
      <c r="A7" s="1222"/>
      <c r="B7" s="1224" t="s">
        <v>2544</v>
      </c>
      <c r="C7" s="3030" t="s">
        <v>2916</v>
      </c>
      <c r="D7" s="1992"/>
      <c r="E7" s="1227"/>
      <c r="F7" s="1228" t="s">
        <v>1670</v>
      </c>
      <c r="G7" s="3033" t="s">
        <v>2917</v>
      </c>
      <c r="H7" s="1990"/>
      <c r="I7" s="1990"/>
      <c r="J7" s="1990"/>
      <c r="K7" s="1990"/>
      <c r="L7" s="1990"/>
      <c r="M7" s="1990"/>
      <c r="N7" s="1990"/>
      <c r="O7" s="1990"/>
      <c r="P7" s="1990"/>
      <c r="Q7" s="1990"/>
      <c r="R7" s="1990"/>
    </row>
    <row r="8" spans="1:18" ht="27">
      <c r="A8" s="1222"/>
      <c r="B8" s="1224" t="s">
        <v>2545</v>
      </c>
      <c r="C8" s="3030" t="s">
        <v>2913</v>
      </c>
      <c r="D8" s="1992"/>
      <c r="E8" s="1992"/>
      <c r="F8" s="1537"/>
      <c r="G8" s="1537"/>
      <c r="H8" s="1990"/>
      <c r="I8" s="1990"/>
      <c r="J8" s="1990"/>
      <c r="K8" s="1990"/>
      <c r="L8" s="1990"/>
      <c r="M8" s="1990"/>
      <c r="N8" s="1990"/>
      <c r="O8" s="1990"/>
      <c r="P8" s="1990"/>
      <c r="Q8" s="1990"/>
      <c r="R8" s="1990"/>
    </row>
    <row r="9" spans="1:18" ht="40.5">
      <c r="A9" s="1222"/>
      <c r="B9" s="1224" t="s">
        <v>1656</v>
      </c>
      <c r="C9" s="3029" t="s">
        <v>2914</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7"/>
      <c r="E13" s="2539"/>
      <c r="F13" s="2539"/>
      <c r="G13" s="2539"/>
    </row>
    <row r="14" spans="1:18" ht="14.25" thickBot="1">
      <c r="A14" s="1231"/>
      <c r="B14" s="1232"/>
      <c r="C14" s="1233" t="s">
        <v>1664</v>
      </c>
      <c r="D14" s="1991"/>
      <c r="E14" s="1234"/>
      <c r="F14" s="1234"/>
      <c r="G14" s="1216" t="s">
        <v>1665</v>
      </c>
    </row>
    <row r="15" spans="1:18" ht="54">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0.5">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0.5">
      <c r="A17" s="2550"/>
      <c r="B17" s="1238" t="s">
        <v>1669</v>
      </c>
      <c r="C17" s="1239" t="str">
        <f>C5</f>
        <v>估价对象位于XX商圈，周边办公楼项目较多，入驻率高，办公集聚程度较好</v>
      </c>
      <c r="D17" s="1992"/>
      <c r="E17" s="2547"/>
      <c r="F17" s="1240" t="s">
        <v>1674</v>
      </c>
      <c r="G17" s="2747"/>
    </row>
    <row r="18" spans="1:7" ht="54">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7">
      <c r="A19" s="2550"/>
      <c r="B19" s="1240" t="s">
        <v>1659</v>
      </c>
      <c r="C19" s="2747"/>
      <c r="D19" s="1991"/>
      <c r="E19" s="2547"/>
      <c r="F19" s="1224" t="s">
        <v>2544</v>
      </c>
      <c r="G19" s="1002" t="str">
        <f>G5</f>
        <v>估价对象所在区域公共配套设施齐备情况</v>
      </c>
    </row>
    <row r="20" spans="1:7" ht="40.5">
      <c r="A20" s="2550"/>
      <c r="B20" s="1240" t="s">
        <v>1660</v>
      </c>
      <c r="C20" s="1239" t="str">
        <f>C9</f>
        <v>区域自然环境：；人文环境；综合评价环境状况一般</v>
      </c>
      <c r="D20" s="1992"/>
      <c r="E20" s="2547"/>
      <c r="F20" s="1224" t="s">
        <v>2545</v>
      </c>
      <c r="G20" s="1002" t="str">
        <f>G6</f>
        <v>估价对象所在区域基础设施水平</v>
      </c>
    </row>
    <row r="21" spans="1:7" ht="27">
      <c r="A21" s="2550"/>
      <c r="B21" s="1224" t="s">
        <v>2544</v>
      </c>
      <c r="C21" s="1002" t="str">
        <f>C7</f>
        <v>估价对象所在区域公共配套设施齐备情况</v>
      </c>
      <c r="D21" s="1991"/>
      <c r="E21" s="2547"/>
      <c r="F21" s="1240" t="s">
        <v>1661</v>
      </c>
      <c r="G21" s="3034"/>
    </row>
    <row r="22" spans="1:7" ht="27">
      <c r="A22" s="2550"/>
      <c r="B22" s="1224" t="s">
        <v>2545</v>
      </c>
      <c r="C22" s="1002" t="str">
        <f>C8</f>
        <v>估价对象所在区域基础设施水平</v>
      </c>
      <c r="D22" s="1991"/>
      <c r="E22" s="2547"/>
      <c r="F22" s="1240" t="s">
        <v>1671</v>
      </c>
      <c r="G22" s="2747"/>
    </row>
    <row r="23" spans="1:7" ht="15" thickBot="1">
      <c r="A23" s="2550"/>
      <c r="B23" s="1240" t="s">
        <v>1661</v>
      </c>
      <c r="C23" s="3034"/>
      <c r="E23" s="2548"/>
      <c r="F23" s="1241" t="s">
        <v>1675</v>
      </c>
      <c r="G23" s="3035"/>
    </row>
    <row r="24" spans="1:7" ht="14.2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2841</v>
      </c>
      <c r="B1" s="2992">
        <f>SUM(B14:B23)</f>
        <v>97045</v>
      </c>
      <c r="C1" s="2993"/>
      <c r="D1" s="2993"/>
      <c r="E1" s="2993"/>
      <c r="F1" s="2993"/>
    </row>
    <row r="2" spans="1:9" ht="16.5">
      <c r="A2" s="2992" t="s">
        <v>2842</v>
      </c>
      <c r="B2" s="2992">
        <f>SUM(C14:C23)</f>
        <v>42532.75</v>
      </c>
      <c r="C2" s="2993"/>
      <c r="D2" s="2993"/>
      <c r="E2" s="2993"/>
      <c r="F2" s="2993"/>
    </row>
    <row r="3" spans="1:9" ht="16.5">
      <c r="A3" s="2992" t="s">
        <v>2843</v>
      </c>
      <c r="B3" s="2994">
        <f>项目基本情况!D3</f>
        <v>43920</v>
      </c>
      <c r="C3" s="2993"/>
      <c r="D3" s="2993"/>
      <c r="E3" s="2993"/>
      <c r="F3" s="2993"/>
    </row>
    <row r="4" spans="1:9" ht="33">
      <c r="A4" s="2992" t="s">
        <v>2844</v>
      </c>
      <c r="B4" s="2992" t="s">
        <v>2845</v>
      </c>
      <c r="C4" s="2992" t="s">
        <v>2846</v>
      </c>
      <c r="D4" s="2992" t="s">
        <v>2847</v>
      </c>
      <c r="E4" s="2993"/>
      <c r="F4" s="2993"/>
    </row>
    <row r="5" spans="1:9" ht="16.5">
      <c r="A5" s="2992" t="s">
        <v>2848</v>
      </c>
      <c r="B5" s="2992">
        <f ca="1">SUM(D14:D23)</f>
        <v>161123</v>
      </c>
      <c r="C5" s="2992">
        <f ca="1">ROUND(B5*10000/$B$1,0)</f>
        <v>16603</v>
      </c>
      <c r="D5" s="2992">
        <f ca="1">ROUND(B5*10000/$B$2,0)</f>
        <v>37882</v>
      </c>
      <c r="E5" s="2993"/>
      <c r="F5" s="2993"/>
    </row>
    <row r="6" spans="1:9" ht="16.5">
      <c r="A6" s="2992" t="s">
        <v>2849</v>
      </c>
      <c r="B6" s="2992">
        <f ca="1">SUM(G14:G23)</f>
        <v>158693</v>
      </c>
      <c r="C6" s="2992">
        <f t="shared" ref="C6:C8" ca="1" si="0">ROUND(B6*10000/$B$1,0)</f>
        <v>16353</v>
      </c>
      <c r="D6" s="2992">
        <f t="shared" ref="D6:D8" ca="1" si="1">ROUND(B6*10000/$B$2,0)</f>
        <v>37311</v>
      </c>
      <c r="E6" s="2993"/>
      <c r="F6" s="2993"/>
    </row>
    <row r="7" spans="1:9" ht="16.5">
      <c r="A7" s="2992" t="s">
        <v>2850</v>
      </c>
      <c r="B7" s="2992">
        <f>SUM(H14:H23)</f>
        <v>0</v>
      </c>
      <c r="C7" s="2992">
        <f t="shared" si="0"/>
        <v>0</v>
      </c>
      <c r="D7" s="2992">
        <f t="shared" si="1"/>
        <v>0</v>
      </c>
      <c r="E7" s="2993"/>
      <c r="F7" s="2993"/>
    </row>
    <row r="8" spans="1:9" ht="16.5">
      <c r="A8" s="2992" t="s">
        <v>2851</v>
      </c>
      <c r="B8" s="2992">
        <f>SUM(I14:I23)</f>
        <v>0</v>
      </c>
      <c r="C8" s="2992">
        <f t="shared" si="0"/>
        <v>0</v>
      </c>
      <c r="D8" s="2992">
        <f t="shared" si="1"/>
        <v>0</v>
      </c>
      <c r="E8" s="2993"/>
      <c r="F8" s="2993"/>
    </row>
    <row r="9" spans="1:9" ht="16.5">
      <c r="A9" s="2992" t="s">
        <v>2852</v>
      </c>
      <c r="B9" s="2995"/>
      <c r="C9" s="2993"/>
      <c r="D9" s="2993"/>
      <c r="E9" s="2993"/>
      <c r="F9" s="2993"/>
    </row>
    <row r="10" spans="1:9" ht="16.5">
      <c r="A10" s="2992" t="s">
        <v>2853</v>
      </c>
      <c r="B10" s="2995"/>
      <c r="C10" s="2993"/>
      <c r="D10" s="2993"/>
      <c r="E10" s="2993"/>
      <c r="F10" s="2993"/>
    </row>
    <row r="11" spans="1:9" ht="16.5">
      <c r="A11" s="2992" t="s">
        <v>2870</v>
      </c>
      <c r="B11" s="2995"/>
      <c r="C11" s="2993"/>
      <c r="D11" s="2993"/>
      <c r="E11" s="2993"/>
      <c r="F11" s="2993"/>
    </row>
    <row r="12" spans="1:9" ht="16.5">
      <c r="A12" s="2993"/>
      <c r="B12" s="2993"/>
      <c r="C12" s="2993"/>
      <c r="D12" s="2993"/>
      <c r="E12" s="2993"/>
      <c r="F12" s="2993"/>
    </row>
    <row r="13" spans="1:9" ht="33">
      <c r="A13" s="2998" t="s">
        <v>2869</v>
      </c>
      <c r="B13" s="2996" t="s">
        <v>2841</v>
      </c>
      <c r="C13" s="2996" t="s">
        <v>2842</v>
      </c>
      <c r="D13" s="2996" t="s">
        <v>2854</v>
      </c>
      <c r="E13" s="2992" t="s">
        <v>2868</v>
      </c>
      <c r="F13" s="2992" t="s">
        <v>2847</v>
      </c>
      <c r="G13" s="2996" t="s">
        <v>2855</v>
      </c>
      <c r="H13" s="2996" t="s">
        <v>2856</v>
      </c>
      <c r="I13" s="2996" t="s">
        <v>2857</v>
      </c>
    </row>
    <row r="14" spans="1:9" ht="16.5">
      <c r="A14" s="2999" t="s">
        <v>2867</v>
      </c>
      <c r="B14" s="2996">
        <f>结果表!L38</f>
        <v>97045</v>
      </c>
      <c r="C14" s="2996">
        <f>结果表!K38</f>
        <v>42532.75</v>
      </c>
      <c r="D14" s="2996">
        <f ca="1">结果表!C42</f>
        <v>161123</v>
      </c>
      <c r="E14" s="2996">
        <f ca="1">ROUND(D14*10000/B14,0)</f>
        <v>16603</v>
      </c>
      <c r="F14" s="2996">
        <f ca="1">ROUND(D14*10000/C14,0)</f>
        <v>37882</v>
      </c>
      <c r="G14" s="2996">
        <f ca="1">结果表!C44</f>
        <v>158693</v>
      </c>
      <c r="H14" s="2996" t="str">
        <f>结果表!C45</f>
        <v>——</v>
      </c>
      <c r="I14" s="2996" t="str">
        <f>结果表!C46</f>
        <v>——</v>
      </c>
    </row>
    <row r="15" spans="1:9" ht="16.5">
      <c r="A15" s="2999" t="s">
        <v>2858</v>
      </c>
      <c r="B15" s="3000"/>
      <c r="C15" s="3000"/>
      <c r="D15" s="3000"/>
      <c r="E15" s="2996" t="e">
        <f t="shared" ref="E15:E23" si="2">ROUND(D15*10000/B15,0)</f>
        <v>#DIV/0!</v>
      </c>
      <c r="F15" s="2996" t="e">
        <f t="shared" ref="F15:F23" si="3">ROUND(D15*10000/C15,0)</f>
        <v>#DIV/0!</v>
      </c>
      <c r="G15" s="2997"/>
      <c r="H15" s="2997"/>
      <c r="I15" s="3000"/>
    </row>
    <row r="16" spans="1:9" ht="16.5">
      <c r="A16" s="2999" t="s">
        <v>2859</v>
      </c>
      <c r="B16" s="3000"/>
      <c r="C16" s="3000"/>
      <c r="D16" s="3000"/>
      <c r="E16" s="2996" t="e">
        <f t="shared" si="2"/>
        <v>#DIV/0!</v>
      </c>
      <c r="F16" s="2996" t="e">
        <f t="shared" si="3"/>
        <v>#DIV/0!</v>
      </c>
      <c r="G16" s="2997"/>
      <c r="H16" s="2997"/>
      <c r="I16" s="3000"/>
    </row>
    <row r="17" spans="1:9" ht="16.5">
      <c r="A17" s="2999" t="s">
        <v>2860</v>
      </c>
      <c r="B17" s="3000"/>
      <c r="C17" s="3000"/>
      <c r="D17" s="3000"/>
      <c r="E17" s="2996" t="e">
        <f t="shared" si="2"/>
        <v>#DIV/0!</v>
      </c>
      <c r="F17" s="2996" t="e">
        <f t="shared" si="3"/>
        <v>#DIV/0!</v>
      </c>
      <c r="G17" s="2997"/>
      <c r="H17" s="2997"/>
      <c r="I17" s="3000"/>
    </row>
    <row r="18" spans="1:9" ht="16.5">
      <c r="A18" s="2999" t="s">
        <v>2861</v>
      </c>
      <c r="B18" s="3000"/>
      <c r="C18" s="3000"/>
      <c r="D18" s="3000"/>
      <c r="E18" s="2996" t="e">
        <f t="shared" si="2"/>
        <v>#DIV/0!</v>
      </c>
      <c r="F18" s="2996" t="e">
        <f t="shared" si="3"/>
        <v>#DIV/0!</v>
      </c>
      <c r="G18" s="3000"/>
      <c r="H18" s="3000"/>
      <c r="I18" s="3000"/>
    </row>
    <row r="19" spans="1:9" ht="16.5">
      <c r="A19" s="2999" t="s">
        <v>2862</v>
      </c>
      <c r="B19" s="3000"/>
      <c r="C19" s="3000"/>
      <c r="D19" s="3000"/>
      <c r="E19" s="2996" t="e">
        <f t="shared" si="2"/>
        <v>#DIV/0!</v>
      </c>
      <c r="F19" s="2996" t="e">
        <f t="shared" si="3"/>
        <v>#DIV/0!</v>
      </c>
      <c r="G19" s="3000"/>
      <c r="H19" s="3000"/>
      <c r="I19" s="3000"/>
    </row>
    <row r="20" spans="1:9" ht="16.5">
      <c r="A20" s="2999" t="s">
        <v>2863</v>
      </c>
      <c r="B20" s="3000"/>
      <c r="C20" s="3000"/>
      <c r="D20" s="3000"/>
      <c r="E20" s="2996" t="e">
        <f t="shared" si="2"/>
        <v>#DIV/0!</v>
      </c>
      <c r="F20" s="2996" t="e">
        <f t="shared" si="3"/>
        <v>#DIV/0!</v>
      </c>
      <c r="G20" s="3000"/>
      <c r="H20" s="3000"/>
      <c r="I20" s="3000"/>
    </row>
    <row r="21" spans="1:9" ht="16.5">
      <c r="A21" s="2999" t="s">
        <v>2864</v>
      </c>
      <c r="B21" s="3000"/>
      <c r="C21" s="3000"/>
      <c r="D21" s="3000"/>
      <c r="E21" s="2996" t="e">
        <f t="shared" si="2"/>
        <v>#DIV/0!</v>
      </c>
      <c r="F21" s="2996" t="e">
        <f t="shared" si="3"/>
        <v>#DIV/0!</v>
      </c>
      <c r="G21" s="3000"/>
      <c r="H21" s="3000"/>
      <c r="I21" s="3000"/>
    </row>
    <row r="22" spans="1:9" ht="16.5">
      <c r="A22" s="2999" t="s">
        <v>2865</v>
      </c>
      <c r="B22" s="3000"/>
      <c r="C22" s="3000"/>
      <c r="D22" s="3000"/>
      <c r="E22" s="2996" t="e">
        <f t="shared" si="2"/>
        <v>#DIV/0!</v>
      </c>
      <c r="F22" s="2996" t="e">
        <f t="shared" si="3"/>
        <v>#DIV/0!</v>
      </c>
      <c r="G22" s="3000"/>
      <c r="H22" s="3000"/>
      <c r="I22" s="3000"/>
    </row>
    <row r="23" spans="1:9" ht="16.5">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H25" sqref="H2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2053</v>
      </c>
      <c r="B1" s="1759"/>
      <c r="C1" s="1787" t="s">
        <v>2054</v>
      </c>
      <c r="D1" s="1788"/>
      <c r="E1" s="1787" t="s">
        <v>2055</v>
      </c>
      <c r="F1" s="1789"/>
      <c r="G1" s="310"/>
      <c r="H1" s="310"/>
      <c r="I1" s="310"/>
      <c r="J1" s="2011"/>
      <c r="K1" s="2011"/>
      <c r="L1" s="2011"/>
      <c r="M1" s="2011"/>
      <c r="N1" s="2011"/>
      <c r="O1" s="2011"/>
      <c r="P1" s="2011"/>
      <c r="Q1" s="2011"/>
      <c r="R1" s="2011"/>
      <c r="S1" s="2011"/>
      <c r="T1" s="2011"/>
      <c r="U1" s="2011"/>
      <c r="V1" s="2011"/>
    </row>
    <row r="2" spans="1:22" ht="21.75" customHeight="1" thickBot="1">
      <c r="A2" s="3376" t="str">
        <f>项目基本情况!K2</f>
        <v>北京市出让国有建设用地使用权</v>
      </c>
      <c r="B2" s="3377"/>
      <c r="C2" s="3378"/>
      <c r="D2" s="3378"/>
      <c r="E2" s="3378"/>
      <c r="F2" s="3378"/>
      <c r="G2" s="3377"/>
      <c r="H2" s="3377"/>
      <c r="I2" s="3379"/>
      <c r="J2" s="2012"/>
      <c r="K2" s="2011"/>
      <c r="L2" s="2011"/>
      <c r="M2" s="2011"/>
      <c r="N2" s="2011"/>
      <c r="O2" s="2011"/>
      <c r="P2" s="2011"/>
      <c r="Q2" s="2011"/>
      <c r="R2" s="2011"/>
      <c r="S2" s="2011"/>
      <c r="T2" s="2011"/>
      <c r="U2" s="2011"/>
      <c r="V2" s="2011"/>
    </row>
    <row r="3" spans="1:22" ht="14.25">
      <c r="A3" s="3369" t="s">
        <v>298</v>
      </c>
      <c r="B3" s="3370"/>
      <c r="C3" s="3370"/>
      <c r="D3" s="3370"/>
      <c r="E3" s="3370"/>
      <c r="F3" s="3370"/>
      <c r="G3" s="3370"/>
      <c r="H3" s="3370"/>
      <c r="I3" s="3370"/>
      <c r="J3" s="2012"/>
      <c r="K3" s="2011"/>
      <c r="L3" s="2011"/>
      <c r="M3" s="2011"/>
      <c r="N3" s="2011"/>
      <c r="O3" s="2011"/>
      <c r="P3" s="2011"/>
      <c r="Q3" s="2011"/>
      <c r="R3" s="2011"/>
      <c r="S3" s="2011"/>
      <c r="T3" s="2011"/>
      <c r="U3" s="2011"/>
      <c r="V3" s="2011"/>
    </row>
    <row r="4" spans="1:22" ht="14.25">
      <c r="A4" s="257" t="s">
        <v>299</v>
      </c>
      <c r="B4" s="258" t="s">
        <v>300</v>
      </c>
      <c r="C4" s="259" t="s">
        <v>3183</v>
      </c>
      <c r="D4" s="259" t="s">
        <v>3184</v>
      </c>
      <c r="E4" s="3341" t="s">
        <v>301</v>
      </c>
      <c r="F4" s="3342"/>
      <c r="G4" s="3342"/>
      <c r="H4" s="3342"/>
      <c r="I4" s="3371"/>
      <c r="J4" s="2012"/>
      <c r="K4" s="2011"/>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40" t="s">
        <v>302</v>
      </c>
      <c r="B5" s="3366">
        <v>25</v>
      </c>
      <c r="C5" s="3364"/>
      <c r="D5" s="3368"/>
      <c r="E5" s="260" t="s">
        <v>303</v>
      </c>
      <c r="F5" s="261"/>
      <c r="G5" s="261"/>
      <c r="H5" s="261"/>
      <c r="I5" s="262"/>
      <c r="J5" s="2012"/>
      <c r="K5" s="2011"/>
      <c r="L5" s="2011"/>
      <c r="M5" s="2011"/>
      <c r="N5" s="2011"/>
      <c r="O5" s="2011"/>
      <c r="P5" s="2011"/>
      <c r="Q5" s="2011"/>
      <c r="R5" s="2011"/>
      <c r="S5" s="2011"/>
      <c r="T5" s="2011"/>
      <c r="U5" s="2011"/>
      <c r="V5" s="2011"/>
    </row>
    <row r="6" spans="1:22" ht="14.25">
      <c r="A6" s="3340"/>
      <c r="B6" s="3366"/>
      <c r="C6" s="3367"/>
      <c r="D6" s="3368"/>
      <c r="E6" s="260" t="s">
        <v>304</v>
      </c>
      <c r="F6" s="261"/>
      <c r="G6" s="261"/>
      <c r="H6" s="261"/>
      <c r="I6" s="262"/>
      <c r="J6" s="2012"/>
      <c r="K6" s="2011"/>
      <c r="L6" s="2011"/>
      <c r="M6" s="2011"/>
      <c r="N6" s="2011"/>
      <c r="O6" s="2011"/>
      <c r="P6" s="2011"/>
      <c r="Q6" s="2011"/>
      <c r="R6" s="2011"/>
      <c r="S6" s="2011"/>
      <c r="T6" s="2011"/>
      <c r="U6" s="2011"/>
      <c r="V6" s="2011"/>
    </row>
    <row r="7" spans="1:22" ht="14.25">
      <c r="A7" s="3340"/>
      <c r="B7" s="3366"/>
      <c r="C7" s="3365"/>
      <c r="D7" s="3368"/>
      <c r="E7" s="260" t="s">
        <v>305</v>
      </c>
      <c r="F7" s="261"/>
      <c r="G7" s="261"/>
      <c r="H7" s="261"/>
      <c r="I7" s="262"/>
      <c r="J7" s="2012"/>
      <c r="K7" s="2011"/>
      <c r="L7" s="2011"/>
      <c r="M7" s="2011"/>
      <c r="N7" s="2011"/>
      <c r="O7" s="2011"/>
      <c r="P7" s="2011"/>
      <c r="Q7" s="2011"/>
      <c r="R7" s="2011"/>
      <c r="S7" s="2011"/>
      <c r="T7" s="2011"/>
      <c r="U7" s="2011"/>
      <c r="V7" s="2011"/>
    </row>
    <row r="8" spans="1:22" ht="14.25">
      <c r="A8" s="3340" t="s">
        <v>306</v>
      </c>
      <c r="B8" s="3366">
        <v>15</v>
      </c>
      <c r="C8" s="3364"/>
      <c r="D8" s="3368"/>
      <c r="E8" s="260" t="s">
        <v>307</v>
      </c>
      <c r="F8" s="261"/>
      <c r="G8" s="261"/>
      <c r="H8" s="261"/>
      <c r="I8" s="262"/>
      <c r="J8" s="2012"/>
      <c r="K8" s="2011"/>
      <c r="L8" s="2011"/>
      <c r="M8" s="2011"/>
      <c r="N8" s="2011"/>
      <c r="O8" s="2011"/>
      <c r="P8" s="2011"/>
      <c r="Q8" s="2011"/>
      <c r="R8" s="2011"/>
      <c r="S8" s="2011"/>
      <c r="T8" s="2011"/>
      <c r="U8" s="2011"/>
      <c r="V8" s="2011"/>
    </row>
    <row r="9" spans="1:22" ht="14.25">
      <c r="A9" s="3340"/>
      <c r="B9" s="3366"/>
      <c r="C9" s="3365"/>
      <c r="D9" s="3368"/>
      <c r="E9" s="260" t="s">
        <v>308</v>
      </c>
      <c r="F9" s="261"/>
      <c r="G9" s="261"/>
      <c r="H9" s="261"/>
      <c r="I9" s="262"/>
      <c r="J9" s="2012"/>
      <c r="K9" s="2011"/>
      <c r="L9" s="2011"/>
      <c r="M9" s="2011"/>
      <c r="N9" s="2011"/>
      <c r="O9" s="2011"/>
      <c r="P9" s="2011"/>
      <c r="Q9" s="2011"/>
      <c r="R9" s="2011"/>
      <c r="S9" s="2011"/>
      <c r="T9" s="2011"/>
      <c r="U9" s="2011"/>
      <c r="V9" s="2011"/>
    </row>
    <row r="10" spans="1:22" ht="14.25">
      <c r="A10" s="3340" t="s">
        <v>309</v>
      </c>
      <c r="B10" s="3366">
        <v>15</v>
      </c>
      <c r="C10" s="3364"/>
      <c r="D10" s="3368"/>
      <c r="E10" s="260" t="s">
        <v>310</v>
      </c>
      <c r="F10" s="261"/>
      <c r="G10" s="261"/>
      <c r="H10" s="261"/>
      <c r="I10" s="262"/>
      <c r="J10" s="2012"/>
      <c r="K10" s="2011"/>
      <c r="L10" s="2011"/>
      <c r="M10" s="2011"/>
      <c r="N10" s="2011"/>
      <c r="O10" s="2011"/>
      <c r="P10" s="2011"/>
      <c r="Q10" s="2011"/>
      <c r="R10" s="2011"/>
      <c r="S10" s="2011"/>
      <c r="T10" s="2011"/>
      <c r="U10" s="2011"/>
      <c r="V10" s="2011"/>
    </row>
    <row r="11" spans="1:22" ht="14.25">
      <c r="A11" s="3340"/>
      <c r="B11" s="3366"/>
      <c r="C11" s="3365"/>
      <c r="D11" s="3368"/>
      <c r="E11" s="260" t="s">
        <v>311</v>
      </c>
      <c r="F11" s="261"/>
      <c r="G11" s="261"/>
      <c r="H11" s="261"/>
      <c r="I11" s="262"/>
      <c r="J11" s="2012"/>
      <c r="K11" s="2011"/>
      <c r="L11" s="2011"/>
      <c r="M11" s="2011"/>
      <c r="N11" s="2011"/>
      <c r="O11" s="2011"/>
      <c r="P11" s="2011"/>
      <c r="Q11" s="2011"/>
      <c r="R11" s="2011"/>
      <c r="S11" s="2011"/>
      <c r="T11" s="2011"/>
      <c r="U11" s="2011"/>
      <c r="V11" s="2011"/>
    </row>
    <row r="12" spans="1:22" ht="14.25">
      <c r="A12" s="3340" t="s">
        <v>312</v>
      </c>
      <c r="B12" s="3366">
        <v>15</v>
      </c>
      <c r="C12" s="3364"/>
      <c r="D12" s="3368"/>
      <c r="E12" s="260" t="s">
        <v>313</v>
      </c>
      <c r="F12" s="261"/>
      <c r="G12" s="261"/>
      <c r="H12" s="261"/>
      <c r="I12" s="262"/>
      <c r="J12" s="2012"/>
      <c r="K12" s="2011"/>
      <c r="L12" s="2011"/>
      <c r="M12" s="2011"/>
      <c r="N12" s="2011"/>
      <c r="O12" s="2011"/>
      <c r="P12" s="2011"/>
      <c r="Q12" s="2011"/>
      <c r="R12" s="2011"/>
      <c r="S12" s="2011"/>
      <c r="T12" s="2011"/>
      <c r="U12" s="2011"/>
      <c r="V12" s="2011"/>
    </row>
    <row r="13" spans="1:22" ht="14.25">
      <c r="A13" s="3340"/>
      <c r="B13" s="3366"/>
      <c r="C13" s="3365"/>
      <c r="D13" s="3368"/>
      <c r="E13" s="260" t="s">
        <v>314</v>
      </c>
      <c r="F13" s="261"/>
      <c r="G13" s="261"/>
      <c r="H13" s="261"/>
      <c r="I13" s="262"/>
      <c r="J13" s="2012"/>
      <c r="K13" s="2011"/>
      <c r="L13" s="2011"/>
      <c r="M13" s="2011"/>
      <c r="N13" s="2011"/>
      <c r="O13" s="2011"/>
      <c r="P13" s="2011"/>
      <c r="Q13" s="2011"/>
      <c r="R13" s="2011"/>
      <c r="S13" s="2011"/>
      <c r="T13" s="2011"/>
      <c r="U13" s="2011"/>
      <c r="V13" s="2011"/>
    </row>
    <row r="14" spans="1:22" ht="14.25">
      <c r="A14" s="3340" t="s">
        <v>315</v>
      </c>
      <c r="B14" s="3366">
        <v>30</v>
      </c>
      <c r="C14" s="3364">
        <v>5</v>
      </c>
      <c r="D14" s="3368">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40"/>
      <c r="B15" s="3366"/>
      <c r="C15" s="3367"/>
      <c r="D15" s="3368"/>
      <c r="E15" s="260" t="s">
        <v>317</v>
      </c>
      <c r="F15" s="261"/>
      <c r="G15" s="261"/>
      <c r="H15" s="261"/>
      <c r="I15" s="262"/>
      <c r="J15" s="2012"/>
      <c r="K15" s="2011"/>
      <c r="L15" s="2011"/>
      <c r="M15" s="2011"/>
      <c r="N15" s="2011"/>
      <c r="O15" s="2011"/>
      <c r="P15" s="2011"/>
      <c r="Q15" s="2011"/>
      <c r="R15" s="2011"/>
      <c r="S15" s="2011"/>
      <c r="T15" s="2011"/>
      <c r="U15" s="2011"/>
      <c r="V15" s="2011"/>
    </row>
    <row r="16" spans="1:22" ht="14.25">
      <c r="A16" s="3340"/>
      <c r="B16" s="3366"/>
      <c r="C16" s="3365"/>
      <c r="D16" s="3368"/>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150268</v>
      </c>
      <c r="D19" s="270">
        <f ca="1">SUMIF(INDIRECT("'"&amp;D4&amp;"'"&amp;"!A:A"),结果表!B19,INDIRECT("'"&amp;D4&amp;"'"&amp;"!B:B"))</f>
        <v>171977</v>
      </c>
      <c r="E19" s="267" t="s">
        <v>323</v>
      </c>
      <c r="F19" s="268" t="s">
        <v>322</v>
      </c>
      <c r="G19" s="271">
        <f ca="1">ROUND(C19*$C$18+D19*$D$18,0)</f>
        <v>161123</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15484</v>
      </c>
      <c r="D20" s="276">
        <f ca="1">SUMIF(INDIRECT("'"&amp;D4&amp;"'"&amp;"!A:A"),结果表!B20,INDIRECT("'"&amp;D4&amp;"'"&amp;"!B:B"))</f>
        <v>17721</v>
      </c>
      <c r="E20" s="273"/>
      <c r="F20" s="274" t="s">
        <v>325</v>
      </c>
      <c r="G20" s="277">
        <f ca="1">ROUND(C20*$C$18+D20*$D$18,0)</f>
        <v>16603</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35330</v>
      </c>
      <c r="D21" s="151">
        <f ca="1">SUMIF(INDIRECT("'"&amp;D4&amp;"'"&amp;"!A:A"),结果表!B21,INDIRECT("'"&amp;D4&amp;"'"&amp;"!B:B"))</f>
        <v>40434</v>
      </c>
      <c r="E21" s="273"/>
      <c r="F21" s="279" t="s">
        <v>327</v>
      </c>
      <c r="G21" s="281">
        <f ca="1">ROUND(C21*$C$18+D21*$D$18,0)</f>
        <v>37882</v>
      </c>
      <c r="H21" s="1244" t="s">
        <v>326</v>
      </c>
      <c r="I21" s="310"/>
      <c r="J21" s="2011"/>
      <c r="K21" s="2011"/>
      <c r="L21" s="2011"/>
      <c r="M21" s="2011"/>
      <c r="N21" s="2011"/>
      <c r="O21" s="2011"/>
      <c r="P21" s="2011"/>
      <c r="Q21" s="2011"/>
      <c r="R21" s="2011"/>
      <c r="S21" s="2011"/>
      <c r="T21" s="2011"/>
      <c r="U21" s="2011"/>
      <c r="V21" s="2011"/>
    </row>
    <row r="22" spans="1:26" ht="15.75" thickBot="1">
      <c r="A22" s="126" t="s">
        <v>328</v>
      </c>
      <c r="B22" s="1245"/>
      <c r="C22" s="1246"/>
      <c r="D22" s="282">
        <f ca="1">IF(C19&lt;D19,D19/C19-1,C19/D19-1)</f>
        <v>0.144468549524849</v>
      </c>
      <c r="E22" s="283"/>
      <c r="F22" s="284"/>
      <c r="G22" s="285">
        <f ca="1">ROUND(G19/('数据-汇总表'!D3/666.67),0)</f>
        <v>2525</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46"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47"/>
      <c r="B25" s="1314" t="s">
        <v>331</v>
      </c>
      <c r="C25" s="289">
        <f>IF(B30=0,0,C30)</f>
        <v>0</v>
      </c>
      <c r="D25" s="290"/>
      <c r="E25" s="310"/>
      <c r="F25" s="310"/>
      <c r="G25" s="310"/>
      <c r="H25" s="310"/>
      <c r="I25" s="310"/>
      <c r="J25" s="2011"/>
      <c r="K25" s="1248" t="str">
        <f ca="1">项目基本情况!B16&amp;"国有建设用地使用权价格："&amp;O38&amp;"万元"</f>
        <v>出让国有建设用地使用权价格：161123万元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大写金额：人民币壹拾陆亿壹仟壹佰贰拾叁万元整</v>
      </c>
      <c r="L26" s="1245"/>
      <c r="M26" s="1245"/>
      <c r="N26" s="1245"/>
      <c r="O26" s="1244"/>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1" t="str">
        <f ca="1">"单位面积地价："&amp;M38&amp;"元/平方米"</f>
        <v>单位面积地价：37882元/平方米</v>
      </c>
      <c r="L27" s="1245"/>
      <c r="M27" s="1245"/>
      <c r="N27" s="1245"/>
      <c r="O27" s="1244"/>
      <c r="P27" s="2011"/>
      <c r="Q27" s="2011"/>
      <c r="R27" s="2011"/>
      <c r="S27" s="2011"/>
      <c r="T27" s="2011"/>
      <c r="U27" s="2011"/>
      <c r="V27" s="2011"/>
    </row>
    <row r="28" spans="1:26" ht="18.75" customHeight="1">
      <c r="A28" s="292"/>
      <c r="B28" s="293"/>
      <c r="C28" s="293"/>
      <c r="D28" s="294"/>
      <c r="E28" s="310"/>
      <c r="F28" s="310"/>
      <c r="G28" s="310"/>
      <c r="H28" s="310"/>
      <c r="I28" s="310"/>
      <c r="J28" s="2011"/>
      <c r="K28" s="1251" t="str">
        <f ca="1">"楼面地价："&amp;N38&amp;"元/平方米"</f>
        <v>楼面地价：16603元/平方米</v>
      </c>
      <c r="L28" s="1245"/>
      <c r="M28" s="1245"/>
      <c r="N28" s="1245"/>
      <c r="O28" s="1244"/>
      <c r="P28" s="2011"/>
      <c r="V28" s="2011"/>
    </row>
    <row r="29" spans="1:26" ht="18">
      <c r="A29" s="292"/>
      <c r="B29" s="293"/>
      <c r="C29" s="293"/>
      <c r="D29" s="294"/>
      <c r="E29" s="310"/>
      <c r="F29" s="310"/>
      <c r="G29" s="310"/>
      <c r="H29" s="310"/>
      <c r="I29" s="310"/>
      <c r="J29" s="2011"/>
      <c r="K29" s="1251" t="str">
        <f ca="1">IF(OR(项目基本情况!E8="抵押价格",项目基本情况!E8="已注销及未注销"),"抵押价格："&amp;O39&amp;"万元","——")</f>
        <v>抵押价格：158693万元</v>
      </c>
      <c r="L29" s="1245"/>
      <c r="M29" s="1245"/>
      <c r="N29" s="1245"/>
      <c r="O29" s="1244"/>
      <c r="P29" s="2011"/>
      <c r="V29" s="2011"/>
    </row>
    <row r="30" spans="1:26" ht="18.75" thickBot="1">
      <c r="A30" s="3077" t="s">
        <v>336</v>
      </c>
      <c r="B30" s="308"/>
      <c r="C30" s="308"/>
      <c r="D30" s="309"/>
      <c r="E30" s="3078" t="s">
        <v>2965</v>
      </c>
      <c r="F30" s="310"/>
      <c r="G30" s="310"/>
      <c r="H30" s="310"/>
      <c r="I30" s="310"/>
      <c r="J30" s="2011"/>
      <c r="K30" s="1251" t="str">
        <f ca="1">IF(K29="——","——","大写金额：人民币"&amp;NUMBERSTRING(INT(O39*10000),2)&amp;"元整")</f>
        <v>大写金额：人民币壹拾伍亿捌仟陆佰玖拾叁万元整</v>
      </c>
      <c r="L30" s="1245"/>
      <c r="M30" s="1245"/>
      <c r="N30" s="1245"/>
      <c r="O30" s="1244"/>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1688</v>
      </c>
      <c r="C32" s="1376">
        <f ca="1">G19-C24</f>
        <v>161123</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1690</v>
      </c>
      <c r="C33" s="263">
        <f ca="1">ROUND(C32*10000/'数据-汇总表'!E3,0)</f>
        <v>16603</v>
      </c>
      <c r="D33" s="1379" t="s">
        <v>1691</v>
      </c>
      <c r="E33" s="3346" t="s">
        <v>338</v>
      </c>
      <c r="F33" s="295" t="s">
        <v>339</v>
      </c>
      <c r="G33" s="296"/>
      <c r="H33" s="977"/>
      <c r="I33" s="1252"/>
      <c r="J33" s="2011"/>
      <c r="K33" s="1251" t="str">
        <f>IF(项目基本情况!E9="——","——","抵押净值："&amp;C46&amp;"万元")</f>
        <v>——</v>
      </c>
      <c r="L33" s="1245"/>
      <c r="M33" s="1245"/>
      <c r="N33" s="1245"/>
      <c r="O33" s="1244"/>
      <c r="P33" s="2011"/>
      <c r="V33" s="2011"/>
    </row>
    <row r="34" spans="1:26" s="1247" customFormat="1" ht="18.75" thickBot="1">
      <c r="A34" s="299"/>
      <c r="B34" s="1380" t="s">
        <v>1692</v>
      </c>
      <c r="C34" s="263">
        <f ca="1">ROUND(C32*10000/'数据-汇总表'!D3,0)</f>
        <v>37882</v>
      </c>
      <c r="D34" s="1381" t="s">
        <v>1691</v>
      </c>
      <c r="E34" s="3387"/>
      <c r="F34" s="127" t="s">
        <v>341</v>
      </c>
      <c r="G34" s="298"/>
      <c r="H34" s="105"/>
      <c r="I34" s="310"/>
      <c r="J34" s="2011"/>
      <c r="K34" s="1254" t="str">
        <f>IF(K33="——","——","大写金额：人民币"&amp;NUMBERSTRING(INT(O41*10000),2)&amp;"元整")</f>
        <v>——</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2525</v>
      </c>
      <c r="D35" s="1384" t="s">
        <v>1693</v>
      </c>
      <c r="E35" s="3388"/>
      <c r="F35" s="300" t="s">
        <v>342</v>
      </c>
      <c r="G35" s="979">
        <f>E37+E38</f>
        <v>2430</v>
      </c>
      <c r="H35" s="978" t="s">
        <v>343</v>
      </c>
      <c r="I35" s="310"/>
      <c r="J35" s="2011"/>
      <c r="K35" s="3361" t="s">
        <v>350</v>
      </c>
      <c r="L35" s="3361" t="s">
        <v>351</v>
      </c>
      <c r="M35" s="1257" t="s">
        <v>352</v>
      </c>
      <c r="N35" s="3361" t="s">
        <v>353</v>
      </c>
      <c r="O35" s="3361" t="s">
        <v>354</v>
      </c>
      <c r="P35" s="2011"/>
      <c r="V35" s="2011"/>
    </row>
    <row r="36" spans="1:26" ht="16.5" customHeight="1">
      <c r="A36" s="302" t="s">
        <v>344</v>
      </c>
      <c r="B36" s="303" t="s">
        <v>333</v>
      </c>
      <c r="C36" s="304" t="s">
        <v>345</v>
      </c>
      <c r="D36" s="304" t="s">
        <v>346</v>
      </c>
      <c r="E36" s="305" t="s">
        <v>347</v>
      </c>
      <c r="F36" s="310"/>
      <c r="G36" s="310"/>
      <c r="H36" s="310"/>
      <c r="I36" s="310"/>
      <c r="J36" s="2013"/>
      <c r="K36" s="3362"/>
      <c r="L36" s="3362"/>
      <c r="M36" s="1259" t="s">
        <v>355</v>
      </c>
      <c r="N36" s="3362"/>
      <c r="O36" s="3362"/>
      <c r="P36" s="2011"/>
      <c r="V36" s="2011"/>
    </row>
    <row r="37" spans="1:26" ht="16.5" customHeight="1" thickBot="1">
      <c r="A37" s="1253" t="s">
        <v>348</v>
      </c>
      <c r="B37" s="306">
        <f>'数据-汇总表'!G20</f>
        <v>16471</v>
      </c>
      <c r="C37" s="293">
        <f>23389*0.15*0.25</f>
        <v>877.08749999999998</v>
      </c>
      <c r="D37" s="293">
        <v>1.0305</v>
      </c>
      <c r="E37" s="294">
        <f>ROUND(B37*C37*D37/10000,0)</f>
        <v>1489</v>
      </c>
      <c r="F37" s="310"/>
      <c r="G37" s="310"/>
      <c r="H37" s="310"/>
      <c r="I37" s="310"/>
      <c r="J37" s="2013"/>
      <c r="K37" s="3363"/>
      <c r="L37" s="3363"/>
      <c r="M37" s="1260"/>
      <c r="N37" s="3363"/>
      <c r="O37" s="3363"/>
      <c r="P37" s="2011"/>
      <c r="V37" s="2011"/>
    </row>
    <row r="38" spans="1:26" ht="16.5" customHeight="1" thickBot="1">
      <c r="A38" s="1253" t="s">
        <v>349</v>
      </c>
      <c r="B38" s="306">
        <f>'数据-汇总表'!G21</f>
        <v>7806</v>
      </c>
      <c r="C38" s="293">
        <f>23389*0.2*0.25</f>
        <v>1169.45</v>
      </c>
      <c r="D38" s="293">
        <v>1.0305</v>
      </c>
      <c r="E38" s="294">
        <f>ROUND(B38*C38*D38/10000,0)</f>
        <v>941</v>
      </c>
      <c r="F38" s="310"/>
      <c r="G38" s="310"/>
      <c r="H38" s="310"/>
      <c r="I38" s="310"/>
      <c r="J38" s="2013"/>
      <c r="K38" s="1261">
        <f>'数据-汇总表'!D3</f>
        <v>42532.75</v>
      </c>
      <c r="L38" s="1262">
        <f>'数据-汇总表'!E3</f>
        <v>97045</v>
      </c>
      <c r="M38" s="1262">
        <f ca="1">C34</f>
        <v>37882</v>
      </c>
      <c r="N38" s="1262">
        <f ca="1">C33</f>
        <v>16603</v>
      </c>
      <c r="O38" s="1263">
        <f ca="1">C32</f>
        <v>161123</v>
      </c>
      <c r="P38" s="2011"/>
      <c r="V38" s="2011"/>
    </row>
    <row r="39" spans="1:26" ht="16.5" customHeight="1" thickBot="1">
      <c r="A39" s="1258"/>
      <c r="B39" s="307"/>
      <c r="C39" s="308"/>
      <c r="D39" s="308"/>
      <c r="E39" s="309"/>
      <c r="F39" s="310"/>
      <c r="G39" s="310"/>
      <c r="H39" s="310"/>
      <c r="I39" s="310"/>
      <c r="J39" s="2013"/>
      <c r="K39" s="3406" t="str">
        <f>MID(A44,3,LEN(A44)-2)</f>
        <v>抵押价格</v>
      </c>
      <c r="L39" s="3407"/>
      <c r="M39" s="3407"/>
      <c r="N39" s="3408"/>
      <c r="O39" s="1386">
        <f ca="1">C44</f>
        <v>158693</v>
      </c>
      <c r="P39" s="2011"/>
      <c r="V39" s="2011"/>
    </row>
    <row r="40" spans="1:26" ht="19.5" thickBot="1">
      <c r="A40" s="104" t="s">
        <v>873</v>
      </c>
      <c r="B40" s="310"/>
      <c r="C40" s="310"/>
      <c r="D40" s="310"/>
      <c r="E40" s="310"/>
      <c r="F40" s="310"/>
      <c r="G40" s="310"/>
      <c r="H40" s="310"/>
      <c r="I40" s="310"/>
      <c r="J40" s="2013"/>
      <c r="K40" s="3406" t="str">
        <f t="shared" ref="K40:K41" si="0">MID(A45,3,LEN(A45)-2)</f>
        <v/>
      </c>
      <c r="L40" s="3407"/>
      <c r="M40" s="3407"/>
      <c r="N40" s="3408"/>
      <c r="O40" s="1386" t="str">
        <f>C45</f>
        <v>——</v>
      </c>
      <c r="P40" s="2011"/>
      <c r="V40" s="2011"/>
    </row>
    <row r="41" spans="1:26" ht="16.5" thickBot="1">
      <c r="A41" s="311" t="s">
        <v>356</v>
      </c>
      <c r="B41" s="312"/>
      <c r="C41" s="313" t="s">
        <v>357</v>
      </c>
      <c r="D41" s="314" t="s">
        <v>358</v>
      </c>
      <c r="E41" s="314" t="s">
        <v>359</v>
      </c>
      <c r="F41" s="315" t="s">
        <v>360</v>
      </c>
      <c r="G41" s="310"/>
      <c r="H41" s="310"/>
      <c r="I41" s="310"/>
      <c r="J41" s="2013"/>
      <c r="K41" s="3406" t="str">
        <f t="shared" si="0"/>
        <v/>
      </c>
      <c r="L41" s="3407"/>
      <c r="M41" s="3407"/>
      <c r="N41" s="3408"/>
      <c r="O41" s="1386" t="str">
        <f>C46</f>
        <v>——</v>
      </c>
      <c r="P41" s="2011"/>
      <c r="V41" s="2011"/>
    </row>
    <row r="42" spans="1:26" ht="29.25">
      <c r="A42" s="3348" t="s">
        <v>2065</v>
      </c>
      <c r="B42" s="3349"/>
      <c r="C42" s="263">
        <f ca="1">C32</f>
        <v>161123</v>
      </c>
      <c r="D42" s="316">
        <f ca="1">C33</f>
        <v>16603</v>
      </c>
      <c r="E42" s="316">
        <f ca="1">C34</f>
        <v>37882</v>
      </c>
      <c r="F42" s="317">
        <f ca="1">C35</f>
        <v>2525</v>
      </c>
      <c r="G42" s="310"/>
      <c r="H42" s="310"/>
      <c r="I42" s="318"/>
      <c r="J42" s="2013"/>
      <c r="K42" s="1264" t="s">
        <v>361</v>
      </c>
      <c r="L42" s="2030" t="s">
        <v>362</v>
      </c>
      <c r="M42" s="1265" t="s">
        <v>363</v>
      </c>
      <c r="N42" s="2031" t="s">
        <v>364</v>
      </c>
      <c r="O42" s="2032" t="s">
        <v>365</v>
      </c>
      <c r="P42" s="2011"/>
      <c r="V42" s="2011"/>
    </row>
    <row r="43" spans="1:26" ht="30">
      <c r="A43" s="3359" t="s">
        <v>2727</v>
      </c>
      <c r="B43" s="3360"/>
      <c r="C43" s="263">
        <f>IF(H33="正常操作",G33+G34+G35,G34+G35)</f>
        <v>2430</v>
      </c>
      <c r="D43" s="316" t="s">
        <v>43</v>
      </c>
      <c r="E43" s="316" t="s">
        <v>44</v>
      </c>
      <c r="F43" s="317" t="s">
        <v>44</v>
      </c>
      <c r="G43" s="2819" t="s">
        <v>952</v>
      </c>
      <c r="H43" s="310"/>
      <c r="I43" s="318"/>
      <c r="J43" s="2013"/>
      <c r="K43" s="1266" t="str">
        <f>C4</f>
        <v>比较法-住宅、综合</v>
      </c>
      <c r="L43" s="1267">
        <f ca="1">IF(L42="估价结果/万元",C19,C20)</f>
        <v>150268</v>
      </c>
      <c r="M43" s="1268">
        <f>C18</f>
        <v>0.5</v>
      </c>
      <c r="N43" s="1269">
        <f ca="1">IF(N42="测算结果/万元",G19,G20)</f>
        <v>161123</v>
      </c>
      <c r="O43" s="1270">
        <f ca="1">IF(O42="最终结果/万元",C32,C33)</f>
        <v>161123</v>
      </c>
      <c r="P43" s="2011"/>
      <c r="V43" s="2011"/>
    </row>
    <row r="44" spans="1:26" ht="30.75" thickBot="1">
      <c r="A44" s="3348" t="str">
        <f>IF(OR(项目基本情况!E8="抵押价格",项目基本情况!E8="已注销及未注销"),"3.抵押价格","——")</f>
        <v>3.抵押价格</v>
      </c>
      <c r="B44" s="3349"/>
      <c r="C44" s="263">
        <f ca="1">IF(A44="——","——",C42-C43)</f>
        <v>158693</v>
      </c>
      <c r="D44" s="316">
        <f ca="1">ROUND(C44*10000/'数据-汇总表'!E3,0)</f>
        <v>16353</v>
      </c>
      <c r="E44" s="316">
        <f ca="1">ROUND(C44*10000/'数据-汇总表'!D3,0)</f>
        <v>37311</v>
      </c>
      <c r="F44" s="317">
        <f ca="1">ROUND(C44/('数据-汇总表'!D3/666.67),0)</f>
        <v>2487</v>
      </c>
      <c r="G44" s="310"/>
      <c r="H44" s="310"/>
      <c r="I44" s="318"/>
      <c r="J44" s="2013"/>
      <c r="K44" s="1271" t="str">
        <f>D4</f>
        <v>剩余法-待开发</v>
      </c>
      <c r="L44" s="1272">
        <f ca="1">IF(L42="估价结果/万元",D19,D20)</f>
        <v>171977</v>
      </c>
      <c r="M44" s="1273">
        <f>D18</f>
        <v>0.5</v>
      </c>
      <c r="N44" s="1274"/>
      <c r="O44" s="1275"/>
      <c r="P44" s="2011"/>
      <c r="V44" s="2011"/>
    </row>
    <row r="45" spans="1:26" ht="15">
      <c r="A45" s="3354" t="str">
        <f>IF(项目基本情况!E8="已注销及未注销","4.抵押担保权已注销时的抵押价格",IF(项目基本情况!E8="已注销","3.抵押担保权已注销时的抵押价格","——"))</f>
        <v>——</v>
      </c>
      <c r="B45" s="3355"/>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50" t="str">
        <f>IF(项目基本情况!E9="抵押净值",IF(A45="——","4.抵押净值","5.抵押净值"),"——")</f>
        <v>——</v>
      </c>
      <c r="B46" s="3351"/>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本次评估估价师知悉的法定优先受偿款为人民币2430万元整。</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95" t="s">
        <v>374</v>
      </c>
      <c r="B63" s="3396"/>
      <c r="C63" s="3397"/>
      <c r="D63" s="340">
        <f ca="1">ROUND(C42*F63,0)</f>
        <v>96674</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56" t="s">
        <v>378</v>
      </c>
      <c r="B64" s="3357"/>
      <c r="C64" s="3357"/>
      <c r="D64" s="3357"/>
      <c r="E64" s="3357"/>
      <c r="F64" s="3357"/>
      <c r="G64" s="3358"/>
      <c r="H64" s="1281"/>
      <c r="I64" s="945"/>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1"/>
      <c r="I65" s="945"/>
      <c r="J65" s="1973"/>
      <c r="K65" s="1282"/>
      <c r="L65" s="1283"/>
      <c r="M65" s="1283"/>
      <c r="N65" s="1315" t="s">
        <v>379</v>
      </c>
      <c r="O65" s="1316"/>
      <c r="P65" s="1317"/>
      <c r="Q65" s="2011"/>
      <c r="R65" s="2011"/>
      <c r="S65" s="2011"/>
      <c r="T65" s="2011"/>
      <c r="U65" s="2011"/>
      <c r="V65" s="2011"/>
    </row>
    <row r="66" spans="1:22" ht="25.5">
      <c r="A66" s="3352" t="s">
        <v>386</v>
      </c>
      <c r="B66" s="3353"/>
      <c r="C66" s="3353"/>
      <c r="D66" s="260">
        <f ca="1">IF(H66="情况1",0,IF(H66="情况2",D70,IF(H66="情况3",D71,IF(H66="情况4",D72))))</f>
        <v>5064</v>
      </c>
      <c r="E66" s="990" t="str">
        <f>IF(H66="情况4","(销售额-原购置价)×税（费）率","销售额×税（费）率")</f>
        <v>销售额×税（费）率</v>
      </c>
      <c r="F66" s="349">
        <f>IF(H66="情况1","免征",'数据-取费表'!B41)</f>
        <v>5.5000000000000007E-2</v>
      </c>
      <c r="G66" s="350" t="s">
        <v>387</v>
      </c>
      <c r="H66" s="191" t="s">
        <v>388</v>
      </c>
      <c r="I66" s="1281"/>
      <c r="J66" s="2017"/>
      <c r="K66" s="1284">
        <v>1</v>
      </c>
      <c r="L66" s="3410" t="s">
        <v>385</v>
      </c>
      <c r="M66" s="3411"/>
      <c r="N66" s="2420"/>
      <c r="O66" s="2421"/>
      <c r="P66" s="2422"/>
      <c r="Q66" s="2011"/>
      <c r="R66" s="2011"/>
      <c r="S66" s="2011"/>
      <c r="T66" s="2011"/>
      <c r="U66" s="2011"/>
      <c r="V66" s="2011"/>
    </row>
    <row r="67" spans="1:22" ht="25.5" customHeight="1">
      <c r="A67" s="351" t="s">
        <v>390</v>
      </c>
      <c r="B67" s="3343" t="s">
        <v>391</v>
      </c>
      <c r="C67" s="3343"/>
      <c r="D67" s="352">
        <v>0</v>
      </c>
      <c r="E67" s="41" t="s">
        <v>392</v>
      </c>
      <c r="F67" s="62" t="s">
        <v>21</v>
      </c>
      <c r="G67" s="3398"/>
      <c r="H67" s="310"/>
      <c r="I67" s="1285"/>
      <c r="J67" s="2018"/>
      <c r="K67" s="1959">
        <v>2</v>
      </c>
      <c r="L67" s="3409" t="s">
        <v>389</v>
      </c>
      <c r="M67" s="3409"/>
      <c r="N67" s="1318">
        <f>'数据-取费表'!B2</f>
        <v>43920</v>
      </c>
      <c r="O67" s="1318"/>
      <c r="P67" s="1318"/>
      <c r="Q67" s="2011"/>
      <c r="R67" s="2011"/>
      <c r="S67" s="2011"/>
      <c r="T67" s="2011"/>
      <c r="U67" s="2011"/>
      <c r="V67" s="2011"/>
    </row>
    <row r="68" spans="1:22" ht="25.5" customHeight="1">
      <c r="A68" s="353"/>
      <c r="B68" s="3343" t="s">
        <v>394</v>
      </c>
      <c r="C68" s="3343"/>
      <c r="D68" s="354"/>
      <c r="E68" s="77"/>
      <c r="F68" s="355"/>
      <c r="G68" s="3399"/>
      <c r="H68" s="310"/>
      <c r="I68" s="1285"/>
      <c r="J68" s="2018"/>
      <c r="K68" s="1959">
        <v>3</v>
      </c>
      <c r="L68" s="3409" t="s">
        <v>393</v>
      </c>
      <c r="M68" s="3409"/>
      <c r="N68" s="1286">
        <f ca="1">C42</f>
        <v>161123</v>
      </c>
      <c r="O68" s="1286"/>
      <c r="P68" s="1286"/>
      <c r="Q68" s="2011"/>
      <c r="R68" s="2011"/>
      <c r="S68" s="2011"/>
      <c r="T68" s="2011"/>
      <c r="U68" s="2011"/>
      <c r="V68" s="2011"/>
    </row>
    <row r="69" spans="1:22" ht="12" customHeight="1">
      <c r="A69" s="356"/>
      <c r="B69" s="3343" t="s">
        <v>395</v>
      </c>
      <c r="C69" s="3343"/>
      <c r="D69" s="357"/>
      <c r="E69" s="73"/>
      <c r="F69" s="355"/>
      <c r="G69" s="3400"/>
      <c r="H69" s="310"/>
      <c r="I69" s="1285"/>
      <c r="J69" s="2018"/>
      <c r="K69" s="1287">
        <v>4</v>
      </c>
      <c r="L69" s="3414" t="s">
        <v>2880</v>
      </c>
      <c r="M69" s="3415"/>
      <c r="N69" s="1288">
        <f ca="1">C44</f>
        <v>158693</v>
      </c>
      <c r="O69" s="1288"/>
      <c r="P69" s="1288"/>
      <c r="Q69" s="2011"/>
      <c r="R69" s="2011"/>
      <c r="S69" s="2011"/>
      <c r="T69" s="2011"/>
      <c r="U69" s="2011"/>
      <c r="V69" s="2011"/>
    </row>
    <row r="70" spans="1:22" ht="24" customHeight="1">
      <c r="A70" s="358" t="s">
        <v>396</v>
      </c>
      <c r="B70" s="3343" t="s">
        <v>397</v>
      </c>
      <c r="C70" s="3343"/>
      <c r="D70" s="357">
        <f ca="1">ROUND(D63*'数据-取费表'!B41/(1+'数据-取费表'!C42),0)</f>
        <v>5064</v>
      </c>
      <c r="E70" s="17" t="s">
        <v>398</v>
      </c>
      <c r="F70" s="359">
        <f>'数据-取费表'!B41</f>
        <v>5.5000000000000007E-2</v>
      </c>
      <c r="G70" s="360"/>
      <c r="H70" s="310"/>
      <c r="I70" s="1285"/>
      <c r="J70" s="2018"/>
      <c r="K70" s="3009"/>
      <c r="L70" s="3010"/>
      <c r="M70" s="3010"/>
      <c r="N70" s="3011" t="s">
        <v>2885</v>
      </c>
      <c r="O70" s="3010"/>
      <c r="P70" s="3012"/>
      <c r="Q70" s="2011"/>
      <c r="R70" s="2011"/>
      <c r="S70" s="2011"/>
      <c r="T70" s="2011"/>
      <c r="U70" s="2011"/>
      <c r="V70" s="2011"/>
    </row>
    <row r="71" spans="1:22" ht="12" customHeight="1">
      <c r="A71" s="358" t="s">
        <v>404</v>
      </c>
      <c r="B71" s="3344" t="s">
        <v>405</v>
      </c>
      <c r="C71" s="3345"/>
      <c r="D71" s="357">
        <f ca="1">ROUND(D63*'数据-取费表'!B41/(1+'数据-取费表'!C42),0)</f>
        <v>5064</v>
      </c>
      <c r="E71" s="17" t="s">
        <v>398</v>
      </c>
      <c r="F71" s="359">
        <f>'数据-取费表'!B41</f>
        <v>5.5000000000000007E-2</v>
      </c>
      <c r="G71" s="360"/>
      <c r="H71" s="310"/>
      <c r="I71" s="1285"/>
      <c r="J71" s="2018"/>
      <c r="K71" s="3008" t="s">
        <v>399</v>
      </c>
      <c r="L71" s="3416" t="s">
        <v>400</v>
      </c>
      <c r="M71" s="3416"/>
      <c r="N71" s="3008" t="s">
        <v>401</v>
      </c>
      <c r="O71" s="3008" t="s">
        <v>402</v>
      </c>
      <c r="P71" s="3008" t="s">
        <v>403</v>
      </c>
      <c r="Q71" s="2011"/>
      <c r="R71" s="2011"/>
      <c r="S71" s="2011"/>
      <c r="T71" s="2011"/>
      <c r="U71" s="2011"/>
      <c r="V71" s="2011"/>
    </row>
    <row r="72" spans="1:22" ht="12" customHeight="1">
      <c r="A72" s="358" t="s">
        <v>407</v>
      </c>
      <c r="B72" s="3344" t="s">
        <v>408</v>
      </c>
      <c r="C72" s="3345"/>
      <c r="D72" s="357">
        <f ca="1">C86</f>
        <v>4954</v>
      </c>
      <c r="E72" s="73" t="s">
        <v>409</v>
      </c>
      <c r="F72" s="359">
        <f>'数据-取费表'!B41</f>
        <v>5.5000000000000007E-2</v>
      </c>
      <c r="G72" s="360"/>
      <c r="H72" s="1291"/>
      <c r="I72" s="1285"/>
      <c r="J72" s="2018"/>
      <c r="K72" s="1959">
        <v>1</v>
      </c>
      <c r="L72" s="3391" t="s">
        <v>406</v>
      </c>
      <c r="M72" s="3391"/>
      <c r="N72" s="1289">
        <f ca="1">D66</f>
        <v>5064</v>
      </c>
      <c r="O72" s="1842" t="str">
        <f>E66</f>
        <v>销售额×税（费）率</v>
      </c>
      <c r="P72" s="1290">
        <f>F66</f>
        <v>5.5000000000000007E-2</v>
      </c>
      <c r="Q72" s="2011"/>
      <c r="R72" s="2011"/>
      <c r="S72" s="2011"/>
      <c r="T72" s="2011"/>
      <c r="U72" s="2011"/>
      <c r="V72" s="2011"/>
    </row>
    <row r="73" spans="1:22" ht="24" customHeight="1">
      <c r="A73" s="3385" t="s">
        <v>411</v>
      </c>
      <c r="B73" s="3353"/>
      <c r="C73" s="3353"/>
      <c r="D73" s="361">
        <f>IF(H73="个人住宅",0,ROUND(D63*I73,0))</f>
        <v>0</v>
      </c>
      <c r="E73" s="17" t="s">
        <v>412</v>
      </c>
      <c r="F73" s="359" t="str">
        <f>IF(H73="正常",I73,"免征")</f>
        <v>免征</v>
      </c>
      <c r="G73" s="360"/>
      <c r="H73" s="191" t="s">
        <v>2453</v>
      </c>
      <c r="I73" s="359">
        <f>'数据-取费表'!B49</f>
        <v>5.0000000000000001E-4</v>
      </c>
      <c r="J73" s="2018"/>
      <c r="K73" s="1959">
        <v>2</v>
      </c>
      <c r="L73" s="3391" t="s">
        <v>410</v>
      </c>
      <c r="M73" s="3391"/>
      <c r="N73" s="1289">
        <f t="shared" ref="N73:P74" si="1">D73</f>
        <v>0</v>
      </c>
      <c r="O73" s="1842" t="str">
        <f t="shared" si="1"/>
        <v>销售额×税（费）率</v>
      </c>
      <c r="P73" s="1290" t="str">
        <f t="shared" si="1"/>
        <v>免征</v>
      </c>
      <c r="Q73" s="2011"/>
      <c r="R73" s="2011"/>
      <c r="S73" s="2011"/>
      <c r="T73" s="2011"/>
      <c r="U73" s="2011"/>
      <c r="V73" s="2011"/>
    </row>
    <row r="74" spans="1:22" ht="24.75">
      <c r="A74" s="3385" t="s">
        <v>415</v>
      </c>
      <c r="B74" s="3353"/>
      <c r="C74" s="3353"/>
      <c r="D74" s="361">
        <f ca="1">IF(H74="个人住宅",D75,D76)</f>
        <v>54150</v>
      </c>
      <c r="E74" s="17" t="s">
        <v>416</v>
      </c>
      <c r="F74" s="359" t="str">
        <f>IF(H74="正常",F76,"免征")</f>
        <v>——</v>
      </c>
      <c r="G74" s="980" t="s">
        <v>417</v>
      </c>
      <c r="H74" s="362" t="s">
        <v>413</v>
      </c>
      <c r="I74" s="42"/>
      <c r="J74" s="2018"/>
      <c r="K74" s="1959">
        <v>3</v>
      </c>
      <c r="L74" s="3391" t="s">
        <v>414</v>
      </c>
      <c r="M74" s="3391"/>
      <c r="N74" s="1289">
        <f t="shared" ca="1" si="1"/>
        <v>54150</v>
      </c>
      <c r="O74" s="1842" t="str">
        <f t="shared" si="1"/>
        <v>增值额×税（费）率</v>
      </c>
      <c r="P74" s="1292" t="str">
        <f t="shared" si="1"/>
        <v>——</v>
      </c>
      <c r="Q74" s="2011"/>
      <c r="R74" s="2011"/>
      <c r="S74" s="2011"/>
      <c r="T74" s="2011"/>
      <c r="U74" s="2011"/>
      <c r="V74" s="2011"/>
    </row>
    <row r="75" spans="1:22" ht="24">
      <c r="A75" s="358" t="s">
        <v>418</v>
      </c>
      <c r="B75" s="3341" t="s">
        <v>419</v>
      </c>
      <c r="C75" s="3371"/>
      <c r="D75" s="363">
        <v>0</v>
      </c>
      <c r="E75" s="41" t="s">
        <v>420</v>
      </c>
      <c r="F75" s="364"/>
      <c r="G75" s="360"/>
      <c r="H75" s="42"/>
      <c r="I75" s="42"/>
      <c r="J75" s="2018"/>
      <c r="K75" s="3001">
        <f>IF(H77="非个人房产","",4)</f>
        <v>4</v>
      </c>
      <c r="L75" s="3391" t="str">
        <f>IF(H77="非个人房产","——","个人所得税")</f>
        <v>个人所得税</v>
      </c>
      <c r="M75" s="3391"/>
      <c r="N75" s="1293">
        <f ca="1">D77</f>
        <v>967</v>
      </c>
      <c r="O75" s="1855" t="str">
        <f>E77</f>
        <v>销售额×税（费）率</v>
      </c>
      <c r="P75" s="1294">
        <f>F77</f>
        <v>0.01</v>
      </c>
      <c r="Q75" s="2011"/>
      <c r="R75" s="2011"/>
      <c r="S75" s="2011"/>
      <c r="T75" s="2011"/>
      <c r="U75" s="2011"/>
      <c r="V75" s="2011"/>
    </row>
    <row r="76" spans="1:22" ht="24.75">
      <c r="A76" s="358" t="s">
        <v>396</v>
      </c>
      <c r="B76" s="3341" t="s">
        <v>422</v>
      </c>
      <c r="C76" s="3342"/>
      <c r="D76" s="361">
        <f ca="1">IF(H76="转让取得",C99,C115)</f>
        <v>54150</v>
      </c>
      <c r="E76" s="17" t="s">
        <v>423</v>
      </c>
      <c r="F76" s="53" t="s">
        <v>21</v>
      </c>
      <c r="G76" s="360"/>
      <c r="H76" s="362" t="s">
        <v>424</v>
      </c>
      <c r="I76" s="42"/>
      <c r="J76" s="2018"/>
      <c r="K76" s="3001" t="str">
        <f>IF(项目基本情况!K6="上海银行",IF(K75="",4,K75+1),"")</f>
        <v/>
      </c>
      <c r="L76" s="3402" t="str">
        <f>IF(项目基本情况!K6="上海银行","其他处置费用","")</f>
        <v/>
      </c>
      <c r="M76" s="3403"/>
      <c r="N76" s="1289" t="str">
        <f>IF(项目基本情况!K6="上海银行",N89,"")</f>
        <v/>
      </c>
      <c r="O76" s="3404" t="str">
        <f>IF(项目基本情况!K6="上海银行","包含处置中涉及的律师、诉讼、拍卖、评估等费用","")</f>
        <v/>
      </c>
      <c r="P76" s="3405"/>
      <c r="Q76" s="2011"/>
      <c r="R76" s="2011"/>
      <c r="S76" s="2011"/>
      <c r="T76" s="2011"/>
      <c r="U76" s="2011"/>
      <c r="V76" s="2011"/>
    </row>
    <row r="77" spans="1:22" ht="26.25" thickBot="1">
      <c r="A77" s="3393" t="s">
        <v>426</v>
      </c>
      <c r="B77" s="3394"/>
      <c r="C77" s="3394"/>
      <c r="D77" s="365">
        <f ca="1">IF(H77="非个人房产","——",IF(H77="个人住宅",0,ROUND(D63*I77,0)))</f>
        <v>967</v>
      </c>
      <c r="E77" s="366" t="str">
        <f>IF(H77="非个人房产","——","销售额×税（费）率")</f>
        <v>销售额×税（费）率</v>
      </c>
      <c r="F77" s="367">
        <f>IF(H77="非个人房产","——",IF(H77="个人住宅","免征",I77))</f>
        <v>0.01</v>
      </c>
      <c r="G77" s="981" t="s">
        <v>417</v>
      </c>
      <c r="H77" s="362" t="s">
        <v>2881</v>
      </c>
      <c r="I77" s="368">
        <v>0.01</v>
      </c>
      <c r="J77" s="2018"/>
      <c r="K77" s="3392">
        <f>IF(AND(K75="",K76=""),4,IF(项目基本情况!K6="上海银行",K76+1,K75+1))</f>
        <v>5</v>
      </c>
      <c r="L77" s="3391" t="s">
        <v>2882</v>
      </c>
      <c r="M77" s="3007" t="s">
        <v>421</v>
      </c>
      <c r="N77" s="1295"/>
      <c r="O77" s="1296">
        <f ca="1">SUMIF(N72:N76,"&lt;9e307")</f>
        <v>60181</v>
      </c>
      <c r="P77" s="1297"/>
      <c r="Q77" s="3005">
        <f ca="1">O77/N69</f>
        <v>0.3792290775270491</v>
      </c>
      <c r="R77" s="2011"/>
      <c r="S77" s="2011"/>
      <c r="T77" s="2011"/>
      <c r="U77" s="2011"/>
      <c r="V77" s="2011"/>
    </row>
    <row r="78" spans="1:22" ht="12" customHeight="1">
      <c r="A78" s="1298"/>
      <c r="B78" s="310"/>
      <c r="C78" s="310"/>
      <c r="D78" s="310"/>
      <c r="E78" s="42"/>
      <c r="F78" s="42"/>
      <c r="G78" s="42"/>
      <c r="H78" s="1000"/>
      <c r="I78" s="310"/>
      <c r="J78" s="2018"/>
      <c r="K78" s="3392"/>
      <c r="L78" s="3391"/>
      <c r="M78" s="3007" t="s">
        <v>425</v>
      </c>
      <c r="N78" s="1295"/>
      <c r="O78" s="1296" t="str">
        <f ca="1">NUMBERSTRING(INT(O77*10000),2)&amp;"元整"</f>
        <v>陆亿零壹佰捌拾壹万元整</v>
      </c>
      <c r="P78" s="1297"/>
      <c r="Q78" s="2011"/>
      <c r="R78" s="2011"/>
      <c r="S78" s="2011"/>
      <c r="T78" s="2011"/>
      <c r="U78" s="2011"/>
      <c r="V78" s="2011"/>
    </row>
    <row r="79" spans="1:22" ht="13.5" thickBot="1">
      <c r="A79" s="3386" t="s">
        <v>427</v>
      </c>
      <c r="B79" s="3386"/>
      <c r="C79" s="3386"/>
      <c r="D79" s="3386"/>
      <c r="E79" s="3386"/>
      <c r="F79" s="42"/>
      <c r="G79" s="42"/>
      <c r="H79" s="1000"/>
      <c r="I79" s="310"/>
      <c r="J79" s="2018"/>
      <c r="K79" s="3412">
        <f>K77+1</f>
        <v>6</v>
      </c>
      <c r="L79" s="3391" t="s">
        <v>2883</v>
      </c>
      <c r="M79" s="3007" t="s">
        <v>421</v>
      </c>
      <c r="N79" s="1295"/>
      <c r="O79" s="1296">
        <f ca="1">N69-O77</f>
        <v>98512</v>
      </c>
      <c r="P79" s="1297"/>
      <c r="Q79" s="2011"/>
      <c r="R79" s="2011"/>
      <c r="S79" s="2011"/>
      <c r="T79" s="2011"/>
      <c r="U79" s="2011"/>
      <c r="V79" s="2011"/>
    </row>
    <row r="80" spans="1:22" ht="25.5">
      <c r="A80" s="3381" t="s">
        <v>428</v>
      </c>
      <c r="B80" s="3382"/>
      <c r="C80" s="991"/>
      <c r="D80" s="991" t="s">
        <v>429</v>
      </c>
      <c r="E80" s="369" t="s">
        <v>430</v>
      </c>
      <c r="F80" s="42"/>
      <c r="G80" s="42"/>
      <c r="H80" s="1000"/>
      <c r="I80" s="310"/>
      <c r="J80" s="2011"/>
      <c r="K80" s="3413"/>
      <c r="L80" s="3391"/>
      <c r="M80" s="3007" t="s">
        <v>425</v>
      </c>
      <c r="N80" s="1295"/>
      <c r="O80" s="1296" t="str">
        <f ca="1">NUMBERSTRING(INT(O79*10000),2)&amp;"元整"</f>
        <v>玖亿捌仟伍佰壹拾贰万元整</v>
      </c>
      <c r="P80" s="1297"/>
      <c r="Q80" s="2011"/>
      <c r="R80" s="2011"/>
      <c r="S80" s="2011"/>
      <c r="T80" s="2011"/>
      <c r="U80" s="2011"/>
      <c r="V80" s="2011"/>
    </row>
    <row r="81" spans="1:26" ht="13.5" thickBot="1">
      <c r="A81" s="380" t="s">
        <v>1823</v>
      </c>
      <c r="B81" s="370" t="s">
        <v>431</v>
      </c>
      <c r="C81" s="371">
        <f ca="1">ROUND((C82+C83)/(1+'数据-取费表'!C42),0)</f>
        <v>92070</v>
      </c>
      <c r="D81" s="372"/>
      <c r="E81" s="373"/>
      <c r="F81" s="42"/>
      <c r="G81" s="42"/>
      <c r="H81" s="1000"/>
      <c r="I81" s="310"/>
      <c r="J81" s="2011"/>
      <c r="K81" s="3001">
        <f>K79+1</f>
        <v>7</v>
      </c>
      <c r="L81" s="3389" t="s">
        <v>2884</v>
      </c>
      <c r="M81" s="3390"/>
      <c r="N81" s="1299"/>
      <c r="O81" s="1300">
        <f ca="1">ROUND(O79*10000/'数据-汇总表'!E3,0)</f>
        <v>10151</v>
      </c>
      <c r="P81" s="1301"/>
      <c r="Q81" s="2011"/>
      <c r="R81" s="2011"/>
      <c r="S81" s="2011"/>
      <c r="T81" s="2011"/>
      <c r="U81" s="2011"/>
      <c r="V81" s="2011"/>
    </row>
    <row r="82" spans="1:26" ht="13.5" thickTop="1">
      <c r="A82" s="374" t="s">
        <v>1824</v>
      </c>
      <c r="B82" s="375" t="s">
        <v>432</v>
      </c>
      <c r="C82" s="376">
        <f ca="1">D63</f>
        <v>96674</v>
      </c>
      <c r="D82" s="377" t="s">
        <v>19</v>
      </c>
      <c r="E82" s="378"/>
      <c r="F82" s="42"/>
      <c r="G82" s="42"/>
      <c r="H82" s="1000"/>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0"/>
      <c r="I83" s="310"/>
      <c r="J83" s="2011"/>
      <c r="K83" s="3401" t="s">
        <v>2871</v>
      </c>
      <c r="L83" s="3013" t="s">
        <v>2872</v>
      </c>
      <c r="M83" s="3003">
        <f ca="1">IF(N69&gt;10000,N69*0.5%,IF(AND(N69&gt;1000,N69&lt;=10000),N69*1%,IF(AND(N69&gt;100,N69&lt;=1000),N69*3%,IF(AND(N69&gt;10,N69&lt;=100),N69*5%,N69*8%))))</f>
        <v>793.46500000000003</v>
      </c>
      <c r="N83" s="53">
        <f ca="1">ROUND(M83,1)</f>
        <v>793.5</v>
      </c>
      <c r="O83" s="3006"/>
      <c r="P83" s="2011"/>
      <c r="Q83" s="2011"/>
      <c r="R83" s="2011"/>
      <c r="S83" s="2011"/>
      <c r="T83" s="2011"/>
      <c r="U83" s="2011"/>
      <c r="V83" s="2011"/>
    </row>
    <row r="84" spans="1:26" ht="12.75">
      <c r="A84" s="380" t="s">
        <v>1826</v>
      </c>
      <c r="B84" s="381" t="s">
        <v>434</v>
      </c>
      <c r="C84" s="382">
        <v>2000</v>
      </c>
      <c r="D84" s="383" t="s">
        <v>19</v>
      </c>
      <c r="E84" s="3048" t="s">
        <v>2938</v>
      </c>
      <c r="F84" s="42"/>
      <c r="G84" s="42"/>
      <c r="H84" s="1000"/>
      <c r="I84" s="310"/>
      <c r="J84" s="2011"/>
      <c r="K84" s="3401"/>
      <c r="L84" s="3013" t="s">
        <v>2873</v>
      </c>
      <c r="M84" s="3003">
        <f ca="1">IF(N69&gt;2000,N69*0.5%,IF(AND(N69&gt;1000,N69&lt;=2000),N69*0.6%,IF(AND(N69&gt;500,N69&lt;=1000),N69*0.7%,IF(AND(N69&gt;200,N69&lt;=500),N69*0.8%,IF(AND(N69&gt;100,N69&lt;=200),N69*0.9%,IF(AND(N69&gt;50,N69&lt;=100),N69*1%,IF(AND(N69&gt;20,N69&lt;=50),N69*1.5%,IF(AND(N69&gt;10,N69&lt;=20),N69*2%,IF(AND(N69&gt;1,N69&lt;=10),N69*2.5%)))))))))</f>
        <v>793.46500000000003</v>
      </c>
      <c r="N84" s="53">
        <f t="shared" ref="N84:N85" ca="1" si="2">ROUND(M84,1)</f>
        <v>793.5</v>
      </c>
      <c r="O84" s="2011" t="s">
        <v>2874</v>
      </c>
      <c r="P84" s="2011"/>
      <c r="Q84" s="2011"/>
      <c r="R84" s="2011"/>
      <c r="S84" s="2011"/>
      <c r="T84" s="2011"/>
      <c r="U84" s="2011"/>
      <c r="V84" s="2011"/>
    </row>
    <row r="85" spans="1:26" ht="12.75">
      <c r="A85" s="380" t="s">
        <v>1827</v>
      </c>
      <c r="B85" s="381" t="s">
        <v>435</v>
      </c>
      <c r="C85" s="384">
        <f ca="1">C81-C84</f>
        <v>90070</v>
      </c>
      <c r="D85" s="377" t="s">
        <v>19</v>
      </c>
      <c r="E85" s="378"/>
      <c r="F85" s="42"/>
      <c r="G85" s="42"/>
      <c r="H85" s="1000"/>
      <c r="I85" s="310"/>
      <c r="J85" s="2011"/>
      <c r="K85" s="3401"/>
      <c r="L85" s="3013" t="s">
        <v>2875</v>
      </c>
      <c r="M85" s="3003">
        <f ca="1">IF(N69&gt;1000,N69*0.1%,IF(AND(N69&gt;500,N69&lt;=1000),N69*0.5%,IF(AND(N69&gt;50,N69&lt;=500),N69*1%,IF(AND(N69&gt;1,N69&lt;=50),N69*1.5%))))</f>
        <v>158.69300000000001</v>
      </c>
      <c r="N85" s="53">
        <f t="shared" ca="1" si="2"/>
        <v>158.69999999999999</v>
      </c>
      <c r="O85" s="2011" t="s">
        <v>2874</v>
      </c>
      <c r="P85" s="2011"/>
      <c r="Q85" s="2011"/>
      <c r="R85" s="2011"/>
      <c r="S85" s="2011"/>
      <c r="T85" s="2011"/>
      <c r="U85" s="2011"/>
      <c r="V85" s="2011"/>
    </row>
    <row r="86" spans="1:26" ht="13.5" thickBot="1">
      <c r="A86" s="385" t="s">
        <v>1828</v>
      </c>
      <c r="B86" s="386" t="s">
        <v>436</v>
      </c>
      <c r="C86" s="387">
        <f ca="1">IF(C85&lt;=0,0,ROUND(C85*D86,0))</f>
        <v>4954</v>
      </c>
      <c r="D86" s="388">
        <f>'数据-取费表'!B41</f>
        <v>5.5000000000000007E-2</v>
      </c>
      <c r="E86" s="389"/>
      <c r="F86" s="42"/>
      <c r="G86" s="42"/>
      <c r="H86" s="1000"/>
      <c r="I86" s="310"/>
      <c r="J86" s="2011"/>
      <c r="K86" s="3401"/>
      <c r="L86" s="3013" t="s">
        <v>2876</v>
      </c>
      <c r="M86" s="3003">
        <f ca="1">N69*0.5%</f>
        <v>793.46500000000003</v>
      </c>
      <c r="N86" s="53">
        <f ca="1">IF(M86&gt;0.5,0.5,ROUND(M86,0))</f>
        <v>0.5</v>
      </c>
      <c r="O86" s="2011" t="s">
        <v>2877</v>
      </c>
      <c r="P86" s="2011"/>
      <c r="Q86" s="2011"/>
      <c r="R86" s="2011"/>
      <c r="S86" s="2011"/>
      <c r="T86" s="2011"/>
      <c r="U86" s="2011"/>
      <c r="V86" s="2011"/>
    </row>
    <row r="87" spans="1:26" s="1247" customFormat="1" ht="14.25" customHeight="1">
      <c r="A87" s="1302"/>
      <c r="B87" s="1303"/>
      <c r="C87" s="1304"/>
      <c r="D87" s="1305"/>
      <c r="E87" s="1306"/>
      <c r="F87" s="42"/>
      <c r="G87" s="42"/>
      <c r="H87" s="1000"/>
      <c r="I87" s="310"/>
      <c r="J87" s="2011"/>
      <c r="K87" s="3401"/>
      <c r="L87" s="3013" t="s">
        <v>2878</v>
      </c>
      <c r="M87" s="3003">
        <f ca="1">IF(N69&gt;=10000,(8.25+(N69-10000)*0.01%),IF(AND(N69&gt;=8000,N69&lt;10000),(7.85+(N69-8000)*0.02%),IF(AND(N69&gt;=5000,N69&lt;8000),(6.65+(N69-5000)*0.04%),IF(AND(N69&gt;=2000,N69&lt;5000),(4.25+(PN69-2000)*0.08%),IF(AND(N69&gt;=1000,N69&lt;2000),(2.75+(N69-1000)*0.15%),IF(AND(N69&gt;=100,N69&lt;1000),(0.5+(N69-100)*0.25%),IF(AND(N69&gt;0,N69&lt;100),N69*0.5%)))))))</f>
        <v>23.119300000000003</v>
      </c>
      <c r="N87" s="53">
        <f ca="1">ROUND(M87*0.9,1)</f>
        <v>20.8</v>
      </c>
      <c r="O87" s="3006"/>
      <c r="P87" s="310"/>
      <c r="Q87" s="2011"/>
      <c r="R87" s="2011"/>
      <c r="S87" s="2011"/>
      <c r="T87" s="2011"/>
      <c r="U87" s="2011"/>
      <c r="V87" s="2011"/>
      <c r="W87" s="291"/>
      <c r="X87" s="291"/>
      <c r="Y87" s="291"/>
      <c r="Z87" s="291"/>
    </row>
    <row r="88" spans="1:26" s="1307" customFormat="1" ht="15" thickBot="1">
      <c r="A88" s="3383" t="s">
        <v>437</v>
      </c>
      <c r="B88" s="3384"/>
      <c r="C88" s="3384"/>
      <c r="D88" s="3384"/>
      <c r="E88" s="3384"/>
      <c r="F88" s="3384"/>
      <c r="G88" s="3384"/>
      <c r="H88" s="3384"/>
      <c r="I88" s="1308"/>
      <c r="J88" s="2019"/>
      <c r="K88" s="3401"/>
      <c r="L88" s="3013" t="s">
        <v>2879</v>
      </c>
      <c r="M88" s="3003">
        <f ca="1">IF(N69&gt;10000,N69*0.5%,IF(AND(N69&gt;5000,N69&lt;=10000),N69*1%,IF(AND(N69&gt;1000,N69&lt;=5000),N69*2%,IF(AND(N69&gt;200,N69&lt;=1000),N69*3%,N69*5%))))</f>
        <v>793.46500000000003</v>
      </c>
      <c r="N88" s="53">
        <f ca="1">ROUND(M88,1)</f>
        <v>793.5</v>
      </c>
      <c r="O88" s="3006"/>
      <c r="P88" s="11"/>
      <c r="Q88" s="2016"/>
      <c r="R88" s="2016"/>
      <c r="S88" s="2016"/>
      <c r="T88" s="2016"/>
      <c r="U88" s="2016"/>
      <c r="V88" s="2016"/>
      <c r="W88" s="2020"/>
      <c r="X88" s="2020"/>
      <c r="Y88" s="2020"/>
      <c r="Z88" s="2020"/>
    </row>
    <row r="89" spans="1:26" s="1307" customFormat="1" ht="14.25">
      <c r="A89" s="3381" t="s">
        <v>428</v>
      </c>
      <c r="B89" s="3382"/>
      <c r="C89" s="991"/>
      <c r="D89" s="991" t="s">
        <v>429</v>
      </c>
      <c r="E89" s="390" t="s">
        <v>438</v>
      </c>
      <c r="F89" s="391"/>
      <c r="G89" s="391"/>
      <c r="H89" s="392"/>
      <c r="I89" s="1309"/>
      <c r="J89" s="2021"/>
      <c r="K89" s="3401"/>
      <c r="L89" s="3013" t="s">
        <v>27</v>
      </c>
      <c r="M89" s="3004"/>
      <c r="N89" s="53">
        <f ca="1">ROUND(SUM(N83:N88),0)</f>
        <v>2561</v>
      </c>
      <c r="O89" s="3014">
        <f ca="1">N89/N69</f>
        <v>1.6138077924042017E-2</v>
      </c>
      <c r="P89" s="2016"/>
      <c r="Q89" s="2016"/>
      <c r="R89" s="2016"/>
      <c r="S89" s="2016"/>
      <c r="T89" s="2016"/>
      <c r="U89" s="2016"/>
      <c r="V89" s="2016"/>
      <c r="W89" s="2020"/>
      <c r="X89" s="2020"/>
      <c r="Y89" s="2020"/>
      <c r="Z89" s="2020"/>
    </row>
    <row r="90" spans="1:26" s="1307" customFormat="1" ht="14.25">
      <c r="A90" s="380" t="s">
        <v>1823</v>
      </c>
      <c r="B90" s="381" t="s">
        <v>439</v>
      </c>
      <c r="C90" s="384">
        <f ca="1">ROUND(D63/(1+'数据-取费表'!C42),0)</f>
        <v>92070</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1829</v>
      </c>
      <c r="B91" s="347" t="s">
        <v>440</v>
      </c>
      <c r="C91" s="384">
        <f ca="1">C92+C96</f>
        <v>3021</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1830</v>
      </c>
      <c r="B92" s="375" t="s">
        <v>441</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1832</v>
      </c>
      <c r="B94" s="399" t="s">
        <v>446</v>
      </c>
      <c r="C94" s="377">
        <f>IF(F93="购房发票",ROUND(C93*H93*5%,0),0)</f>
        <v>500</v>
      </c>
      <c r="D94" s="400">
        <v>0.05</v>
      </c>
      <c r="E94" s="3344" t="s">
        <v>447</v>
      </c>
      <c r="F94" s="3343"/>
      <c r="G94" s="3343"/>
      <c r="H94" s="3380"/>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1834</v>
      </c>
      <c r="B96" s="375" t="s">
        <v>450</v>
      </c>
      <c r="C96" s="404">
        <f ca="1">ROUND(D63*D96/(1+'数据-取费表'!C42),0)</f>
        <v>460</v>
      </c>
      <c r="D96" s="405">
        <f>'数据-取费表'!B43</f>
        <v>5.000000000000001E-3</v>
      </c>
      <c r="E96" s="3372" t="s">
        <v>2426</v>
      </c>
      <c r="F96" s="3373"/>
      <c r="G96" s="3373"/>
      <c r="H96" s="3374"/>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81" t="s">
        <v>451</v>
      </c>
      <c r="C97" s="384">
        <f ca="1">C90-C91</f>
        <v>89049</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81" t="s">
        <v>452</v>
      </c>
      <c r="C98" s="406">
        <f ca="1">IF(C97&lt;=0,0,C97/C91)</f>
        <v>29.476663356504467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6" t="s">
        <v>453</v>
      </c>
      <c r="C99" s="407">
        <f ca="1">ROUND(IF(C97&lt;=0,0,IF(C98&gt;=200%,C97*60%-C91*35%,IF(C98&gt;=100%,C97*50%-C91*15%,IF(C98&gt;=50%,C97*40%-C91*5%,IF(C98&lt;50%,C97*30%,0))))),0)</f>
        <v>52372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383" t="s">
        <v>454</v>
      </c>
      <c r="B101" s="3384"/>
      <c r="C101" s="3384"/>
      <c r="D101" s="3384"/>
      <c r="E101" s="3384"/>
      <c r="F101" s="3384"/>
      <c r="G101" s="3384"/>
      <c r="H101" s="3384"/>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81" t="s">
        <v>428</v>
      </c>
      <c r="B102" s="3382"/>
      <c r="C102" s="991"/>
      <c r="D102" s="991"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1823</v>
      </c>
      <c r="B103" s="381" t="s">
        <v>439</v>
      </c>
      <c r="C103" s="384">
        <f ca="1">ROUND(D63/(1+'数据-取费表'!C42),0)</f>
        <v>92070</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1829</v>
      </c>
      <c r="B104" s="347" t="s">
        <v>440</v>
      </c>
      <c r="C104" s="384">
        <f ca="1">IF(H106="仅含出让金",C105+C108+C109+C110+C111+C112,C105+C109+C110+C111+C112)</f>
        <v>1150</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1830</v>
      </c>
      <c r="B105" s="375" t="s">
        <v>455</v>
      </c>
      <c r="C105" s="404">
        <f>C106+C107</f>
        <v>572</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1831</v>
      </c>
      <c r="B106" s="375" t="s">
        <v>456</v>
      </c>
      <c r="C106" s="415">
        <v>555</v>
      </c>
      <c r="D106" s="405"/>
      <c r="E106" s="416" t="s">
        <v>457</v>
      </c>
      <c r="F106" s="983"/>
      <c r="G106" s="417" t="s">
        <v>458</v>
      </c>
      <c r="H106" s="418"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1832</v>
      </c>
      <c r="B107" s="375" t="s">
        <v>448</v>
      </c>
      <c r="C107" s="404">
        <f>ROUND(C106*D107,0)</f>
        <v>17</v>
      </c>
      <c r="D107" s="405">
        <f>'数据-取费表'!B48+'数据-取费表'!B49</f>
        <v>3.0499999999999999E-2</v>
      </c>
      <c r="E107" s="416"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5" t="s">
        <v>461</v>
      </c>
      <c r="C109" s="404">
        <f>IF(H109="——",IF(F1="现房",'剩余法-现房'!C18,'剩余法-待开发'!C18),I109)</f>
        <v>55</v>
      </c>
      <c r="D109" s="405"/>
      <c r="E109" s="3375" t="s">
        <v>462</v>
      </c>
      <c r="F109" s="3373"/>
      <c r="G109" s="3373"/>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5" t="s">
        <v>463</v>
      </c>
      <c r="C110" s="404">
        <f>ROUND((C105+C108+C109)*D110,0)</f>
        <v>63</v>
      </c>
      <c r="D110" s="405">
        <v>0.1</v>
      </c>
      <c r="E110" s="3375" t="s">
        <v>464</v>
      </c>
      <c r="F110" s="3373"/>
      <c r="G110" s="3373"/>
      <c r="H110" s="3374"/>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5" t="s">
        <v>450</v>
      </c>
      <c r="C111" s="404">
        <f ca="1">ROUND(D63*D111/(1+'数据-取费表'!C42),0)</f>
        <v>460</v>
      </c>
      <c r="D111" s="405">
        <f>'数据-取费表'!B43</f>
        <v>5.000000000000001E-3</v>
      </c>
      <c r="E111" s="3372" t="s">
        <v>2426</v>
      </c>
      <c r="F111" s="3373"/>
      <c r="G111" s="3373"/>
      <c r="H111" s="3374"/>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5" t="s">
        <v>465</v>
      </c>
      <c r="C112" s="404">
        <f>ROUND(C108*D112,0)</f>
        <v>0</v>
      </c>
      <c r="D112" s="405">
        <v>0.2</v>
      </c>
      <c r="E112" s="3375" t="s">
        <v>2451</v>
      </c>
      <c r="F112" s="3373"/>
      <c r="G112" s="3373"/>
      <c r="H112" s="3374"/>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81" t="s">
        <v>451</v>
      </c>
      <c r="C113" s="384">
        <f ca="1">ROUND(C103-C104,0)</f>
        <v>90920</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81" t="s">
        <v>452</v>
      </c>
      <c r="C114" s="406">
        <f ca="1">IF(C113&lt;=0,0,C113/C104)</f>
        <v>79.060869565217388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6" t="s">
        <v>453</v>
      </c>
      <c r="C115" s="407">
        <f ca="1">ROUND(IF(C113&lt;=0,0,IF(C114&gt;=200%,C113*60%-C104*35%,IF(C114&gt;=100%,C113*50%-C104*15%,IF(C114&gt;=50%,C113*40%-C104*5%,IF(C114&lt;50%,C113*30%,0))))),0)</f>
        <v>54150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171977</v>
      </c>
      <c r="C2" s="2087"/>
      <c r="D2" s="2087"/>
      <c r="E2" s="2087"/>
      <c r="F2" s="2087"/>
      <c r="G2" s="2087"/>
      <c r="H2" s="2087"/>
      <c r="I2" s="2087"/>
      <c r="J2" s="2087"/>
      <c r="K2" s="2087"/>
    </row>
    <row r="3" spans="1:31" s="2024" customFormat="1" ht="18" customHeight="1">
      <c r="A3" s="2089" t="s">
        <v>1684</v>
      </c>
      <c r="B3" s="2090">
        <f ca="1">ROUND(B2*10000/IF(B1="",'数据-汇总表'!E3,INDIRECT("'数据-取费表'!K"&amp;$K$1)),0)</f>
        <v>17721</v>
      </c>
      <c r="C3" s="2087"/>
      <c r="D3" s="2087"/>
      <c r="E3" s="2087"/>
      <c r="F3" s="2087"/>
      <c r="G3" s="2087"/>
      <c r="H3" s="2087"/>
      <c r="I3" s="2087"/>
      <c r="J3" s="2087"/>
      <c r="K3" s="2087"/>
    </row>
    <row r="4" spans="1:31" s="2024" customFormat="1" ht="18" customHeight="1">
      <c r="A4" s="425" t="s">
        <v>468</v>
      </c>
      <c r="B4" s="426">
        <f ca="1">ROUND(B2*10000/IF(B1="",'数据-汇总表'!D3,INDIRECT("'数据-取费表'!R"&amp;$K$1)),0)</f>
        <v>40434</v>
      </c>
      <c r="C4" s="427"/>
      <c r="D4" s="421"/>
      <c r="E4" s="421"/>
      <c r="F4" s="421"/>
      <c r="G4" s="421"/>
      <c r="H4" s="421"/>
      <c r="I4" s="421"/>
      <c r="J4" s="421"/>
      <c r="K4" s="421"/>
    </row>
    <row r="5" spans="1:31" s="2024" customFormat="1" ht="18" customHeight="1" thickBot="1">
      <c r="A5" s="428"/>
      <c r="B5" s="429">
        <f ca="1">ROUND(B2/(IF(B1="",'数据-汇总表'!D3,INDIRECT("'数据-取费表'!R"&amp;$K$1))/666.67),0)</f>
        <v>2696</v>
      </c>
      <c r="C5" s="430" t="s">
        <v>469</v>
      </c>
      <c r="D5" s="421"/>
      <c r="E5" s="421"/>
      <c r="F5" s="421"/>
      <c r="G5" s="421"/>
      <c r="H5" s="421"/>
      <c r="I5" s="421"/>
      <c r="J5" s="421"/>
      <c r="K5" s="421"/>
    </row>
    <row r="6" spans="1:31" s="2094" customFormat="1" ht="16.5" customHeight="1">
      <c r="A6" s="2781" t="s">
        <v>1842</v>
      </c>
      <c r="B6" s="2782"/>
      <c r="C6" s="2783">
        <f ca="1">SUM(C10:K10)</f>
        <v>281855</v>
      </c>
      <c r="D6" s="2782"/>
      <c r="E6" s="2782"/>
      <c r="F6" s="2782"/>
      <c r="G6" s="2782"/>
      <c r="H6" s="2782"/>
      <c r="I6" s="2782"/>
      <c r="J6" s="2782"/>
      <c r="K6" s="2784"/>
    </row>
    <row r="7" spans="1:31" s="2096" customFormat="1" ht="15">
      <c r="A7" s="2785" t="s">
        <v>470</v>
      </c>
      <c r="B7" s="2786" t="s">
        <v>471</v>
      </c>
      <c r="C7" s="435" t="s">
        <v>3003</v>
      </c>
      <c r="D7" s="435" t="s">
        <v>3015</v>
      </c>
      <c r="E7" s="435" t="s">
        <v>3177</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 ca="1">不动产收益法!B3</f>
        <v>3960</v>
      </c>
      <c r="D8" s="3565">
        <f>'不动产比较法-住宅'!B3</f>
        <v>39165</v>
      </c>
      <c r="E8" s="3565">
        <f>D8*0.4</f>
        <v>15666</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16471</v>
      </c>
      <c r="D9" s="440">
        <f>SUMIF('数据-汇总表'!$C19:$C33,'剩余法-待开发'!D7,'数据-汇总表'!$E19:$E33)</f>
        <v>67178</v>
      </c>
      <c r="E9" s="440">
        <f>SUMIF('数据-汇总表'!$C19:$C33,'剩余法-待开发'!E7,'数据-汇总表'!$E19:$E33)</f>
        <v>7806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7">
        <f ca="1">不动产收益法!B2</f>
        <v>6523</v>
      </c>
      <c r="D10" s="2977">
        <f>'不动产比较法-住宅'!B2</f>
        <v>263103</v>
      </c>
      <c r="E10" s="2977">
        <f>ROUND(E8*E9/10000,0)</f>
        <v>12229</v>
      </c>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23456</v>
      </c>
      <c r="D13" s="2797"/>
      <c r="E13" s="2798"/>
      <c r="F13" s="2799"/>
      <c r="G13" s="2765"/>
      <c r="H13" s="2766"/>
      <c r="I13" s="2766"/>
      <c r="J13" s="2766"/>
      <c r="K13" s="2767"/>
    </row>
    <row r="14" spans="1:31" s="2099" customFormat="1" ht="13.5" customHeight="1">
      <c r="A14" s="2795" t="s">
        <v>1849</v>
      </c>
      <c r="B14" s="2796" t="s">
        <v>480</v>
      </c>
      <c r="C14" s="53">
        <f ca="1">ROUND(C13*F14,0)</f>
        <v>704</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840</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1941</v>
      </c>
      <c r="D16" s="2797">
        <f ca="1">IF(B1="",'数据-汇总表'!E3,INDIRECT("'数据-取费表'!K"&amp;$K$1)+INDIRECT("'数据-取费表'!S"&amp;$K$1))</f>
        <v>97045</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352</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27293</v>
      </c>
      <c r="D18" s="2806"/>
      <c r="E18" s="467"/>
      <c r="F18" s="467"/>
      <c r="G18" s="2769" t="s">
        <v>2428</v>
      </c>
      <c r="H18" s="2770"/>
      <c r="I18" s="2770"/>
      <c r="J18" s="2770"/>
      <c r="K18" s="2771"/>
    </row>
    <row r="19" spans="1:14" s="2099" customFormat="1" ht="13.5" customHeight="1">
      <c r="A19" s="2803" t="s">
        <v>1854</v>
      </c>
      <c r="B19" s="2804" t="s">
        <v>488</v>
      </c>
      <c r="C19" s="2761">
        <f ca="1">ROUND(D19*E19/10000,0)</f>
        <v>0</v>
      </c>
      <c r="D19" s="2807">
        <f ca="1">D16</f>
        <v>97045</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1672</v>
      </c>
      <c r="D20" s="2807"/>
      <c r="E20" s="2761"/>
      <c r="F20" s="2808"/>
      <c r="G20" s="3036" t="s">
        <v>3182</v>
      </c>
      <c r="H20" s="2763"/>
      <c r="I20" s="2764" t="s">
        <v>2648</v>
      </c>
      <c r="J20" s="2770"/>
      <c r="K20" s="2771"/>
    </row>
    <row r="21" spans="1:14" s="2099" customFormat="1" ht="13.5" customHeight="1">
      <c r="A21" s="2795" t="s">
        <v>1856</v>
      </c>
      <c r="B21" s="2796" t="s">
        <v>491</v>
      </c>
      <c r="C21" s="53">
        <f ca="1">ROUND(D21*E21/10000,0)</f>
        <v>1075</v>
      </c>
      <c r="D21" s="2797">
        <f ca="1">IF(B1="",'数据-汇总表'!E5,IF(INDIRECT("'数据-取费表'!c"&amp;$K$1)="住宅",INDIRECT("'数据-取费表'!k"&amp;$K$1),0))</f>
        <v>67178</v>
      </c>
      <c r="E21" s="53">
        <f>'数据-取费表'!B27</f>
        <v>160</v>
      </c>
      <c r="F21" s="2800"/>
      <c r="G21" s="26"/>
      <c r="H21" s="51"/>
      <c r="I21" s="51"/>
      <c r="J21" s="51"/>
      <c r="K21" s="2772"/>
    </row>
    <row r="22" spans="1:14" s="2099" customFormat="1" ht="13.5" customHeight="1">
      <c r="A22" s="2795" t="s">
        <v>1857</v>
      </c>
      <c r="B22" s="2796" t="s">
        <v>492</v>
      </c>
      <c r="C22" s="53">
        <f ca="1">ROUND(D22*E22/10000,0)</f>
        <v>597</v>
      </c>
      <c r="D22" s="2797">
        <f ca="1">IF(B1="",'数据-汇总表'!E6,IF(INDIRECT("'数据-取费表'!c"&amp;$K$1)="住宅",INDIRECT("'数据-取费表'!s"&amp;$K$1),INDIRECT("'数据-取费表'!k"&amp;$K$1)+INDIRECT("'数据-取费表'!s"&amp;$K$1)))</f>
        <v>29867</v>
      </c>
      <c r="E22" s="53">
        <f>'数据-取费表'!B28</f>
        <v>200</v>
      </c>
      <c r="F22" s="2800"/>
      <c r="G22" s="26"/>
      <c r="H22" s="51"/>
      <c r="I22" s="51"/>
      <c r="J22" s="51"/>
      <c r="K22" s="2772"/>
    </row>
    <row r="23" spans="1:14" s="2099" customFormat="1" ht="13.5" customHeight="1">
      <c r="A23" s="2803" t="s">
        <v>1858</v>
      </c>
      <c r="B23" s="2983" t="s">
        <v>2831</v>
      </c>
      <c r="C23" s="2805">
        <f ca="1">ROUND((C18+C19+C20)*F23,0)</f>
        <v>579</v>
      </c>
      <c r="D23" s="467"/>
      <c r="E23" s="467"/>
      <c r="F23" s="2809">
        <f>'数据-取费表'!B37</f>
        <v>0.02</v>
      </c>
      <c r="G23" s="2765" t="s">
        <v>2429</v>
      </c>
      <c r="H23" s="2766"/>
      <c r="I23" s="2766"/>
      <c r="J23" s="2766"/>
      <c r="K23" s="2767"/>
      <c r="L23" s="2101"/>
      <c r="M23" s="2101"/>
      <c r="N23" s="2101"/>
    </row>
    <row r="24" spans="1:14" s="2099" customFormat="1" ht="13.5" customHeight="1">
      <c r="A24" s="2803" t="s">
        <v>1859</v>
      </c>
      <c r="B24" s="2983" t="s">
        <v>2834</v>
      </c>
      <c r="C24" s="2805">
        <f ca="1">ROUND(C6*F24,0)</f>
        <v>5637</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3" t="s">
        <v>2832</v>
      </c>
      <c r="C25" s="466">
        <f>ROUND(F25/(1+'数据-取费表'!C42),4)</f>
        <v>2.9000000000000001E-2</v>
      </c>
      <c r="D25" s="461" t="s">
        <v>2826</v>
      </c>
      <c r="E25" s="468"/>
      <c r="F25" s="2809">
        <f>IF(项目基本情况!B8="出让",0,'数据-取费表'!B48+'数据-取费表'!B49)</f>
        <v>3.0499999999999999E-2</v>
      </c>
      <c r="G25" s="2773" t="s">
        <v>2287</v>
      </c>
      <c r="H25" s="2766"/>
      <c r="I25" s="2766"/>
      <c r="J25" s="2766"/>
      <c r="K25" s="2767"/>
    </row>
    <row r="26" spans="1:14" s="2101" customFormat="1" ht="13.5" customHeight="1">
      <c r="A26" s="2803" t="s">
        <v>1861</v>
      </c>
      <c r="B26" s="2984" t="s">
        <v>2833</v>
      </c>
      <c r="C26" s="2810">
        <f ca="1">C28</f>
        <v>1671</v>
      </c>
      <c r="D26" s="466">
        <f ca="1">C27</f>
        <v>0.10009999999999999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0.10009999999999999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2835</v>
      </c>
      <c r="C28" s="2813">
        <f ca="1">ROUND(IF('数据-取费表'!B22&lt;=1,(C18+C19+C20+C23+C24)*F26*'数据-取费表'!B24/2,(C18+C19+C20+C23+C24)*(POWER((1+F26),'数据-取费表'!B24/2)-1)),0)</f>
        <v>1671</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 ca="1">ROUND(C6*F29/(1+'数据-取费表'!C42),0)</f>
        <v>14764</v>
      </c>
      <c r="D29" s="467"/>
      <c r="E29" s="467"/>
      <c r="F29" s="2985">
        <f>'数据-取费表'!B41</f>
        <v>5.5000000000000007E-2</v>
      </c>
      <c r="G29" s="2774" t="s">
        <v>498</v>
      </c>
      <c r="H29" s="2766"/>
      <c r="I29" s="2766"/>
      <c r="J29" s="2766"/>
      <c r="K29" s="2767"/>
    </row>
    <row r="30" spans="1:14" s="2104" customFormat="1" ht="13.5" customHeight="1">
      <c r="A30" s="1618" t="s">
        <v>1863</v>
      </c>
      <c r="B30" s="2815" t="s">
        <v>500</v>
      </c>
      <c r="C30" s="2810">
        <f ca="1">C31</f>
        <v>51616</v>
      </c>
      <c r="D30" s="476">
        <f ca="1">C32</f>
        <v>0.12909999999999999</v>
      </c>
      <c r="E30" s="468" t="s">
        <v>495</v>
      </c>
      <c r="F30" s="470"/>
      <c r="G30" s="2773" t="s">
        <v>2969</v>
      </c>
      <c r="H30" s="2766"/>
      <c r="I30" s="2766"/>
      <c r="J30" s="2766"/>
      <c r="K30" s="2767"/>
    </row>
    <row r="31" spans="1:14" s="2103" customFormat="1" ht="13.5" customHeight="1">
      <c r="A31" s="802" t="s">
        <v>1856</v>
      </c>
      <c r="B31" s="2811"/>
      <c r="C31" s="449">
        <f ca="1">C18+C19+C20+C23+C24+C26+C29</f>
        <v>51616</v>
      </c>
      <c r="D31" s="471"/>
      <c r="E31" s="472"/>
      <c r="F31" s="473"/>
      <c r="G31" s="260"/>
      <c r="H31" s="2768"/>
      <c r="I31" s="2768"/>
      <c r="J31" s="2768"/>
      <c r="K31" s="278"/>
    </row>
    <row r="32" spans="1:14" s="2103" customFormat="1" ht="13.5" customHeight="1">
      <c r="A32" s="802" t="s">
        <v>1857</v>
      </c>
      <c r="B32" s="2811"/>
      <c r="C32" s="53">
        <f ca="1">ROUND(C25+D26,4)</f>
        <v>0.12909999999999999</v>
      </c>
      <c r="D32" s="471"/>
      <c r="E32" s="472"/>
      <c r="F32" s="473"/>
      <c r="G32" s="260"/>
      <c r="H32" s="2768"/>
      <c r="I32" s="2768"/>
      <c r="J32" s="2768"/>
      <c r="K32" s="278"/>
    </row>
    <row r="33" spans="1:11" s="2105" customFormat="1" ht="13.5" customHeight="1">
      <c r="A33" s="2982" t="s">
        <v>2830</v>
      </c>
      <c r="B33" s="2980" t="s">
        <v>2828</v>
      </c>
      <c r="C33" s="477">
        <f ca="1">C35</f>
        <v>5981</v>
      </c>
      <c r="D33" s="466">
        <f ca="1">C34</f>
        <v>0.1749</v>
      </c>
      <c r="E33" s="468" t="s">
        <v>495</v>
      </c>
      <c r="F33" s="478">
        <f ca="1">IF(B1="",'数据-取费表'!Q16,INDIRECT("'数据-取费表'!q"&amp;$K$1))</f>
        <v>0.17</v>
      </c>
      <c r="G33" s="2769"/>
      <c r="H33" s="2770"/>
      <c r="I33" s="2770"/>
      <c r="J33" s="2770"/>
      <c r="K33" s="2771"/>
    </row>
    <row r="34" spans="1:11" s="2106" customFormat="1" ht="13.5" customHeight="1">
      <c r="A34" s="374" t="s">
        <v>1856</v>
      </c>
      <c r="B34" s="2816" t="s">
        <v>501</v>
      </c>
      <c r="C34" s="471">
        <f ca="1">ROUND((1+C25)*F33,4)</f>
        <v>0.1749</v>
      </c>
      <c r="D34" s="471"/>
      <c r="E34" s="472"/>
      <c r="F34" s="479"/>
      <c r="G34" s="260" t="s">
        <v>2288</v>
      </c>
      <c r="H34" s="2768"/>
      <c r="I34" s="2768"/>
      <c r="J34" s="2768"/>
      <c r="K34" s="278"/>
    </row>
    <row r="35" spans="1:11" s="2106" customFormat="1" ht="13.5" customHeight="1" thickBot="1">
      <c r="A35" s="1619" t="s">
        <v>1857</v>
      </c>
      <c r="B35" s="2981" t="s">
        <v>2836</v>
      </c>
      <c r="C35" s="1611">
        <f ca="1">ROUND((C18+C19+C20+C23+C24)*F33,0)</f>
        <v>5981</v>
      </c>
      <c r="D35" s="1612"/>
      <c r="E35" s="2817"/>
      <c r="F35" s="1613"/>
      <c r="G35" s="2775"/>
      <c r="H35" s="2776"/>
      <c r="I35" s="2776"/>
      <c r="J35" s="2776"/>
      <c r="K35" s="2777"/>
    </row>
    <row r="36" spans="1:11" s="2068" customFormat="1" ht="13.5" customHeight="1" thickBot="1">
      <c r="A36" s="283" t="s">
        <v>1844</v>
      </c>
      <c r="B36" s="2779"/>
      <c r="C36" s="2818">
        <f ca="1">ROUND((C6-C30-C33)/(1+D30+D33),0)</f>
        <v>171977</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8" sqref="G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23456</v>
      </c>
      <c r="D13" s="450"/>
      <c r="E13" s="364"/>
      <c r="F13" s="451"/>
      <c r="G13" s="443"/>
      <c r="H13" s="446"/>
      <c r="I13" s="446"/>
      <c r="J13" s="446"/>
      <c r="K13" s="447"/>
    </row>
    <row r="14" spans="1:41" s="2099" customFormat="1" ht="13.5" customHeight="1">
      <c r="A14" s="1616" t="s">
        <v>1849</v>
      </c>
      <c r="B14" s="448" t="s">
        <v>480</v>
      </c>
      <c r="C14" s="53">
        <f ca="1">ROUND(C13*F14,0)</f>
        <v>704</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840</v>
      </c>
      <c r="D15" s="450"/>
      <c r="E15" s="364"/>
      <c r="F15" s="452">
        <f>'数据-取费表'!B34</f>
        <v>0.05</v>
      </c>
      <c r="G15" s="443" t="s">
        <v>502</v>
      </c>
      <c r="H15" s="446"/>
      <c r="I15" s="446"/>
      <c r="J15" s="446"/>
      <c r="K15" s="447"/>
    </row>
    <row r="16" spans="1:41" s="2100" customFormat="1" ht="13.5" customHeight="1">
      <c r="A16" s="1616" t="s">
        <v>1851</v>
      </c>
      <c r="B16" s="448" t="s">
        <v>484</v>
      </c>
      <c r="C16" s="53">
        <f ca="1">ROUND(D16*E16/10000,0)</f>
        <v>1941</v>
      </c>
      <c r="D16" s="450">
        <f ca="1">IF(B1="",'数据-汇总表'!E3,INDIRECT("'数据-取费表'!K"&amp;$K$1)+INDIRECT("'数据-取费表'!S"&amp;$K$1))</f>
        <v>97045</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352</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27293</v>
      </c>
      <c r="D18" s="460"/>
      <c r="E18" s="461"/>
      <c r="F18" s="461"/>
      <c r="G18" s="1320" t="s">
        <v>2430</v>
      </c>
      <c r="H18" s="446"/>
      <c r="I18" s="446"/>
      <c r="J18" s="446"/>
      <c r="K18" s="447"/>
    </row>
    <row r="19" spans="1:14" s="2102" customFormat="1" ht="13.5" customHeight="1">
      <c r="A19" s="1617" t="s">
        <v>1854</v>
      </c>
      <c r="B19" s="458" t="s">
        <v>493</v>
      </c>
      <c r="C19" s="459">
        <f ca="1">ROUND(C18*F19,0)</f>
        <v>546</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8">
        <f>F20</f>
        <v>0.02</v>
      </c>
      <c r="D20" s="468" t="s">
        <v>505</v>
      </c>
      <c r="E20" s="468"/>
      <c r="F20" s="485">
        <f>'数据-取费表'!B38</f>
        <v>0.02</v>
      </c>
      <c r="G20" s="1320" t="s">
        <v>506</v>
      </c>
      <c r="H20" s="446"/>
      <c r="I20" s="446"/>
      <c r="J20" s="446"/>
      <c r="K20" s="447"/>
      <c r="L20" s="2104"/>
      <c r="M20" s="2104"/>
      <c r="N20" s="2104"/>
    </row>
    <row r="21" spans="1:14" s="2104" customFormat="1" ht="13.5" customHeight="1">
      <c r="A21" s="1617" t="s">
        <v>1858</v>
      </c>
      <c r="B21" s="460" t="s">
        <v>494</v>
      </c>
      <c r="C21" s="469">
        <f ca="1">C22</f>
        <v>1322</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2452</v>
      </c>
    </row>
    <row r="22" spans="1:14" s="2103" customFormat="1" ht="13.5" customHeight="1">
      <c r="A22" s="1616" t="s">
        <v>1848</v>
      </c>
      <c r="B22" s="1321" t="s">
        <v>2433</v>
      </c>
      <c r="C22" s="486">
        <f ca="1">ROUND(IF('数据-取费表'!B22&lt;=1,(C18+C19)*F21*'数据-取费表'!B20/2,(C18+C19)*(POWER((1+F21),'数据-取费表'!B20/2)-1)),0)</f>
        <v>1322</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1" t="s">
        <v>508</v>
      </c>
      <c r="C23" s="487">
        <f ca="1">ROUND(IF('数据-取费表'!B22&lt;=1,F20*F21*'数据-取费表'!B20/2,F20*(POWER((1+F21),'数据-取费表'!B20/2)-1)),4)</f>
        <v>1E-3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0" t="s">
        <v>2829</v>
      </c>
      <c r="C24" s="477">
        <f ca="1">C25</f>
        <v>4733</v>
      </c>
      <c r="D24" s="488">
        <f ca="1">C26</f>
        <v>3.3999999999999998E-3</v>
      </c>
      <c r="E24" s="468" t="s">
        <v>507</v>
      </c>
      <c r="F24" s="478">
        <f ca="1">IF(B1="",'数据-取费表'!Q16,INDIRECT("'数据-取费表'!q"&amp;$K$1))</f>
        <v>0.17</v>
      </c>
      <c r="G24" s="443"/>
      <c r="H24" s="446"/>
      <c r="I24" s="446"/>
      <c r="J24" s="446"/>
      <c r="K24" s="447"/>
    </row>
    <row r="25" spans="1:14" s="2103" customFormat="1" ht="13.5" customHeight="1">
      <c r="A25" s="1616" t="s">
        <v>1848</v>
      </c>
      <c r="B25" s="1321" t="s">
        <v>2434</v>
      </c>
      <c r="C25" s="489">
        <f ca="1">ROUND((C18+C19)*F24,0)</f>
        <v>4733</v>
      </c>
      <c r="D25" s="471"/>
      <c r="E25" s="472"/>
      <c r="F25" s="479"/>
      <c r="G25" s="1319" t="s">
        <v>2431</v>
      </c>
      <c r="H25" s="456"/>
      <c r="I25" s="456"/>
      <c r="J25" s="456"/>
      <c r="K25" s="457"/>
    </row>
    <row r="26" spans="1:14" s="2103" customFormat="1" ht="13.5" customHeight="1">
      <c r="A26" s="1616" t="s">
        <v>1849</v>
      </c>
      <c r="B26" s="1321" t="s">
        <v>509</v>
      </c>
      <c r="C26" s="490">
        <f ca="1">ROUND(F20*F24,4)</f>
        <v>3.3999999999999998E-3</v>
      </c>
      <c r="D26" s="471"/>
      <c r="E26" s="480"/>
      <c r="F26" s="479"/>
      <c r="G26" s="1319" t="s">
        <v>510</v>
      </c>
      <c r="H26" s="456"/>
      <c r="I26" s="456"/>
      <c r="J26" s="456"/>
      <c r="K26" s="457"/>
    </row>
    <row r="27" spans="1:14" s="2103" customFormat="1" ht="13.5" customHeight="1">
      <c r="A27" s="1620" t="s">
        <v>1867</v>
      </c>
      <c r="B27" s="458" t="s">
        <v>511</v>
      </c>
      <c r="C27" s="2979">
        <f>ROUND(F27/(1+'数据-取费表'!C42),4)</f>
        <v>5.2400000000000002E-2</v>
      </c>
      <c r="D27" s="461" t="s">
        <v>2827</v>
      </c>
      <c r="E27" s="461"/>
      <c r="F27" s="465">
        <f>'数据-取费表'!B41</f>
        <v>5.5000000000000007E-2</v>
      </c>
      <c r="G27" s="1943" t="s">
        <v>2289</v>
      </c>
      <c r="H27" s="446"/>
      <c r="I27" s="446"/>
      <c r="J27" s="446"/>
      <c r="K27" s="447"/>
    </row>
    <row r="28" spans="1:14" s="2104" customFormat="1" ht="13.5" customHeight="1">
      <c r="A28" s="1620" t="s">
        <v>1868</v>
      </c>
      <c r="B28" s="475" t="s">
        <v>512</v>
      </c>
      <c r="C28" s="469">
        <f ca="1">ROUND((C18+C19+C21+C24)/(1-C20-D21-D24-C27),0)</f>
        <v>36714</v>
      </c>
      <c r="D28" s="476"/>
      <c r="E28" s="468"/>
      <c r="F28" s="470"/>
      <c r="G28" s="1320" t="s">
        <v>2432</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2" t="s">
        <v>515</v>
      </c>
      <c r="H30" s="495"/>
      <c r="I30" s="495"/>
      <c r="J30" s="446"/>
      <c r="K30" s="447"/>
    </row>
    <row r="31" spans="1:14" s="2109" customFormat="1" ht="13.5" customHeight="1">
      <c r="A31" s="2444" t="s">
        <v>1865</v>
      </c>
      <c r="B31" s="1323"/>
      <c r="C31" s="499">
        <f>ROUND(C6*F31/(1+'数据-取费表'!C42),0)</f>
        <v>0</v>
      </c>
      <c r="D31" s="1324"/>
      <c r="E31" s="1324"/>
      <c r="F31" s="500">
        <f>'数据-取费表'!B41</f>
        <v>5.5000000000000007E-2</v>
      </c>
      <c r="G31" s="1325"/>
      <c r="H31" s="1325"/>
      <c r="I31" s="1325"/>
      <c r="J31" s="1326"/>
      <c r="K31" s="1327"/>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52" t="str">
        <f>项目基本情况!B1</f>
        <v>北京市出让国有建设用地使用权抵押价格预评估</v>
      </c>
      <c r="C37" s="3252"/>
      <c r="D37" s="3252"/>
      <c r="E37" s="3252"/>
      <c r="F37" s="3252"/>
      <c r="G37" s="3252"/>
      <c r="H37" s="3252"/>
      <c r="I37" s="3252"/>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ht="12.75">
      <c r="B46" s="1637" t="str">
        <f>项目基本情况!K4</f>
        <v>王鹏、崔锴</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M49" sqref="M49"/>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467</v>
      </c>
      <c r="B2" s="507">
        <f>F68</f>
        <v>150268</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9">
        <f>ROUND(B2*10000/'数据-汇总表'!E3,0)</f>
        <v>15484</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520</v>
      </c>
      <c r="B4" s="426">
        <f>IF(B48="单位面积地价",C50,ROUND(B2*10000/'数据-汇总表'!D3,0))</f>
        <v>35330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2355</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426" t="s">
        <v>522</v>
      </c>
      <c r="D6" s="3427"/>
      <c r="E6" s="3426" t="s">
        <v>523</v>
      </c>
      <c r="F6" s="3427"/>
      <c r="G6" s="3426" t="s">
        <v>524</v>
      </c>
      <c r="H6" s="3427"/>
      <c r="I6" s="3426" t="s">
        <v>525</v>
      </c>
      <c r="J6" s="3427"/>
      <c r="K6" s="513" t="s">
        <v>526</v>
      </c>
      <c r="L6" s="2116"/>
      <c r="M6" s="2115"/>
      <c r="N6" s="2115"/>
      <c r="O6" s="2117"/>
      <c r="P6" s="3428" t="s">
        <v>527</v>
      </c>
      <c r="Q6" s="3429"/>
      <c r="R6" s="3434" t="s">
        <v>523</v>
      </c>
      <c r="S6" s="3435"/>
      <c r="T6" s="3434" t="s">
        <v>524</v>
      </c>
      <c r="U6" s="3435"/>
      <c r="V6" s="3421" t="s">
        <v>525</v>
      </c>
      <c r="W6" s="3421"/>
      <c r="X6" s="1551"/>
      <c r="Y6" s="3434" t="s">
        <v>527</v>
      </c>
      <c r="Z6" s="3435"/>
      <c r="AA6" s="3423" t="s">
        <v>523</v>
      </c>
      <c r="AB6" s="3424" t="s">
        <v>524</v>
      </c>
      <c r="AC6" s="3423" t="s">
        <v>525</v>
      </c>
    </row>
    <row r="7" spans="1:30" ht="77.25" customHeight="1">
      <c r="A7" s="514"/>
      <c r="B7" s="515"/>
      <c r="C7" s="3442" t="s">
        <v>2927</v>
      </c>
      <c r="D7" s="3443"/>
      <c r="E7" s="3442" t="str">
        <f>Sheet1!A8</f>
        <v>北京市怀柔区怀柔新城03街区HR00-0003-6004等地块A33基础教育用地、R2二类居住用地、F1住宅混合公建用地、F3其他类多功能用地</v>
      </c>
      <c r="F7" s="3443"/>
      <c r="G7" s="3442" t="str">
        <f>Sheet1!A14</f>
        <v>北京市顺义区顺义新城第13街区SY00-0013-6022等地块R2二类居住用地、A61机构养老用地、A33基础教育用地</v>
      </c>
      <c r="H7" s="3443"/>
      <c r="I7" s="3442" t="str">
        <f>Sheet1!A21</f>
        <v>北京市房山区青龙湖镇FS16-0201-0013地块R2二类居住用地</v>
      </c>
      <c r="J7" s="3443"/>
      <c r="K7" s="513"/>
      <c r="L7" s="2116"/>
      <c r="M7" s="2115"/>
      <c r="N7" s="2115"/>
      <c r="O7" s="2117"/>
      <c r="P7" s="3430"/>
      <c r="Q7" s="3431"/>
      <c r="R7" s="3436"/>
      <c r="S7" s="3437"/>
      <c r="T7" s="3436"/>
      <c r="U7" s="3437"/>
      <c r="V7" s="3421"/>
      <c r="W7" s="3421"/>
      <c r="X7" s="1551"/>
      <c r="Y7" s="3436"/>
      <c r="Z7" s="3437"/>
      <c r="AA7" s="3424"/>
      <c r="AB7" s="3424"/>
      <c r="AC7" s="3424"/>
    </row>
    <row r="8" spans="1:30" ht="21" thickBot="1">
      <c r="A8" s="514"/>
      <c r="B8" s="515"/>
      <c r="C8" s="3444" t="s">
        <v>2931</v>
      </c>
      <c r="D8" s="3445"/>
      <c r="E8" s="3444" t="s">
        <v>2931</v>
      </c>
      <c r="F8" s="3445"/>
      <c r="G8" s="3440"/>
      <c r="H8" s="3441"/>
      <c r="I8" s="3440" t="s">
        <v>2931</v>
      </c>
      <c r="J8" s="3441"/>
      <c r="K8" s="513" t="s">
        <v>528</v>
      </c>
      <c r="L8" s="2116"/>
      <c r="M8" s="2115"/>
      <c r="N8" s="2115"/>
      <c r="O8" s="2117"/>
      <c r="P8" s="3432"/>
      <c r="Q8" s="3433"/>
      <c r="R8" s="3436"/>
      <c r="S8" s="3437"/>
      <c r="T8" s="3438"/>
      <c r="U8" s="3439"/>
      <c r="V8" s="3421"/>
      <c r="W8" s="3421"/>
      <c r="X8" s="1551"/>
      <c r="Y8" s="3438"/>
      <c r="Z8" s="3439"/>
      <c r="AA8" s="3425"/>
      <c r="AB8" s="3425"/>
      <c r="AC8" s="3425"/>
    </row>
    <row r="9" spans="1:30" s="1213" customFormat="1" ht="21" thickBot="1">
      <c r="A9" s="2864"/>
      <c r="B9" s="2871" t="s">
        <v>529</v>
      </c>
      <c r="C9" s="2863">
        <f>'数据-取费表'!B2</f>
        <v>43920</v>
      </c>
      <c r="D9" s="519">
        <v>100</v>
      </c>
      <c r="E9" s="520" t="str">
        <f>Sheet1!H8</f>
        <v>2019-06-21</v>
      </c>
      <c r="F9" s="521">
        <f>SUMIF(72:72,YEAR(E9)&amp;"-"&amp;INT((MONTH(E9)+2)/3),73:73)</f>
        <v>98.5</v>
      </c>
      <c r="G9" s="522" t="str">
        <f>Sheet1!H14</f>
        <v>2018-12-04</v>
      </c>
      <c r="H9" s="519">
        <f>SUMIF(72:72,YEAR(G9)&amp;"-"&amp;INT((MONTH(G9)+2)/3),73:73)</f>
        <v>97.5</v>
      </c>
      <c r="I9" s="522" t="str">
        <f>Sheet1!H21</f>
        <v>2018-07-04</v>
      </c>
      <c r="J9" s="519">
        <f>SUMIF(72:72,YEAR(I9)&amp;"-"&amp;INT((MONTH(I9)+2)/3),73:73)</f>
        <v>97</v>
      </c>
      <c r="K9" s="523"/>
      <c r="L9" s="2118"/>
      <c r="M9" s="2115"/>
      <c r="N9" s="2115"/>
      <c r="O9" s="2119"/>
      <c r="P9" s="3451" t="s">
        <v>530</v>
      </c>
      <c r="Q9" s="3453"/>
      <c r="R9" s="1552" t="s">
        <v>8</v>
      </c>
      <c r="S9" s="1553">
        <f t="shared" ref="S9:S17" si="0">F9</f>
        <v>98.5</v>
      </c>
      <c r="T9" s="1552" t="s">
        <v>8</v>
      </c>
      <c r="U9" s="1553">
        <f t="shared" ref="U9:U17" si="1">H9</f>
        <v>97.5</v>
      </c>
      <c r="V9" s="1552" t="s">
        <v>8</v>
      </c>
      <c r="W9" s="1553">
        <f t="shared" ref="W9:W17" si="2">J9</f>
        <v>97</v>
      </c>
      <c r="X9" s="1554"/>
      <c r="Y9" s="3451" t="s">
        <v>530</v>
      </c>
      <c r="Z9" s="3452"/>
      <c r="AA9" s="1555">
        <f>D9/F9</f>
        <v>1.015228426395939</v>
      </c>
      <c r="AB9" s="1555">
        <f>D9/H9</f>
        <v>1.0256410256410255</v>
      </c>
      <c r="AC9" s="1555">
        <f>D9/J9</f>
        <v>1.0309278350515463</v>
      </c>
    </row>
    <row r="10" spans="1:30" s="1213" customFormat="1" ht="21" thickBot="1">
      <c r="A10" s="2865"/>
      <c r="B10" s="2872" t="s">
        <v>531</v>
      </c>
      <c r="C10" s="855" t="s">
        <v>532</v>
      </c>
      <c r="D10" s="519">
        <v>100</v>
      </c>
      <c r="E10" s="524" t="s">
        <v>3158</v>
      </c>
      <c r="F10" s="521">
        <f>SUMIF(75:75,E10,76:76)-SUMIF(75:75,C10,76:76)+100</f>
        <v>100</v>
      </c>
      <c r="G10" s="524" t="s">
        <v>3158</v>
      </c>
      <c r="H10" s="519">
        <f>SUMIF(75:75,G10,76:76)-SUMIF(75:75,C10,76:76)+100</f>
        <v>100</v>
      </c>
      <c r="I10" s="524" t="s">
        <v>3158</v>
      </c>
      <c r="J10" s="519">
        <f>SUMIF(75:75,I10,76:76)-SUMIF(75:75,C10,76:76)+100</f>
        <v>100</v>
      </c>
      <c r="K10" s="523"/>
      <c r="L10" s="2118"/>
      <c r="M10" s="2115"/>
      <c r="N10" s="2115"/>
      <c r="O10" s="2119"/>
      <c r="P10" s="3451" t="s">
        <v>533</v>
      </c>
      <c r="Q10" s="3452"/>
      <c r="R10" s="1552" t="s">
        <v>8</v>
      </c>
      <c r="S10" s="1553">
        <f t="shared" si="0"/>
        <v>100</v>
      </c>
      <c r="T10" s="1552" t="s">
        <v>8</v>
      </c>
      <c r="U10" s="1553">
        <f t="shared" si="1"/>
        <v>100</v>
      </c>
      <c r="V10" s="1552" t="s">
        <v>8</v>
      </c>
      <c r="W10" s="1553">
        <f t="shared" si="2"/>
        <v>100</v>
      </c>
      <c r="X10" s="1554"/>
      <c r="Y10" s="3451" t="s">
        <v>533</v>
      </c>
      <c r="Z10" s="3452"/>
      <c r="AA10" s="1555">
        <f t="shared" ref="AA10:AA47" si="3">D10/F10</f>
        <v>1</v>
      </c>
      <c r="AB10" s="1555">
        <f t="shared" ref="AB10:AB47" si="4">D10/H10</f>
        <v>1</v>
      </c>
      <c r="AC10" s="1555">
        <f t="shared" ref="AC10:AC47" si="5">D10/J10</f>
        <v>1</v>
      </c>
    </row>
    <row r="11" spans="1:30" s="1213" customFormat="1" ht="27" customHeight="1">
      <c r="A11" s="2866"/>
      <c r="B11" s="2873" t="s">
        <v>2753</v>
      </c>
      <c r="C11" s="3554" t="s">
        <v>923</v>
      </c>
      <c r="D11" s="3555">
        <v>100</v>
      </c>
      <c r="E11" s="3556" t="s">
        <v>3187</v>
      </c>
      <c r="F11" s="3555">
        <f>SUMIF(77:77,E11,78:78)-SUMIF(77:77,C11,78:78)+100</f>
        <v>105</v>
      </c>
      <c r="G11" s="3556" t="s">
        <v>3187</v>
      </c>
      <c r="H11" s="3555">
        <f>SUMIF(77:77,G11,78:78)-SUMIF(77:77,C11,78:78)+100</f>
        <v>105</v>
      </c>
      <c r="I11" s="3556" t="s">
        <v>923</v>
      </c>
      <c r="J11" s="3555">
        <f>SUMIF(77:77,I11,78:78)-SUMIF(77:77,C11,78:78)+100</f>
        <v>100</v>
      </c>
      <c r="K11" s="523"/>
      <c r="L11" s="2118"/>
      <c r="M11" s="2115"/>
      <c r="N11" s="2115"/>
      <c r="O11" s="2120"/>
      <c r="P11" s="3420" t="s">
        <v>535</v>
      </c>
      <c r="Q11" s="1144" t="str">
        <f t="shared" ref="Q11:Q17" si="6">B11</f>
        <v>用途</v>
      </c>
      <c r="R11" s="1552" t="s">
        <v>8</v>
      </c>
      <c r="S11" s="1553">
        <f t="shared" si="0"/>
        <v>105</v>
      </c>
      <c r="T11" s="1552" t="s">
        <v>8</v>
      </c>
      <c r="U11" s="1553">
        <f t="shared" si="1"/>
        <v>105</v>
      </c>
      <c r="V11" s="1552" t="s">
        <v>8</v>
      </c>
      <c r="W11" s="1553">
        <f t="shared" si="2"/>
        <v>100</v>
      </c>
      <c r="X11" s="1554"/>
      <c r="Y11" s="3366" t="s">
        <v>536</v>
      </c>
      <c r="Z11" s="1143" t="str">
        <f t="shared" ref="Z11:Z17" si="7">Q11</f>
        <v>用途</v>
      </c>
      <c r="AA11" s="1555">
        <f t="shared" si="3"/>
        <v>0.95238095238095233</v>
      </c>
      <c r="AB11" s="1555">
        <f t="shared" si="4"/>
        <v>0.95238095238095233</v>
      </c>
      <c r="AC11" s="1555">
        <f t="shared" si="5"/>
        <v>1</v>
      </c>
    </row>
    <row r="12" spans="1:30" s="1331" customFormat="1" ht="27">
      <c r="A12" s="2867"/>
      <c r="B12" s="2872" t="s">
        <v>2754</v>
      </c>
      <c r="C12" s="907"/>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420"/>
      <c r="Q12" s="1144" t="str">
        <f t="shared" si="6"/>
        <v>土地使用年限（年）</v>
      </c>
      <c r="R12" s="1552" t="s">
        <v>8</v>
      </c>
      <c r="S12" s="1553">
        <f t="shared" si="0"/>
        <v>100</v>
      </c>
      <c r="T12" s="1552" t="s">
        <v>8</v>
      </c>
      <c r="U12" s="1553">
        <f t="shared" si="1"/>
        <v>100</v>
      </c>
      <c r="V12" s="1552" t="s">
        <v>8</v>
      </c>
      <c r="W12" s="1553">
        <f t="shared" si="2"/>
        <v>100</v>
      </c>
      <c r="X12" s="1554"/>
      <c r="Y12" s="3366"/>
      <c r="Z12" s="1143" t="str">
        <f t="shared" si="7"/>
        <v>土地使用年限（年）</v>
      </c>
      <c r="AA12" s="1555">
        <f t="shared" si="3"/>
        <v>1</v>
      </c>
      <c r="AB12" s="1555">
        <f t="shared" si="4"/>
        <v>1</v>
      </c>
      <c r="AC12" s="1555">
        <f t="shared" si="5"/>
        <v>1</v>
      </c>
    </row>
    <row r="13" spans="1:30" ht="20.25">
      <c r="A13" s="2868"/>
      <c r="B13" s="2872" t="s">
        <v>2755</v>
      </c>
      <c r="C13" s="533">
        <v>1.5</v>
      </c>
      <c r="D13" s="254">
        <v>100</v>
      </c>
      <c r="E13" s="532">
        <v>2.0499999999999998</v>
      </c>
      <c r="F13" s="254">
        <f>LOOKUP(E13,82:82,83:83)-LOOKUP(C13,82:82,83:83)+100</f>
        <v>98</v>
      </c>
      <c r="G13" s="533">
        <f>Sheet1!F14</f>
        <v>1.49</v>
      </c>
      <c r="H13" s="254">
        <f>LOOKUP(G13,82:82,83:83)-LOOKUP(C13,82:82,83:83)+100</f>
        <v>100</v>
      </c>
      <c r="I13" s="532">
        <f>Sheet1!F21</f>
        <v>1.6</v>
      </c>
      <c r="J13" s="254">
        <f>LOOKUP(I13,82:82,83:83)-LOOKUP(C13,82:82,83:83)+100</f>
        <v>100</v>
      </c>
      <c r="K13" s="534">
        <v>2</v>
      </c>
      <c r="L13" s="2123"/>
      <c r="M13" s="2115"/>
      <c r="N13" s="2115"/>
      <c r="O13" s="2124"/>
      <c r="P13" s="3420"/>
      <c r="Q13" s="1144" t="str">
        <f t="shared" si="6"/>
        <v>容积率</v>
      </c>
      <c r="R13" s="1552" t="s">
        <v>8</v>
      </c>
      <c r="S13" s="1553">
        <f t="shared" si="0"/>
        <v>98</v>
      </c>
      <c r="T13" s="1552" t="s">
        <v>8</v>
      </c>
      <c r="U13" s="1553">
        <f t="shared" si="1"/>
        <v>100</v>
      </c>
      <c r="V13" s="1552" t="s">
        <v>8</v>
      </c>
      <c r="W13" s="1553">
        <f t="shared" si="2"/>
        <v>100</v>
      </c>
      <c r="X13" s="1554"/>
      <c r="Y13" s="3366"/>
      <c r="Z13" s="1143" t="str">
        <f t="shared" si="7"/>
        <v>容积率</v>
      </c>
      <c r="AA13" s="1555">
        <f t="shared" si="3"/>
        <v>1.0204081632653061</v>
      </c>
      <c r="AB13" s="1555">
        <f t="shared" si="4"/>
        <v>1</v>
      </c>
      <c r="AC13" s="1555">
        <f t="shared" si="5"/>
        <v>1</v>
      </c>
    </row>
    <row r="14" spans="1:30" s="1213" customFormat="1" ht="20.25">
      <c r="A14" s="2865"/>
      <c r="B14" s="2874" t="s">
        <v>2756</v>
      </c>
      <c r="C14" s="2861"/>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420"/>
      <c r="Q14" s="1144" t="str">
        <f t="shared" si="6"/>
        <v>配建</v>
      </c>
      <c r="R14" s="1552" t="s">
        <v>8</v>
      </c>
      <c r="S14" s="1553">
        <f t="shared" si="0"/>
        <v>100</v>
      </c>
      <c r="T14" s="1552" t="s">
        <v>8</v>
      </c>
      <c r="U14" s="1553">
        <f t="shared" si="1"/>
        <v>100</v>
      </c>
      <c r="V14" s="1552" t="s">
        <v>8</v>
      </c>
      <c r="W14" s="1553">
        <f t="shared" si="2"/>
        <v>100</v>
      </c>
      <c r="X14" s="1554"/>
      <c r="Y14" s="3366"/>
      <c r="Z14" s="1143" t="str">
        <f t="shared" si="7"/>
        <v>配建</v>
      </c>
      <c r="AA14" s="1555">
        <f>D14/F14</f>
        <v>1</v>
      </c>
      <c r="AB14" s="1555">
        <f>D14/H14</f>
        <v>1</v>
      </c>
      <c r="AC14" s="1555">
        <f>D14/J14</f>
        <v>1</v>
      </c>
    </row>
    <row r="15" spans="1:30" ht="20.25">
      <c r="A15" s="2869"/>
      <c r="B15" s="2875">
        <v>111</v>
      </c>
      <c r="C15" s="909"/>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20"/>
      <c r="Q15" s="1144">
        <f t="shared" si="6"/>
        <v>111</v>
      </c>
      <c r="R15" s="1552" t="s">
        <v>8</v>
      </c>
      <c r="S15" s="1553">
        <f t="shared" si="0"/>
        <v>100</v>
      </c>
      <c r="T15" s="1552" t="s">
        <v>8</v>
      </c>
      <c r="U15" s="1553">
        <f t="shared" si="1"/>
        <v>100</v>
      </c>
      <c r="V15" s="1552" t="s">
        <v>8</v>
      </c>
      <c r="W15" s="1553">
        <f t="shared" si="2"/>
        <v>100</v>
      </c>
      <c r="X15" s="1554"/>
      <c r="Y15" s="3366"/>
      <c r="Z15" s="1143">
        <f t="shared" si="7"/>
        <v>111</v>
      </c>
      <c r="AA15" s="1555">
        <f>D15/F15</f>
        <v>1</v>
      </c>
      <c r="AB15" s="1555">
        <f>D15/H15</f>
        <v>1</v>
      </c>
      <c r="AC15" s="1555">
        <f>D15/J15</f>
        <v>1</v>
      </c>
    </row>
    <row r="16" spans="1:30" ht="21" thickBot="1">
      <c r="A16" s="2870"/>
      <c r="B16" s="2876">
        <v>111</v>
      </c>
      <c r="C16" s="912"/>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20"/>
      <c r="Q16" s="1144">
        <f t="shared" si="6"/>
        <v>111</v>
      </c>
      <c r="R16" s="1552" t="s">
        <v>8</v>
      </c>
      <c r="S16" s="1553">
        <f t="shared" si="0"/>
        <v>100</v>
      </c>
      <c r="T16" s="1552" t="s">
        <v>8</v>
      </c>
      <c r="U16" s="1553">
        <f t="shared" si="1"/>
        <v>100</v>
      </c>
      <c r="V16" s="1552" t="s">
        <v>8</v>
      </c>
      <c r="W16" s="1553">
        <f t="shared" si="2"/>
        <v>100</v>
      </c>
      <c r="X16" s="1554"/>
      <c r="Y16" s="3366"/>
      <c r="Z16" s="1143">
        <f t="shared" si="7"/>
        <v>111</v>
      </c>
      <c r="AA16" s="1555">
        <f>D16/F16</f>
        <v>1</v>
      </c>
      <c r="AB16" s="1555">
        <f>D16/H16</f>
        <v>1</v>
      </c>
      <c r="AC16" s="1555">
        <f>D16/J16</f>
        <v>1</v>
      </c>
    </row>
    <row r="17" spans="1:29" ht="99.75">
      <c r="A17" s="2862"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105</v>
      </c>
      <c r="G17" s="549"/>
      <c r="H17" s="548">
        <f>SUMIF(90:90,G18,91:91)-SUMIF(90:90,C18,91:91)+100</f>
        <v>100</v>
      </c>
      <c r="I17" s="551"/>
      <c r="J17" s="548">
        <f>SUMIF(90:90,I18,91:91)-SUMIF(90:90,C18,91:91)+100</f>
        <v>105</v>
      </c>
      <c r="K17" s="534">
        <v>5</v>
      </c>
      <c r="L17" s="2125"/>
      <c r="M17" s="2115"/>
      <c r="N17" s="2115"/>
      <c r="O17" s="2124"/>
      <c r="P17" s="3454" t="s">
        <v>540</v>
      </c>
      <c r="Q17" s="1556" t="str">
        <f t="shared" si="6"/>
        <v>居住社区成熟度</v>
      </c>
      <c r="R17" s="1557" t="s">
        <v>8</v>
      </c>
      <c r="S17" s="1558">
        <f t="shared" si="0"/>
        <v>105</v>
      </c>
      <c r="T17" s="1557" t="s">
        <v>8</v>
      </c>
      <c r="U17" s="1558">
        <f t="shared" si="1"/>
        <v>100</v>
      </c>
      <c r="V17" s="1557" t="s">
        <v>8</v>
      </c>
      <c r="W17" s="1558">
        <f t="shared" si="2"/>
        <v>105</v>
      </c>
      <c r="X17" s="1551"/>
      <c r="Y17" s="3454" t="s">
        <v>540</v>
      </c>
      <c r="Z17" s="1559" t="str">
        <f t="shared" si="7"/>
        <v>居住社区成熟度</v>
      </c>
      <c r="AA17" s="1560">
        <f t="shared" si="3"/>
        <v>0.95238095238095233</v>
      </c>
      <c r="AB17" s="1560">
        <f t="shared" si="4"/>
        <v>1</v>
      </c>
      <c r="AC17" s="1560">
        <f t="shared" si="5"/>
        <v>0.95238095238095233</v>
      </c>
    </row>
    <row r="18" spans="1:29" ht="20.25">
      <c r="A18" s="531"/>
      <c r="B18" s="552"/>
      <c r="C18" s="3557" t="s">
        <v>3169</v>
      </c>
      <c r="D18" s="3558"/>
      <c r="E18" s="3559" t="s">
        <v>3161</v>
      </c>
      <c r="F18" s="3560"/>
      <c r="G18" s="3561" t="s">
        <v>3169</v>
      </c>
      <c r="H18" s="3562"/>
      <c r="I18" s="3559" t="s">
        <v>3161</v>
      </c>
      <c r="J18" s="554"/>
      <c r="K18" s="530"/>
      <c r="L18" s="2125"/>
      <c r="M18" s="2115"/>
      <c r="N18" s="2115"/>
      <c r="O18" s="2124"/>
      <c r="P18" s="3455"/>
      <c r="Q18" s="1556"/>
      <c r="R18" s="1557"/>
      <c r="S18" s="1558"/>
      <c r="T18" s="1557"/>
      <c r="U18" s="1558"/>
      <c r="V18" s="1557"/>
      <c r="W18" s="1558"/>
      <c r="X18" s="1551"/>
      <c r="Y18" s="3455"/>
      <c r="Z18" s="1559"/>
      <c r="AA18" s="1560">
        <v>1</v>
      </c>
      <c r="AB18" s="1560">
        <v>1</v>
      </c>
      <c r="AC18" s="1560">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5"/>
      <c r="M19" s="2115"/>
      <c r="N19" s="2115"/>
      <c r="O19" s="2124"/>
      <c r="P19" s="3455"/>
      <c r="Q19" s="1556" t="str">
        <f>B19</f>
        <v>商业繁华度</v>
      </c>
      <c r="R19" s="1557" t="s">
        <v>8</v>
      </c>
      <c r="S19" s="1558">
        <f>F19</f>
        <v>100</v>
      </c>
      <c r="T19" s="1557" t="s">
        <v>8</v>
      </c>
      <c r="U19" s="1558">
        <f>H19</f>
        <v>100</v>
      </c>
      <c r="V19" s="1557" t="s">
        <v>8</v>
      </c>
      <c r="W19" s="1558">
        <f>J19</f>
        <v>100</v>
      </c>
      <c r="X19" s="1551"/>
      <c r="Y19" s="3455"/>
      <c r="Z19" s="1559" t="str">
        <f>Q19</f>
        <v>商业繁华度</v>
      </c>
      <c r="AA19" s="1560">
        <f t="shared" si="3"/>
        <v>1</v>
      </c>
      <c r="AB19" s="1560">
        <f t="shared" si="4"/>
        <v>1</v>
      </c>
      <c r="AC19" s="1560">
        <f t="shared" si="5"/>
        <v>1</v>
      </c>
    </row>
    <row r="20" spans="1:29" ht="20.25">
      <c r="A20" s="531"/>
      <c r="B20" s="565"/>
      <c r="C20" s="566"/>
      <c r="D20" s="562"/>
      <c r="E20" s="568"/>
      <c r="F20" s="558"/>
      <c r="G20" s="567"/>
      <c r="H20" s="554"/>
      <c r="I20" s="568"/>
      <c r="J20" s="554"/>
      <c r="K20" s="530"/>
      <c r="L20" s="2125"/>
      <c r="M20" s="2115"/>
      <c r="N20" s="2115"/>
      <c r="O20" s="2124"/>
      <c r="P20" s="3455"/>
      <c r="Q20" s="1556"/>
      <c r="R20" s="1557"/>
      <c r="S20" s="1558"/>
      <c r="T20" s="1557"/>
      <c r="U20" s="1558"/>
      <c r="V20" s="1557"/>
      <c r="W20" s="1558"/>
      <c r="X20" s="1551"/>
      <c r="Y20" s="3455"/>
      <c r="Z20" s="1559"/>
      <c r="AA20" s="1560">
        <v>1</v>
      </c>
      <c r="AB20" s="1560">
        <v>1</v>
      </c>
      <c r="AC20" s="1560">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55"/>
      <c r="Q21" s="1556" t="str">
        <f>B21</f>
        <v>办公集聚程度</v>
      </c>
      <c r="R21" s="1557" t="s">
        <v>8</v>
      </c>
      <c r="S21" s="1558">
        <f>F21</f>
        <v>100</v>
      </c>
      <c r="T21" s="1557" t="s">
        <v>8</v>
      </c>
      <c r="U21" s="1558">
        <f>H21</f>
        <v>100</v>
      </c>
      <c r="V21" s="1557" t="s">
        <v>8</v>
      </c>
      <c r="W21" s="1558">
        <f>J21</f>
        <v>100</v>
      </c>
      <c r="X21" s="1551"/>
      <c r="Y21" s="3455"/>
      <c r="Z21" s="1559" t="str">
        <f>Q21</f>
        <v>办公集聚程度</v>
      </c>
      <c r="AA21" s="1560">
        <f t="shared" si="3"/>
        <v>1</v>
      </c>
      <c r="AB21" s="1560">
        <f t="shared" si="4"/>
        <v>1</v>
      </c>
      <c r="AC21" s="1560">
        <f t="shared" si="5"/>
        <v>1</v>
      </c>
    </row>
    <row r="22" spans="1:29" ht="20.25">
      <c r="A22" s="531"/>
      <c r="B22" s="565"/>
      <c r="C22" s="553"/>
      <c r="D22" s="556"/>
      <c r="E22" s="557"/>
      <c r="F22" s="554"/>
      <c r="G22" s="555"/>
      <c r="H22" s="554"/>
      <c r="I22" s="557"/>
      <c r="J22" s="554"/>
      <c r="K22" s="530"/>
      <c r="L22" s="2125"/>
      <c r="M22" s="2115"/>
      <c r="N22" s="2115"/>
      <c r="O22" s="2124"/>
      <c r="P22" s="3455"/>
      <c r="Q22" s="1556"/>
      <c r="R22" s="1557"/>
      <c r="S22" s="1558"/>
      <c r="T22" s="1557"/>
      <c r="U22" s="1558"/>
      <c r="V22" s="1557"/>
      <c r="W22" s="1558"/>
      <c r="X22" s="1551"/>
      <c r="Y22" s="3455"/>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5"/>
      <c r="M23" s="2115"/>
      <c r="N23" s="2115"/>
      <c r="O23" s="2124"/>
      <c r="P23" s="3455"/>
      <c r="Q23" s="1556" t="str">
        <f>B23</f>
        <v>交通便捷度</v>
      </c>
      <c r="R23" s="1557" t="s">
        <v>8</v>
      </c>
      <c r="S23" s="1558">
        <f>F23</f>
        <v>100</v>
      </c>
      <c r="T23" s="1557" t="s">
        <v>8</v>
      </c>
      <c r="U23" s="1558">
        <f>H23</f>
        <v>100</v>
      </c>
      <c r="V23" s="1557" t="s">
        <v>8</v>
      </c>
      <c r="W23" s="1558">
        <f>J23</f>
        <v>100</v>
      </c>
      <c r="X23" s="1551"/>
      <c r="Y23" s="3455"/>
      <c r="Z23" s="1559" t="str">
        <f>Q23</f>
        <v>交通便捷度</v>
      </c>
      <c r="AA23" s="1560">
        <f t="shared" si="3"/>
        <v>1</v>
      </c>
      <c r="AB23" s="1560">
        <f t="shared" si="4"/>
        <v>1</v>
      </c>
      <c r="AC23" s="1560">
        <f t="shared" si="5"/>
        <v>1</v>
      </c>
    </row>
    <row r="24" spans="1:29" ht="20.25">
      <c r="A24" s="531"/>
      <c r="B24" s="577"/>
      <c r="C24" s="553"/>
      <c r="D24" s="556"/>
      <c r="E24" s="557"/>
      <c r="F24" s="554"/>
      <c r="G24" s="555"/>
      <c r="H24" s="554"/>
      <c r="I24" s="557"/>
      <c r="J24" s="554"/>
      <c r="K24" s="530"/>
      <c r="L24" s="2125"/>
      <c r="M24" s="2115"/>
      <c r="N24" s="2115"/>
      <c r="O24" s="2124"/>
      <c r="P24" s="3455"/>
      <c r="Q24" s="1556"/>
      <c r="R24" s="1557"/>
      <c r="S24" s="1558"/>
      <c r="T24" s="1557"/>
      <c r="U24" s="1558"/>
      <c r="V24" s="1557"/>
      <c r="W24" s="1558"/>
      <c r="X24" s="1551"/>
      <c r="Y24" s="3455"/>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5"/>
      <c r="M25" s="2115"/>
      <c r="N25" s="2115"/>
      <c r="O25" s="2124"/>
      <c r="P25" s="3455"/>
      <c r="Q25" s="1556" t="str">
        <f t="shared" ref="Q25:Q39" si="8">B25</f>
        <v>区域土地利用方向</v>
      </c>
      <c r="R25" s="1557" t="s">
        <v>8</v>
      </c>
      <c r="S25" s="1558">
        <f>F25</f>
        <v>100</v>
      </c>
      <c r="T25" s="1557" t="s">
        <v>8</v>
      </c>
      <c r="U25" s="1558">
        <f>H25</f>
        <v>100</v>
      </c>
      <c r="V25" s="1557" t="s">
        <v>8</v>
      </c>
      <c r="W25" s="1558">
        <f>J25</f>
        <v>100</v>
      </c>
      <c r="X25" s="1551"/>
      <c r="Y25" s="3455"/>
      <c r="Z25" s="1559" t="str">
        <f>Q25</f>
        <v>区域土地利用方向</v>
      </c>
      <c r="AA25" s="1560">
        <f t="shared" si="3"/>
        <v>1</v>
      </c>
      <c r="AB25" s="1560">
        <f t="shared" si="4"/>
        <v>1</v>
      </c>
      <c r="AC25" s="1560">
        <f t="shared" si="5"/>
        <v>1</v>
      </c>
    </row>
    <row r="26" spans="1:29" ht="20.25">
      <c r="A26" s="514"/>
      <c r="B26" s="1004"/>
      <c r="C26" s="553"/>
      <c r="D26" s="556"/>
      <c r="E26" s="557"/>
      <c r="F26" s="554"/>
      <c r="G26" s="555"/>
      <c r="H26" s="554"/>
      <c r="I26" s="557"/>
      <c r="J26" s="554"/>
      <c r="K26" s="530"/>
      <c r="L26" s="2125"/>
      <c r="M26" s="2115"/>
      <c r="N26" s="2115"/>
      <c r="O26" s="2124"/>
      <c r="P26" s="3455"/>
      <c r="Q26" s="1556"/>
      <c r="R26" s="1557"/>
      <c r="S26" s="1558"/>
      <c r="T26" s="1557"/>
      <c r="U26" s="1558"/>
      <c r="V26" s="1557"/>
      <c r="W26" s="1558"/>
      <c r="X26" s="1551"/>
      <c r="Y26" s="3455"/>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5"/>
      <c r="M27" s="2115"/>
      <c r="N27" s="2115"/>
      <c r="O27" s="2124"/>
      <c r="P27" s="3455"/>
      <c r="Q27" s="1556" t="str">
        <f t="shared" si="8"/>
        <v>自然及人文环境状况</v>
      </c>
      <c r="R27" s="1557" t="s">
        <v>8</v>
      </c>
      <c r="S27" s="1558">
        <f>F27</f>
        <v>100</v>
      </c>
      <c r="T27" s="1557" t="s">
        <v>8</v>
      </c>
      <c r="U27" s="1558">
        <f>H27</f>
        <v>100</v>
      </c>
      <c r="V27" s="1557" t="s">
        <v>8</v>
      </c>
      <c r="W27" s="1558">
        <f>J27</f>
        <v>100</v>
      </c>
      <c r="X27" s="1551"/>
      <c r="Y27" s="3455"/>
      <c r="Z27" s="1559" t="str">
        <f>Q27</f>
        <v>自然及人文环境状况</v>
      </c>
      <c r="AA27" s="1560">
        <f t="shared" si="3"/>
        <v>1</v>
      </c>
      <c r="AB27" s="1560">
        <f t="shared" si="4"/>
        <v>1</v>
      </c>
      <c r="AC27" s="1560">
        <f t="shared" si="5"/>
        <v>1</v>
      </c>
    </row>
    <row r="28" spans="1:29" ht="20.25">
      <c r="A28" s="514"/>
      <c r="B28" s="565"/>
      <c r="C28" s="553"/>
      <c r="D28" s="556"/>
      <c r="E28" s="575"/>
      <c r="F28" s="554"/>
      <c r="G28" s="553"/>
      <c r="H28" s="554"/>
      <c r="I28" s="575"/>
      <c r="J28" s="554"/>
      <c r="K28" s="530"/>
      <c r="L28" s="2125"/>
      <c r="M28" s="2115"/>
      <c r="N28" s="2115"/>
      <c r="O28" s="2124"/>
      <c r="P28" s="3455"/>
      <c r="Q28" s="1556"/>
      <c r="R28" s="1557"/>
      <c r="S28" s="1558"/>
      <c r="T28" s="1557"/>
      <c r="U28" s="1558"/>
      <c r="V28" s="1557"/>
      <c r="W28" s="1558"/>
      <c r="X28" s="1551"/>
      <c r="Y28" s="3455"/>
      <c r="Z28" s="1559"/>
      <c r="AA28" s="1560">
        <v>1</v>
      </c>
      <c r="AB28" s="1560">
        <v>1</v>
      </c>
      <c r="AC28" s="1560">
        <v>1</v>
      </c>
    </row>
    <row r="29" spans="1:29" s="1213" customFormat="1" ht="42.75">
      <c r="A29" s="576"/>
      <c r="B29" s="2553"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8"/>
      <c r="M29" s="2115"/>
      <c r="N29" s="2115"/>
      <c r="O29" s="2120"/>
      <c r="P29" s="3455"/>
      <c r="Q29" s="1144" t="str">
        <f t="shared" si="8"/>
        <v>公共配套设施</v>
      </c>
      <c r="R29" s="1552" t="s">
        <v>8</v>
      </c>
      <c r="S29" s="1553">
        <f>F29</f>
        <v>100</v>
      </c>
      <c r="T29" s="1552" t="s">
        <v>8</v>
      </c>
      <c r="U29" s="1553">
        <f>H29</f>
        <v>100</v>
      </c>
      <c r="V29" s="1552" t="s">
        <v>8</v>
      </c>
      <c r="W29" s="1553">
        <f>J29</f>
        <v>100</v>
      </c>
      <c r="X29" s="1554"/>
      <c r="Y29" s="3455"/>
      <c r="Z29" s="1143" t="str">
        <f>Q29</f>
        <v>公共配套设施</v>
      </c>
      <c r="AA29" s="1560">
        <f>D29/F29</f>
        <v>1</v>
      </c>
      <c r="AB29" s="1560">
        <f>D29/H29</f>
        <v>1</v>
      </c>
      <c r="AC29" s="1560">
        <f>D29/J29</f>
        <v>1</v>
      </c>
    </row>
    <row r="30" spans="1:29" s="1213" customFormat="1" ht="20.25">
      <c r="A30" s="576"/>
      <c r="B30" s="565"/>
      <c r="C30" s="578"/>
      <c r="D30" s="556"/>
      <c r="E30" s="575"/>
      <c r="F30" s="554"/>
      <c r="G30" s="553"/>
      <c r="H30" s="554"/>
      <c r="I30" s="575"/>
      <c r="J30" s="554"/>
      <c r="K30" s="530"/>
      <c r="L30" s="2118"/>
      <c r="M30" s="2115"/>
      <c r="N30" s="2115"/>
      <c r="O30" s="2120"/>
      <c r="P30" s="3455"/>
      <c r="Q30" s="1144"/>
      <c r="R30" s="1552"/>
      <c r="S30" s="1553"/>
      <c r="T30" s="1552"/>
      <c r="U30" s="1553"/>
      <c r="V30" s="1552"/>
      <c r="W30" s="1553"/>
      <c r="X30" s="1554"/>
      <c r="Y30" s="3455"/>
      <c r="Z30" s="1143"/>
      <c r="AA30" s="1560">
        <v>1</v>
      </c>
      <c r="AB30" s="1560">
        <v>1</v>
      </c>
      <c r="AC30" s="1560">
        <v>1</v>
      </c>
    </row>
    <row r="31" spans="1:29" s="1213" customFormat="1" ht="28.5">
      <c r="A31" s="576"/>
      <c r="B31" s="2553"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8"/>
      <c r="M31" s="2115"/>
      <c r="N31" s="2115"/>
      <c r="O31" s="2120"/>
      <c r="P31" s="3455"/>
      <c r="Q31" s="2540" t="str">
        <f t="shared" ref="Q31" si="9">B31</f>
        <v>基础设施水平</v>
      </c>
      <c r="R31" s="1552" t="s">
        <v>8</v>
      </c>
      <c r="S31" s="1553">
        <f>F31</f>
        <v>100</v>
      </c>
      <c r="T31" s="1552" t="s">
        <v>8</v>
      </c>
      <c r="U31" s="1553">
        <f>H31</f>
        <v>100</v>
      </c>
      <c r="V31" s="1552" t="s">
        <v>8</v>
      </c>
      <c r="W31" s="1553">
        <f>J31</f>
        <v>100</v>
      </c>
      <c r="X31" s="1554"/>
      <c r="Y31" s="3455"/>
      <c r="Z31" s="2537" t="str">
        <f>Q31</f>
        <v>基础设施水平</v>
      </c>
      <c r="AA31" s="1560">
        <f>D31/F31</f>
        <v>1</v>
      </c>
      <c r="AB31" s="1560">
        <f>D31/H31</f>
        <v>1</v>
      </c>
      <c r="AC31" s="1560">
        <f>D31/J31</f>
        <v>1</v>
      </c>
    </row>
    <row r="32" spans="1:29" s="1213" customFormat="1" ht="20.25">
      <c r="A32" s="576"/>
      <c r="B32" s="565"/>
      <c r="C32" s="578"/>
      <c r="D32" s="556"/>
      <c r="E32" s="2554"/>
      <c r="F32" s="554"/>
      <c r="G32" s="578"/>
      <c r="H32" s="554"/>
      <c r="I32" s="578"/>
      <c r="J32" s="554"/>
      <c r="K32" s="530"/>
      <c r="L32" s="2118"/>
      <c r="M32" s="2115"/>
      <c r="N32" s="2115"/>
      <c r="O32" s="2120"/>
      <c r="P32" s="3455"/>
      <c r="Q32" s="2540"/>
      <c r="R32" s="1552"/>
      <c r="S32" s="1553"/>
      <c r="T32" s="1552"/>
      <c r="U32" s="1553"/>
      <c r="V32" s="1552"/>
      <c r="W32" s="1553"/>
      <c r="X32" s="1554"/>
      <c r="Y32" s="3455"/>
      <c r="Z32" s="2537"/>
      <c r="AA32" s="1560">
        <v>1</v>
      </c>
      <c r="AB32" s="1560">
        <v>1</v>
      </c>
      <c r="AC32" s="1560">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55"/>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55"/>
      <c r="Z33" s="1559" t="str">
        <f t="shared" ref="Z33:Z47" si="13">Q33</f>
        <v>临街状况</v>
      </c>
      <c r="AA33" s="1560">
        <f t="shared" si="3"/>
        <v>1</v>
      </c>
      <c r="AB33" s="1560">
        <f t="shared" si="4"/>
        <v>1</v>
      </c>
      <c r="AC33" s="1560">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55"/>
      <c r="Q34" s="1556" t="str">
        <f t="shared" si="8"/>
        <v>毗邻道路的类型与等级</v>
      </c>
      <c r="R34" s="1557" t="s">
        <v>8</v>
      </c>
      <c r="S34" s="1558">
        <f t="shared" si="10"/>
        <v>100</v>
      </c>
      <c r="T34" s="1557" t="s">
        <v>8</v>
      </c>
      <c r="U34" s="1558">
        <f t="shared" si="11"/>
        <v>100</v>
      </c>
      <c r="V34" s="1557" t="s">
        <v>8</v>
      </c>
      <c r="W34" s="1558">
        <f t="shared" si="12"/>
        <v>100</v>
      </c>
      <c r="X34" s="1551"/>
      <c r="Y34" s="3455"/>
      <c r="Z34" s="1559" t="str">
        <f t="shared" si="13"/>
        <v>毗邻道路的类型与等级</v>
      </c>
      <c r="AA34" s="1560">
        <f t="shared" si="3"/>
        <v>1</v>
      </c>
      <c r="AB34" s="1560">
        <f t="shared" si="4"/>
        <v>1</v>
      </c>
      <c r="AC34" s="1560">
        <f t="shared" si="5"/>
        <v>1</v>
      </c>
    </row>
    <row r="35" spans="1:29" ht="20.25">
      <c r="A35" s="531"/>
      <c r="B35" s="565"/>
      <c r="C35" s="553"/>
      <c r="D35" s="556"/>
      <c r="E35" s="575"/>
      <c r="F35" s="554"/>
      <c r="G35" s="553"/>
      <c r="H35" s="554"/>
      <c r="I35" s="575"/>
      <c r="J35" s="554"/>
      <c r="K35" s="580"/>
      <c r="L35" s="2125"/>
      <c r="M35" s="2115"/>
      <c r="N35" s="2115"/>
      <c r="O35" s="2124"/>
      <c r="P35" s="3455"/>
      <c r="Q35" s="1556"/>
      <c r="R35" s="1557"/>
      <c r="S35" s="1558"/>
      <c r="T35" s="1557"/>
      <c r="U35" s="1558"/>
      <c r="V35" s="1557"/>
      <c r="W35" s="1558"/>
      <c r="X35" s="1551"/>
      <c r="Y35" s="3455"/>
      <c r="Z35" s="1559"/>
      <c r="AA35" s="1560">
        <v>1</v>
      </c>
      <c r="AB35" s="1560">
        <v>1</v>
      </c>
      <c r="AC35" s="1560">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55"/>
      <c r="Q36" s="1556" t="str">
        <f t="shared" si="8"/>
        <v>土地级别</v>
      </c>
      <c r="R36" s="1557" t="s">
        <v>8</v>
      </c>
      <c r="S36" s="1558">
        <f t="shared" si="10"/>
        <v>100</v>
      </c>
      <c r="T36" s="1557" t="s">
        <v>8</v>
      </c>
      <c r="U36" s="1558">
        <f t="shared" si="11"/>
        <v>100</v>
      </c>
      <c r="V36" s="1557" t="s">
        <v>8</v>
      </c>
      <c r="W36" s="1558">
        <f t="shared" si="12"/>
        <v>100</v>
      </c>
      <c r="X36" s="1551"/>
      <c r="Y36" s="3455"/>
      <c r="Z36" s="1559" t="str">
        <f t="shared" si="13"/>
        <v>土地级别</v>
      </c>
      <c r="AA36" s="1560">
        <f t="shared" si="3"/>
        <v>1</v>
      </c>
      <c r="AB36" s="1560">
        <f t="shared" si="4"/>
        <v>1</v>
      </c>
      <c r="AC36" s="1560">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55"/>
      <c r="Q37" s="1556">
        <f t="shared" si="8"/>
        <v>111</v>
      </c>
      <c r="R37" s="1557" t="s">
        <v>8</v>
      </c>
      <c r="S37" s="1558">
        <f t="shared" si="10"/>
        <v>100</v>
      </c>
      <c r="T37" s="1557" t="s">
        <v>8</v>
      </c>
      <c r="U37" s="1558">
        <f t="shared" si="11"/>
        <v>100</v>
      </c>
      <c r="V37" s="1557" t="s">
        <v>8</v>
      </c>
      <c r="W37" s="1558">
        <f t="shared" si="12"/>
        <v>100</v>
      </c>
      <c r="X37" s="1551"/>
      <c r="Y37" s="3455"/>
      <c r="Z37" s="1559">
        <f t="shared" si="13"/>
        <v>111</v>
      </c>
      <c r="AA37" s="1560">
        <f t="shared" si="3"/>
        <v>1</v>
      </c>
      <c r="AB37" s="1560">
        <f t="shared" si="4"/>
        <v>1</v>
      </c>
      <c r="AC37" s="1560">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56" t="s">
        <v>550</v>
      </c>
      <c r="Q38" s="1556">
        <f t="shared" si="8"/>
        <v>111</v>
      </c>
      <c r="R38" s="1557" t="s">
        <v>8</v>
      </c>
      <c r="S38" s="1558">
        <f t="shared" si="10"/>
        <v>100</v>
      </c>
      <c r="T38" s="1557" t="s">
        <v>8</v>
      </c>
      <c r="U38" s="1558">
        <f t="shared" si="11"/>
        <v>100</v>
      </c>
      <c r="V38" s="1557" t="s">
        <v>8</v>
      </c>
      <c r="W38" s="1558">
        <f t="shared" si="12"/>
        <v>100</v>
      </c>
      <c r="X38" s="1551"/>
      <c r="Y38" s="3457" t="s">
        <v>550</v>
      </c>
      <c r="Z38" s="1559">
        <f t="shared" si="13"/>
        <v>111</v>
      </c>
      <c r="AA38" s="1560">
        <f t="shared" si="3"/>
        <v>1</v>
      </c>
      <c r="AB38" s="1560">
        <f t="shared" si="4"/>
        <v>1</v>
      </c>
      <c r="AC38" s="1560">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57"/>
      <c r="Q39" s="1556">
        <f t="shared" si="8"/>
        <v>111</v>
      </c>
      <c r="R39" s="1561" t="s">
        <v>8</v>
      </c>
      <c r="S39" s="1562">
        <f t="shared" si="10"/>
        <v>100</v>
      </c>
      <c r="T39" s="1561" t="s">
        <v>8</v>
      </c>
      <c r="U39" s="1562">
        <f t="shared" si="11"/>
        <v>100</v>
      </c>
      <c r="V39" s="1561" t="s">
        <v>8</v>
      </c>
      <c r="W39" s="1562">
        <f t="shared" si="12"/>
        <v>100</v>
      </c>
      <c r="X39" s="1563"/>
      <c r="Y39" s="3457"/>
      <c r="Z39" s="1564">
        <f t="shared" si="13"/>
        <v>111</v>
      </c>
      <c r="AA39" s="1560">
        <f t="shared" si="3"/>
        <v>1</v>
      </c>
      <c r="AB39" s="1560">
        <f t="shared" si="4"/>
        <v>1</v>
      </c>
      <c r="AC39" s="1560">
        <f t="shared" si="5"/>
        <v>1</v>
      </c>
    </row>
    <row r="40" spans="1:29" ht="20.25">
      <c r="A40" s="2860" t="s">
        <v>2752</v>
      </c>
      <c r="B40" s="594" t="s">
        <v>552</v>
      </c>
      <c r="C40" s="595">
        <f>'数据-汇总表'!D3</f>
        <v>42532.75</v>
      </c>
      <c r="D40" s="596">
        <v>100</v>
      </c>
      <c r="E40" s="595">
        <f>Sheet1!D8</f>
        <v>81565.039999999994</v>
      </c>
      <c r="F40" s="596">
        <f>LOOKUP(E40,119:119,120:120)-LOOKUP(C40,119:119,120:120)+100</f>
        <v>96</v>
      </c>
      <c r="G40" s="595">
        <f>Sheet1!D14</f>
        <v>69856.02</v>
      </c>
      <c r="H40" s="596">
        <f>LOOKUP(G40,119:119,120:120)-LOOKUP(C40,119:119,120:120)+100</f>
        <v>98</v>
      </c>
      <c r="I40" s="597">
        <f>Sheet1!D21</f>
        <v>47849.94</v>
      </c>
      <c r="J40" s="596">
        <f>LOOKUP(I40,119:119,120:120)-LOOKUP(C40,119:119,120:120)+100</f>
        <v>100</v>
      </c>
      <c r="K40" s="580"/>
      <c r="L40" s="2125"/>
      <c r="M40" s="2115"/>
      <c r="N40" s="2115"/>
      <c r="O40" s="2124"/>
      <c r="P40" s="3457"/>
      <c r="Q40" s="1556" t="str">
        <f>B40</f>
        <v>宗地面积</v>
      </c>
      <c r="R40" s="1557" t="s">
        <v>8</v>
      </c>
      <c r="S40" s="1558">
        <f t="shared" si="10"/>
        <v>96</v>
      </c>
      <c r="T40" s="1557" t="s">
        <v>8</v>
      </c>
      <c r="U40" s="1558">
        <f t="shared" si="11"/>
        <v>98</v>
      </c>
      <c r="V40" s="1557" t="s">
        <v>8</v>
      </c>
      <c r="W40" s="1558">
        <f t="shared" si="12"/>
        <v>100</v>
      </c>
      <c r="X40" s="1551"/>
      <c r="Y40" s="3457"/>
      <c r="Z40" s="1559" t="str">
        <f t="shared" si="13"/>
        <v>宗地面积</v>
      </c>
      <c r="AA40" s="1560">
        <f t="shared" si="3"/>
        <v>1.0416666666666667</v>
      </c>
      <c r="AB40" s="1560">
        <f t="shared" si="4"/>
        <v>1.0204081632653061</v>
      </c>
      <c r="AC40" s="1560">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5"/>
      <c r="M41" s="2115"/>
      <c r="N41" s="2115"/>
      <c r="O41" s="2124"/>
      <c r="P41" s="3457"/>
      <c r="Q41" s="1556" t="str">
        <f t="shared" ref="Q41:Q47" si="14">B41</f>
        <v>宗地形状</v>
      </c>
      <c r="R41" s="1557" t="s">
        <v>8</v>
      </c>
      <c r="S41" s="1558">
        <f t="shared" si="10"/>
        <v>100</v>
      </c>
      <c r="T41" s="1557" t="s">
        <v>8</v>
      </c>
      <c r="U41" s="1558">
        <f t="shared" si="11"/>
        <v>100</v>
      </c>
      <c r="V41" s="1557" t="s">
        <v>8</v>
      </c>
      <c r="W41" s="1558">
        <f t="shared" si="12"/>
        <v>100</v>
      </c>
      <c r="X41" s="1551"/>
      <c r="Y41" s="3457"/>
      <c r="Z41" s="1559" t="str">
        <f t="shared" si="13"/>
        <v>宗地形状</v>
      </c>
      <c r="AA41" s="1560">
        <f t="shared" si="3"/>
        <v>1</v>
      </c>
      <c r="AB41" s="1560">
        <f t="shared" si="4"/>
        <v>1</v>
      </c>
      <c r="AC41" s="1560">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457"/>
      <c r="Q42" s="1556" t="str">
        <f t="shared" si="14"/>
        <v>临街宽度及深度</v>
      </c>
      <c r="R42" s="1557" t="s">
        <v>8</v>
      </c>
      <c r="S42" s="1558">
        <f t="shared" si="10"/>
        <v>100</v>
      </c>
      <c r="T42" s="1557" t="s">
        <v>8</v>
      </c>
      <c r="U42" s="1558">
        <f t="shared" si="11"/>
        <v>100</v>
      </c>
      <c r="V42" s="1557" t="s">
        <v>8</v>
      </c>
      <c r="W42" s="1558">
        <f t="shared" si="12"/>
        <v>100</v>
      </c>
      <c r="X42" s="1551"/>
      <c r="Y42" s="3457"/>
      <c r="Z42" s="1559" t="str">
        <f t="shared" si="13"/>
        <v>临街宽度及深度</v>
      </c>
      <c r="AA42" s="1560">
        <f t="shared" si="3"/>
        <v>1</v>
      </c>
      <c r="AB42" s="1560">
        <f t="shared" si="4"/>
        <v>1</v>
      </c>
      <c r="AC42" s="1560">
        <f t="shared" si="5"/>
        <v>1</v>
      </c>
    </row>
    <row r="43" spans="1:29" s="1213" customFormat="1" ht="20.25">
      <c r="A43" s="599"/>
      <c r="B43" s="1878" t="s">
        <v>2422</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8"/>
      <c r="M43" s="2115"/>
      <c r="N43" s="2115"/>
      <c r="O43" s="2120"/>
      <c r="P43" s="3457"/>
      <c r="Q43" s="1556" t="str">
        <f t="shared" si="14"/>
        <v>宗地开发程度</v>
      </c>
      <c r="R43" s="1552" t="s">
        <v>8</v>
      </c>
      <c r="S43" s="1553">
        <f t="shared" si="10"/>
        <v>100</v>
      </c>
      <c r="T43" s="1552" t="s">
        <v>8</v>
      </c>
      <c r="U43" s="1553">
        <f t="shared" si="11"/>
        <v>100</v>
      </c>
      <c r="V43" s="1552" t="s">
        <v>8</v>
      </c>
      <c r="W43" s="1553">
        <f t="shared" si="12"/>
        <v>100</v>
      </c>
      <c r="X43" s="1554"/>
      <c r="Y43" s="3457"/>
      <c r="Z43" s="1143" t="str">
        <f t="shared" si="13"/>
        <v>宗地开发程度</v>
      </c>
      <c r="AA43" s="1555">
        <f t="shared" si="3"/>
        <v>1</v>
      </c>
      <c r="AB43" s="1555">
        <f t="shared" si="4"/>
        <v>1</v>
      </c>
      <c r="AC43" s="1555">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5"/>
      <c r="M44" s="2115"/>
      <c r="N44" s="2115"/>
      <c r="O44" s="2124"/>
      <c r="P44" s="3457" t="s">
        <v>550</v>
      </c>
      <c r="Q44" s="1556" t="str">
        <f t="shared" si="14"/>
        <v>工程地质条件</v>
      </c>
      <c r="R44" s="1557" t="s">
        <v>8</v>
      </c>
      <c r="S44" s="1558">
        <f t="shared" si="10"/>
        <v>100</v>
      </c>
      <c r="T44" s="1557" t="s">
        <v>8</v>
      </c>
      <c r="U44" s="1558">
        <f t="shared" si="11"/>
        <v>100</v>
      </c>
      <c r="V44" s="1557" t="s">
        <v>8</v>
      </c>
      <c r="W44" s="1558">
        <f t="shared" si="12"/>
        <v>100</v>
      </c>
      <c r="X44" s="1551"/>
      <c r="Y44" s="3457" t="s">
        <v>550</v>
      </c>
      <c r="Z44" s="1559" t="str">
        <f t="shared" si="13"/>
        <v>工程地质条件</v>
      </c>
      <c r="AA44" s="1560">
        <f t="shared" si="3"/>
        <v>1</v>
      </c>
      <c r="AB44" s="1560">
        <f t="shared" si="4"/>
        <v>1</v>
      </c>
      <c r="AC44" s="1560">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57"/>
      <c r="Q45" s="1556">
        <f t="shared" si="14"/>
        <v>111</v>
      </c>
      <c r="R45" s="1557" t="s">
        <v>8</v>
      </c>
      <c r="S45" s="1558">
        <f t="shared" si="10"/>
        <v>100</v>
      </c>
      <c r="T45" s="1557" t="s">
        <v>8</v>
      </c>
      <c r="U45" s="1558">
        <f t="shared" si="11"/>
        <v>100</v>
      </c>
      <c r="V45" s="1557" t="s">
        <v>8</v>
      </c>
      <c r="W45" s="1558">
        <f t="shared" si="12"/>
        <v>100</v>
      </c>
      <c r="X45" s="1551"/>
      <c r="Y45" s="3457"/>
      <c r="Z45" s="1559">
        <f t="shared" si="13"/>
        <v>111</v>
      </c>
      <c r="AA45" s="1560">
        <f t="shared" si="3"/>
        <v>1</v>
      </c>
      <c r="AB45" s="1560">
        <f t="shared" si="4"/>
        <v>1</v>
      </c>
      <c r="AC45" s="1560">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57"/>
      <c r="Q46" s="1556">
        <f t="shared" si="14"/>
        <v>111</v>
      </c>
      <c r="R46" s="1557" t="s">
        <v>8</v>
      </c>
      <c r="S46" s="1558">
        <f t="shared" si="10"/>
        <v>100</v>
      </c>
      <c r="T46" s="1557" t="s">
        <v>8</v>
      </c>
      <c r="U46" s="1558">
        <f t="shared" si="11"/>
        <v>100</v>
      </c>
      <c r="V46" s="1557" t="s">
        <v>8</v>
      </c>
      <c r="W46" s="1558">
        <f t="shared" si="12"/>
        <v>100</v>
      </c>
      <c r="X46" s="1551"/>
      <c r="Y46" s="3457"/>
      <c r="Z46" s="1559">
        <f t="shared" si="13"/>
        <v>111</v>
      </c>
      <c r="AA46" s="1560">
        <f t="shared" si="3"/>
        <v>1</v>
      </c>
      <c r="AB46" s="1560">
        <f t="shared" si="4"/>
        <v>1</v>
      </c>
      <c r="AC46" s="1560">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57"/>
      <c r="Q47" s="1556">
        <f t="shared" si="14"/>
        <v>111</v>
      </c>
      <c r="R47" s="1561" t="s">
        <v>8</v>
      </c>
      <c r="S47" s="1562">
        <f t="shared" si="10"/>
        <v>100</v>
      </c>
      <c r="T47" s="1561" t="s">
        <v>8</v>
      </c>
      <c r="U47" s="1562">
        <f t="shared" si="11"/>
        <v>100</v>
      </c>
      <c r="V47" s="1561" t="s">
        <v>8</v>
      </c>
      <c r="W47" s="1562">
        <f t="shared" si="12"/>
        <v>100</v>
      </c>
      <c r="X47" s="1563"/>
      <c r="Y47" s="3457"/>
      <c r="Z47" s="1564">
        <f t="shared" si="13"/>
        <v>111</v>
      </c>
      <c r="AA47" s="1560">
        <f t="shared" si="3"/>
        <v>1</v>
      </c>
      <c r="AB47" s="1560">
        <f t="shared" si="4"/>
        <v>1</v>
      </c>
      <c r="AC47" s="1560">
        <f t="shared" si="5"/>
        <v>1</v>
      </c>
    </row>
    <row r="48" spans="1:29" ht="20.25">
      <c r="A48" s="606" t="s">
        <v>556</v>
      </c>
      <c r="B48" s="607" t="s">
        <v>3159</v>
      </c>
      <c r="C48" s="608" t="s">
        <v>1</v>
      </c>
      <c r="D48" s="609"/>
      <c r="E48" s="610">
        <f>Sheet1!K8</f>
        <v>21842.04</v>
      </c>
      <c r="F48" s="611"/>
      <c r="G48" s="612">
        <f>Sheet1!K14</f>
        <v>22365.13</v>
      </c>
      <c r="H48" s="613"/>
      <c r="I48" s="610">
        <f>Sheet1!K21</f>
        <v>22857.88</v>
      </c>
      <c r="J48" s="613"/>
      <c r="K48" s="1333"/>
      <c r="L48" s="2127"/>
      <c r="M48" s="2115"/>
      <c r="N48" s="2115"/>
      <c r="O48" s="2128"/>
      <c r="P48" s="3420" t="str">
        <f>A48</f>
        <v>成交单价</v>
      </c>
      <c r="Q48" s="3420"/>
      <c r="R48" s="3421">
        <f>E48</f>
        <v>21842.04</v>
      </c>
      <c r="S48" s="3421"/>
      <c r="T48" s="3421">
        <f>G48</f>
        <v>22365.13</v>
      </c>
      <c r="U48" s="3421"/>
      <c r="V48" s="3421">
        <f>I48</f>
        <v>22857.88</v>
      </c>
      <c r="W48" s="3421"/>
      <c r="X48" s="1543"/>
      <c r="Y48" s="1565"/>
      <c r="Z48" s="1543"/>
      <c r="AA48" s="1543"/>
      <c r="AB48" s="1543"/>
      <c r="AC48" s="1543"/>
    </row>
    <row r="49" spans="1:29" ht="21" thickBot="1">
      <c r="A49" s="614" t="s">
        <v>2690</v>
      </c>
      <c r="B49" s="615"/>
      <c r="C49" s="616">
        <f>R50</f>
        <v>22038</v>
      </c>
      <c r="D49" s="617"/>
      <c r="E49" s="616">
        <f>R49</f>
        <v>21379</v>
      </c>
      <c r="F49" s="618"/>
      <c r="G49" s="619">
        <f>T49</f>
        <v>22292</v>
      </c>
      <c r="H49" s="617"/>
      <c r="I49" s="616">
        <f>V49</f>
        <v>22443</v>
      </c>
      <c r="J49" s="617"/>
      <c r="K49" s="1334"/>
      <c r="L49" s="2127"/>
      <c r="M49" s="2115"/>
      <c r="N49" s="2115"/>
      <c r="O49" s="2128"/>
      <c r="P49" s="3420" t="str">
        <f>A49</f>
        <v>比较价格（元/平方米）</v>
      </c>
      <c r="Q49" s="3420"/>
      <c r="R49" s="3422">
        <f>ROUND(PRODUCT(R48,AA9:AA47),0)</f>
        <v>21379</v>
      </c>
      <c r="S49" s="3422"/>
      <c r="T49" s="3422">
        <f>ROUND(PRODUCT(T48,AB9:AB47),0)</f>
        <v>22292</v>
      </c>
      <c r="U49" s="3422"/>
      <c r="V49" s="3422">
        <f>ROUND(PRODUCT(V48,AC9:AC47),0)</f>
        <v>22443</v>
      </c>
      <c r="W49" s="3422"/>
      <c r="X49" s="1543"/>
      <c r="Y49" s="1543"/>
      <c r="Z49" s="1543"/>
      <c r="AA49" s="1543"/>
      <c r="AB49" s="1543"/>
      <c r="AC49" s="1543"/>
    </row>
    <row r="50" spans="1:29" ht="21" thickBot="1">
      <c r="A50" s="620" t="s">
        <v>2933</v>
      </c>
      <c r="B50" s="621"/>
      <c r="C50" s="622">
        <f>R50</f>
        <v>22038</v>
      </c>
      <c r="D50" s="622"/>
      <c r="E50" s="622"/>
      <c r="F50" s="622"/>
      <c r="G50" s="622"/>
      <c r="H50" s="622"/>
      <c r="I50" s="622"/>
      <c r="J50" s="622"/>
      <c r="K50" s="1335"/>
      <c r="L50" s="2127"/>
      <c r="M50" s="2115"/>
      <c r="N50" s="2115"/>
      <c r="O50" s="2128"/>
      <c r="P50" s="3417" t="str">
        <f>A50</f>
        <v>估价对象XX用房的比较价格（楼面单价，元/平方米）</v>
      </c>
      <c r="Q50" s="3418"/>
      <c r="R50" s="3419">
        <f>ROUND(AVERAGE(R49:V49),0)</f>
        <v>22038</v>
      </c>
      <c r="S50" s="3419"/>
      <c r="T50" s="3419"/>
      <c r="U50" s="3419"/>
      <c r="V50" s="3419"/>
      <c r="W50" s="3419"/>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2.1658636980214307E-2</v>
      </c>
      <c r="F53" s="626" t="str">
        <f>IF(OR(E53&gt;=0.3,E53&lt;=-0.3),"超过30%","")</f>
        <v/>
      </c>
      <c r="G53" s="625">
        <f>IF(G48&lt;G49,G49/G48-1,G48/G49-1)</f>
        <v>3.2805490759018063E-3</v>
      </c>
      <c r="H53" s="626" t="str">
        <f>IF(OR(G53&gt;=0.3,G53&lt;=-0.3),"超过30%","")</f>
        <v/>
      </c>
      <c r="I53" s="625">
        <f>IF(I48&lt;I49,I49/I48-1,I48/I49-1)</f>
        <v>1.8485942164594871E-2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4.2705458627625204E-2</v>
      </c>
      <c r="F54" s="626" t="str">
        <f>IF(OR(E54&gt;=0.2,E54&lt;=-0.2),"超过20%","")</f>
        <v/>
      </c>
      <c r="G54" s="625">
        <f>IF(G49&lt;I49,I49/G49-1,G49/I49-1)</f>
        <v>6.7737304862731662E-3</v>
      </c>
      <c r="H54" s="626" t="str">
        <f>IF(OR(G54&gt;=0.2,G54&lt;=-0.2),"超过20%","")</f>
        <v/>
      </c>
      <c r="I54" s="625">
        <f>IF(I49&lt;E49,E49/I49-1,I49/E49-1)</f>
        <v>4.9768464380934629E-2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f>IF(E48&lt;G48,G48/E48-1,E48/G48-1)</f>
        <v>2.3948770352952398E-2</v>
      </c>
      <c r="F55" s="626" t="str">
        <f>IF(OR(E55&gt;=0.3,E55&lt;=-0.3),"超过30%","")</f>
        <v/>
      </c>
      <c r="G55" s="625">
        <f>IF(G48&lt;I48,I48/G48-1,G48/I48-1)</f>
        <v>2.203206509418898E-2</v>
      </c>
      <c r="H55" s="626" t="str">
        <f>IF(OR(G55&gt;=0.3,G55&lt;=-0.3),"超过30%","")</f>
        <v/>
      </c>
      <c r="I55" s="625">
        <f>IF(I48&lt;E48,E48/I48-1,I48/E48-1)</f>
        <v>4.6508476314483405E-2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2291</v>
      </c>
      <c r="E57" s="630" t="s">
        <v>562</v>
      </c>
      <c r="F57" s="631" t="s">
        <v>563</v>
      </c>
      <c r="G57" s="3446" t="s">
        <v>2279</v>
      </c>
      <c r="H57" s="3447"/>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2" t="s">
        <v>564</v>
      </c>
      <c r="B58" s="633">
        <f>C50</f>
        <v>22038</v>
      </c>
      <c r="C58" s="634">
        <v>1</v>
      </c>
      <c r="D58" s="2211">
        <v>1</v>
      </c>
      <c r="E58" s="634">
        <f>'数据-汇总表'!E8+'数据-汇总表'!E9</f>
        <v>67178</v>
      </c>
      <c r="F58" s="635">
        <f t="shared" ref="F58:F67" si="15">ROUND(B58*E58/10000,0)</f>
        <v>148047</v>
      </c>
      <c r="G58" s="3448"/>
      <c r="H58" s="3449"/>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565</v>
      </c>
      <c r="B59" s="637">
        <f>ROUND($C$50*C59*D59,0)</f>
        <v>0</v>
      </c>
      <c r="C59" s="377">
        <f t="shared" ref="C59:C67" si="16">IF($C$57="北京市系数",I59,J59)</f>
        <v>0</v>
      </c>
      <c r="D59" s="2212">
        <v>0.25</v>
      </c>
      <c r="E59" s="638">
        <v>0</v>
      </c>
      <c r="F59" s="635">
        <f t="shared" si="15"/>
        <v>0</v>
      </c>
      <c r="G59" s="3450"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566</v>
      </c>
      <c r="B60" s="637">
        <f t="shared" ref="B60:B67" si="17">ROUND($C$50*C60*D60,0)</f>
        <v>0</v>
      </c>
      <c r="C60" s="377">
        <f t="shared" si="16"/>
        <v>0</v>
      </c>
      <c r="D60" s="2212">
        <v>0.25</v>
      </c>
      <c r="E60" s="638">
        <v>0</v>
      </c>
      <c r="F60" s="635">
        <f t="shared" si="15"/>
        <v>0</v>
      </c>
      <c r="G60" s="3450"/>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567</v>
      </c>
      <c r="B61" s="637">
        <f t="shared" si="17"/>
        <v>0</v>
      </c>
      <c r="C61" s="377">
        <f t="shared" si="16"/>
        <v>0</v>
      </c>
      <c r="D61" s="2212">
        <v>0.25</v>
      </c>
      <c r="E61" s="638">
        <v>0</v>
      </c>
      <c r="F61" s="635">
        <f t="shared" si="15"/>
        <v>0</v>
      </c>
      <c r="G61" s="3450"/>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6" t="s">
        <v>568</v>
      </c>
      <c r="B62" s="637">
        <f t="shared" si="17"/>
        <v>0</v>
      </c>
      <c r="C62" s="377">
        <f t="shared" si="16"/>
        <v>0</v>
      </c>
      <c r="D62" s="2212">
        <v>0.25</v>
      </c>
      <c r="E62" s="638">
        <v>0</v>
      </c>
      <c r="F62" s="635">
        <f t="shared" si="15"/>
        <v>0</v>
      </c>
      <c r="G62" s="3450"/>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2326</v>
      </c>
      <c r="B63" s="637">
        <f t="shared" si="17"/>
        <v>1102</v>
      </c>
      <c r="C63" s="377">
        <f t="shared" si="16"/>
        <v>0.2</v>
      </c>
      <c r="D63" s="2212">
        <v>0.25</v>
      </c>
      <c r="E63" s="640">
        <f>'数据-汇总表'!E11</f>
        <v>0</v>
      </c>
      <c r="F63" s="635">
        <f t="shared" si="15"/>
        <v>0</v>
      </c>
      <c r="G63" s="1928" t="s">
        <v>2281</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6" t="s">
        <v>569</v>
      </c>
      <c r="B64" s="637">
        <f t="shared" si="17"/>
        <v>1102</v>
      </c>
      <c r="C64" s="377">
        <f t="shared" si="16"/>
        <v>0.2</v>
      </c>
      <c r="D64" s="2212">
        <v>0.25</v>
      </c>
      <c r="E64" s="640">
        <f>'数据-汇总表'!E12</f>
        <v>7806</v>
      </c>
      <c r="F64" s="3553">
        <f t="shared" si="15"/>
        <v>860</v>
      </c>
      <c r="G64" s="1929" t="s">
        <v>923</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6" t="s">
        <v>570</v>
      </c>
      <c r="B65" s="637">
        <f t="shared" si="17"/>
        <v>826</v>
      </c>
      <c r="C65" s="377">
        <f t="shared" si="16"/>
        <v>0.15</v>
      </c>
      <c r="D65" s="2212">
        <v>0.25</v>
      </c>
      <c r="E65" s="640">
        <f>'数据-汇总表'!E13</f>
        <v>16471</v>
      </c>
      <c r="F65" s="635">
        <f t="shared" si="15"/>
        <v>1361</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6" t="s">
        <v>571</v>
      </c>
      <c r="B66" s="637">
        <f t="shared" si="17"/>
        <v>0</v>
      </c>
      <c r="C66" s="377">
        <f t="shared" si="16"/>
        <v>0</v>
      </c>
      <c r="D66" s="2212">
        <v>0.25</v>
      </c>
      <c r="E66" s="640">
        <f>'数据-汇总表'!E14</f>
        <v>0</v>
      </c>
      <c r="F66" s="635">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6" t="s">
        <v>572</v>
      </c>
      <c r="B67" s="637">
        <f t="shared" si="17"/>
        <v>826</v>
      </c>
      <c r="C67" s="377">
        <f t="shared" si="16"/>
        <v>0.15</v>
      </c>
      <c r="D67" s="2212">
        <v>0.25</v>
      </c>
      <c r="E67" s="640">
        <f>'数据-汇总表'!E15</f>
        <v>0</v>
      </c>
      <c r="F67" s="635">
        <f t="shared" si="15"/>
        <v>0</v>
      </c>
      <c r="G67" s="1930" t="s">
        <v>2281</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1" t="s">
        <v>573</v>
      </c>
      <c r="B68" s="642" t="s">
        <v>17</v>
      </c>
      <c r="C68" s="642" t="s">
        <v>18</v>
      </c>
      <c r="D68" s="642" t="s">
        <v>2292</v>
      </c>
      <c r="E68" s="642">
        <f>IF(B48="楼面地价",SUM(E58:E67),'数据-汇总表'!D3)</f>
        <v>91455</v>
      </c>
      <c r="F68" s="643">
        <f>IF(B48="楼面地价",SUM(F58:F67),ROUND(C50*E68/10000,0))</f>
        <v>150268</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2020-3-1</v>
      </c>
      <c r="D70" s="2752">
        <f>EDATE(C70,-3)</f>
        <v>43800</v>
      </c>
      <c r="E70" s="2752">
        <f t="shared" ref="E70:N70" si="18">EDATE(D70,-3)</f>
        <v>43709</v>
      </c>
      <c r="F70" s="2752">
        <f t="shared" si="18"/>
        <v>43617</v>
      </c>
      <c r="G70" s="2752">
        <f t="shared" si="18"/>
        <v>43525</v>
      </c>
      <c r="H70" s="2752">
        <f t="shared" si="18"/>
        <v>43435</v>
      </c>
      <c r="I70" s="2752">
        <f t="shared" si="18"/>
        <v>43344</v>
      </c>
      <c r="J70" s="2752">
        <f t="shared" si="18"/>
        <v>43252</v>
      </c>
      <c r="K70" s="2752">
        <f t="shared" si="18"/>
        <v>43160</v>
      </c>
      <c r="L70" s="2752">
        <f t="shared" si="18"/>
        <v>43070</v>
      </c>
      <c r="M70" s="2752">
        <f t="shared" si="18"/>
        <v>42979</v>
      </c>
      <c r="N70" s="2752">
        <f t="shared" si="18"/>
        <v>42887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2530</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2644</v>
      </c>
      <c r="B73" s="478" t="str">
        <f>"北京市平均增长率"&amp;TEXT(SUMIF(基准地价!N21:N25,A73,基准地价!P21:P25),"0.00%")</f>
        <v>北京市平均增长率1.92%</v>
      </c>
      <c r="C73" s="891">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27">
      <c r="A77" s="663" t="s">
        <v>577</v>
      </c>
      <c r="B77" s="664" t="s">
        <v>534</v>
      </c>
      <c r="C77" s="3183" t="s">
        <v>3186</v>
      </c>
      <c r="D77" s="3183" t="s">
        <v>3188</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v>105</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95</v>
      </c>
      <c r="E91" s="678">
        <f>D91-$K17</f>
        <v>90</v>
      </c>
      <c r="F91" s="678">
        <f>E91-$K17</f>
        <v>85</v>
      </c>
      <c r="G91" s="678">
        <f>F91-$K17</f>
        <v>80</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8"/>
      <c r="B99" s="677"/>
      <c r="C99" s="711">
        <v>100</v>
      </c>
      <c r="D99" s="678">
        <f>C99-$K25</f>
        <v>100</v>
      </c>
      <c r="E99" s="678">
        <f>D99-$K25</f>
        <v>100</v>
      </c>
      <c r="F99" s="678">
        <f>E99-$K25</f>
        <v>100</v>
      </c>
      <c r="G99" s="678">
        <f>F99-$K25</f>
        <v>100</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6"/>
      <c r="B102" s="1879" t="s">
        <v>2546</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6"/>
      <c r="B104" s="2559" t="s">
        <v>2548</v>
      </c>
      <c r="C104" s="2560" t="s">
        <v>2549</v>
      </c>
      <c r="D104" s="2560" t="s">
        <v>2550</v>
      </c>
      <c r="E104" s="2560" t="s">
        <v>2551</v>
      </c>
      <c r="F104" s="2560" t="s">
        <v>2552</v>
      </c>
      <c r="G104" s="2560" t="s">
        <v>2553</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40" t="str">
        <f t="shared" si="26"/>
        <v>(含)-</v>
      </c>
      <c r="K118" s="3040" t="str">
        <f t="shared" si="26"/>
        <v>(含)-</v>
      </c>
      <c r="L118" s="3041" t="str">
        <f t="shared" si="26"/>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f>C119+20000</f>
        <v>20000</v>
      </c>
      <c r="E119" s="729">
        <f t="shared" ref="E119:H119" si="27">D119+20000</f>
        <v>40000</v>
      </c>
      <c r="F119" s="729">
        <f t="shared" si="27"/>
        <v>60000</v>
      </c>
      <c r="G119" s="729">
        <f t="shared" si="27"/>
        <v>80000</v>
      </c>
      <c r="H119" s="729">
        <f t="shared" si="27"/>
        <v>100000</v>
      </c>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102</v>
      </c>
      <c r="E120" s="725">
        <v>104</v>
      </c>
      <c r="F120" s="725">
        <v>102</v>
      </c>
      <c r="G120" s="725">
        <v>100</v>
      </c>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717"/>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8">C122-$K41</f>
        <v>100</v>
      </c>
      <c r="E122" s="678">
        <f t="shared" si="28"/>
        <v>100</v>
      </c>
      <c r="F122" s="678">
        <f t="shared" si="28"/>
        <v>100</v>
      </c>
      <c r="G122" s="678">
        <f t="shared" si="28"/>
        <v>100</v>
      </c>
      <c r="H122" s="678">
        <f t="shared" si="28"/>
        <v>100</v>
      </c>
      <c r="I122" s="678">
        <f t="shared" si="28"/>
        <v>100</v>
      </c>
      <c r="J122" s="678">
        <f t="shared" si="28"/>
        <v>100</v>
      </c>
      <c r="K122" s="678">
        <f t="shared" si="28"/>
        <v>100</v>
      </c>
      <c r="L122" s="678">
        <f t="shared" si="28"/>
        <v>100</v>
      </c>
      <c r="M122" s="679">
        <f t="shared" si="28"/>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7"/>
      <c r="B125" s="1879" t="s">
        <v>2423</v>
      </c>
      <c r="C125" s="1369"/>
      <c r="D125" s="1369"/>
      <c r="E125" s="1369"/>
      <c r="F125" s="1369"/>
      <c r="G125" s="1369"/>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6"/>
      <c r="B126" s="677"/>
      <c r="C126" s="678">
        <v>100</v>
      </c>
      <c r="D126" s="678">
        <f>C126-$K43</f>
        <v>100</v>
      </c>
      <c r="E126" s="678">
        <f t="shared" ref="E126:M126" si="30">D126-$K43</f>
        <v>100</v>
      </c>
      <c r="F126" s="678">
        <f t="shared" si="30"/>
        <v>100</v>
      </c>
      <c r="G126" s="678">
        <f t="shared" si="30"/>
        <v>100</v>
      </c>
      <c r="H126" s="678">
        <f t="shared" si="30"/>
        <v>100</v>
      </c>
      <c r="I126" s="678">
        <f t="shared" si="30"/>
        <v>100</v>
      </c>
      <c r="J126" s="678">
        <f t="shared" si="30"/>
        <v>100</v>
      </c>
      <c r="K126" s="678">
        <f t="shared" si="30"/>
        <v>100</v>
      </c>
      <c r="L126" s="678">
        <f t="shared" si="30"/>
        <v>100</v>
      </c>
      <c r="M126" s="679">
        <f t="shared" si="30"/>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687"/>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1">C128-$K44</f>
        <v>100</v>
      </c>
      <c r="E128" s="678">
        <f t="shared" si="31"/>
        <v>100</v>
      </c>
      <c r="F128" s="678">
        <f t="shared" si="31"/>
        <v>100</v>
      </c>
      <c r="G128" s="678">
        <f t="shared" si="31"/>
        <v>100</v>
      </c>
      <c r="H128" s="678">
        <f t="shared" si="31"/>
        <v>100</v>
      </c>
      <c r="I128" s="678">
        <f t="shared" si="31"/>
        <v>100</v>
      </c>
      <c r="J128" s="678">
        <f t="shared" si="31"/>
        <v>100</v>
      </c>
      <c r="K128" s="678">
        <f t="shared" si="31"/>
        <v>100</v>
      </c>
      <c r="L128" s="678">
        <f t="shared" si="31"/>
        <v>100</v>
      </c>
      <c r="M128" s="679">
        <f t="shared" si="31"/>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426" t="s">
        <v>522</v>
      </c>
      <c r="D6" s="3427"/>
      <c r="E6" s="3460" t="s">
        <v>523</v>
      </c>
      <c r="F6" s="3461"/>
      <c r="G6" s="3426" t="s">
        <v>524</v>
      </c>
      <c r="H6" s="3427"/>
      <c r="I6" s="3426" t="s">
        <v>525</v>
      </c>
      <c r="J6" s="3427"/>
      <c r="K6" s="513" t="s">
        <v>526</v>
      </c>
      <c r="L6" s="2116"/>
      <c r="M6" s="2117"/>
      <c r="N6" s="2117"/>
      <c r="O6" s="2117"/>
      <c r="P6" s="3428" t="s">
        <v>527</v>
      </c>
      <c r="Q6" s="3429"/>
      <c r="R6" s="3434" t="s">
        <v>523</v>
      </c>
      <c r="S6" s="3435"/>
      <c r="T6" s="3434" t="s">
        <v>524</v>
      </c>
      <c r="U6" s="3435"/>
      <c r="V6" s="3421" t="s">
        <v>525</v>
      </c>
      <c r="W6" s="3421"/>
      <c r="X6" s="1551"/>
      <c r="Y6" s="3434" t="s">
        <v>527</v>
      </c>
      <c r="Z6" s="3435"/>
      <c r="AA6" s="3423" t="s">
        <v>523</v>
      </c>
      <c r="AB6" s="3424" t="s">
        <v>524</v>
      </c>
      <c r="AC6" s="3423" t="s">
        <v>525</v>
      </c>
    </row>
    <row r="7" spans="1:29" ht="15">
      <c r="A7" s="514"/>
      <c r="B7" s="515"/>
      <c r="C7" s="3442" t="s">
        <v>2927</v>
      </c>
      <c r="D7" s="3443"/>
      <c r="E7" s="3462" t="s">
        <v>2928</v>
      </c>
      <c r="F7" s="3463"/>
      <c r="G7" s="3442" t="s">
        <v>2929</v>
      </c>
      <c r="H7" s="3443"/>
      <c r="I7" s="3442" t="s">
        <v>2930</v>
      </c>
      <c r="J7" s="3443"/>
      <c r="K7" s="513"/>
      <c r="L7" s="2116"/>
      <c r="M7" s="2117"/>
      <c r="N7" s="2117"/>
      <c r="O7" s="2117"/>
      <c r="P7" s="3430"/>
      <c r="Q7" s="3431"/>
      <c r="R7" s="3436"/>
      <c r="S7" s="3437"/>
      <c r="T7" s="3436"/>
      <c r="U7" s="3437"/>
      <c r="V7" s="3421"/>
      <c r="W7" s="3421"/>
      <c r="X7" s="1551"/>
      <c r="Y7" s="3436"/>
      <c r="Z7" s="3437"/>
      <c r="AA7" s="3424"/>
      <c r="AB7" s="3424"/>
      <c r="AC7" s="3424"/>
    </row>
    <row r="8" spans="1:29" ht="15.75" thickBot="1">
      <c r="A8" s="516"/>
      <c r="B8" s="517"/>
      <c r="C8" s="3440" t="s">
        <v>2931</v>
      </c>
      <c r="D8" s="3441"/>
      <c r="E8" s="3458" t="s">
        <v>2931</v>
      </c>
      <c r="F8" s="3459"/>
      <c r="G8" s="3440" t="s">
        <v>2931</v>
      </c>
      <c r="H8" s="3441"/>
      <c r="I8" s="3440" t="s">
        <v>2931</v>
      </c>
      <c r="J8" s="3441"/>
      <c r="K8" s="513" t="s">
        <v>528</v>
      </c>
      <c r="L8" s="2116"/>
      <c r="M8" s="2117"/>
      <c r="N8" s="2117"/>
      <c r="O8" s="2117"/>
      <c r="P8" s="3432"/>
      <c r="Q8" s="3433"/>
      <c r="R8" s="3436"/>
      <c r="S8" s="3437"/>
      <c r="T8" s="3438"/>
      <c r="U8" s="3439"/>
      <c r="V8" s="3421"/>
      <c r="W8" s="3421"/>
      <c r="X8" s="1551"/>
      <c r="Y8" s="3438"/>
      <c r="Z8" s="3439"/>
      <c r="AA8" s="3425"/>
      <c r="AB8" s="3425"/>
      <c r="AC8" s="3425"/>
    </row>
    <row r="9" spans="1:29" s="1213" customFormat="1" ht="15.75" thickBot="1">
      <c r="A9" s="2864"/>
      <c r="B9" s="2871" t="s">
        <v>529</v>
      </c>
      <c r="C9" s="518">
        <f>'数据-取费表'!B2</f>
        <v>43920</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51" t="s">
        <v>530</v>
      </c>
      <c r="Q9" s="3453"/>
      <c r="R9" s="1552" t="s">
        <v>8</v>
      </c>
      <c r="S9" s="1553">
        <f t="shared" ref="S9:S17" si="0">F9</f>
        <v>0</v>
      </c>
      <c r="T9" s="1552" t="s">
        <v>8</v>
      </c>
      <c r="U9" s="1553">
        <f t="shared" ref="U9:U17" si="1">H9</f>
        <v>0</v>
      </c>
      <c r="V9" s="1552" t="s">
        <v>8</v>
      </c>
      <c r="W9" s="1553">
        <f t="shared" ref="W9:W17" si="2">J9</f>
        <v>0</v>
      </c>
      <c r="X9" s="1554"/>
      <c r="Y9" s="3451" t="s">
        <v>530</v>
      </c>
      <c r="Z9" s="3452"/>
      <c r="AA9" s="1555" t="e">
        <f>D9/F9</f>
        <v>#DIV/0!</v>
      </c>
      <c r="AB9" s="1555" t="e">
        <f>D9/H9</f>
        <v>#DIV/0!</v>
      </c>
      <c r="AC9" s="1555" t="e">
        <f>D9/J9</f>
        <v>#DIV/0!</v>
      </c>
    </row>
    <row r="10" spans="1:29" s="1213"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51" t="s">
        <v>533</v>
      </c>
      <c r="Q10" s="3452"/>
      <c r="R10" s="1552" t="s">
        <v>8</v>
      </c>
      <c r="S10" s="1553">
        <f t="shared" si="0"/>
        <v>0</v>
      </c>
      <c r="T10" s="1552" t="s">
        <v>8</v>
      </c>
      <c r="U10" s="1553">
        <f t="shared" si="1"/>
        <v>0</v>
      </c>
      <c r="V10" s="1552" t="s">
        <v>8</v>
      </c>
      <c r="W10" s="1553">
        <f t="shared" si="2"/>
        <v>0</v>
      </c>
      <c r="X10" s="1554"/>
      <c r="Y10" s="3451" t="s">
        <v>533</v>
      </c>
      <c r="Z10" s="3452"/>
      <c r="AA10" s="1555" t="e">
        <f t="shared" ref="AA10:AA42" si="3">D10/F10</f>
        <v>#DIV/0!</v>
      </c>
      <c r="AB10" s="1555" t="e">
        <f t="shared" ref="AB10:AB42" si="4">D10/H10</f>
        <v>#DIV/0!</v>
      </c>
      <c r="AC10" s="1555" t="e">
        <f t="shared" ref="AC10:AC42" si="5">D10/J10</f>
        <v>#DIV/0!</v>
      </c>
    </row>
    <row r="11" spans="1:29" s="1213" customFormat="1" ht="15">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20" t="s">
        <v>535</v>
      </c>
      <c r="Q11" s="1144" t="str">
        <f t="shared" ref="Q11:Q17" si="6">B11</f>
        <v>用途</v>
      </c>
      <c r="R11" s="1552" t="s">
        <v>8</v>
      </c>
      <c r="S11" s="1553">
        <f t="shared" si="0"/>
        <v>100</v>
      </c>
      <c r="T11" s="1552" t="s">
        <v>8</v>
      </c>
      <c r="U11" s="1553">
        <f t="shared" si="1"/>
        <v>100</v>
      </c>
      <c r="V11" s="1552" t="s">
        <v>8</v>
      </c>
      <c r="W11" s="1553">
        <f t="shared" si="2"/>
        <v>100</v>
      </c>
      <c r="X11" s="1554"/>
      <c r="Y11" s="3366" t="s">
        <v>536</v>
      </c>
      <c r="Z11" s="1143" t="str">
        <f t="shared" ref="Z11:Z17" si="7">Q11</f>
        <v>用途</v>
      </c>
      <c r="AA11" s="1555">
        <f t="shared" si="3"/>
        <v>1</v>
      </c>
      <c r="AB11" s="1555">
        <f t="shared" si="4"/>
        <v>1</v>
      </c>
      <c r="AC11" s="1555">
        <f t="shared" si="5"/>
        <v>1</v>
      </c>
    </row>
    <row r="12" spans="1:29" s="1331" customFormat="1" ht="27">
      <c r="A12" s="2867"/>
      <c r="B12" s="2872"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20"/>
      <c r="Q12" s="1144" t="str">
        <f t="shared" si="6"/>
        <v>土地使用年限（年）</v>
      </c>
      <c r="R12" s="1552" t="s">
        <v>8</v>
      </c>
      <c r="S12" s="1553">
        <f t="shared" si="0"/>
        <v>100</v>
      </c>
      <c r="T12" s="1552" t="s">
        <v>8</v>
      </c>
      <c r="U12" s="1553">
        <f t="shared" si="1"/>
        <v>100</v>
      </c>
      <c r="V12" s="1552" t="s">
        <v>8</v>
      </c>
      <c r="W12" s="1553">
        <f t="shared" si="2"/>
        <v>100</v>
      </c>
      <c r="X12" s="1554"/>
      <c r="Y12" s="3366"/>
      <c r="Z12" s="1143" t="str">
        <f t="shared" si="7"/>
        <v>土地使用年限（年）</v>
      </c>
      <c r="AA12" s="1555">
        <f t="shared" si="3"/>
        <v>1</v>
      </c>
      <c r="AB12" s="1555">
        <f t="shared" si="4"/>
        <v>1</v>
      </c>
      <c r="AC12" s="1555">
        <f t="shared" si="5"/>
        <v>1</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20"/>
      <c r="Q13" s="1144" t="str">
        <f t="shared" si="6"/>
        <v>容积率</v>
      </c>
      <c r="R13" s="1552" t="s">
        <v>8</v>
      </c>
      <c r="S13" s="1553" t="e">
        <f t="shared" si="0"/>
        <v>#N/A</v>
      </c>
      <c r="T13" s="1552" t="s">
        <v>8</v>
      </c>
      <c r="U13" s="1553" t="e">
        <f t="shared" si="1"/>
        <v>#N/A</v>
      </c>
      <c r="V13" s="1552" t="s">
        <v>8</v>
      </c>
      <c r="W13" s="1553" t="e">
        <f t="shared" si="2"/>
        <v>#N/A</v>
      </c>
      <c r="X13" s="1554"/>
      <c r="Y13" s="3366"/>
      <c r="Z13" s="1143" t="str">
        <f t="shared" si="7"/>
        <v>容积率</v>
      </c>
      <c r="AA13" s="1555" t="e">
        <f t="shared" si="3"/>
        <v>#N/A</v>
      </c>
      <c r="AB13" s="1555" t="e">
        <f t="shared" si="4"/>
        <v>#N/A</v>
      </c>
      <c r="AC13" s="1555" t="e">
        <f t="shared" si="5"/>
        <v>#N/A</v>
      </c>
    </row>
    <row r="14" spans="1:29" s="1213"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20"/>
      <c r="Q14" s="1144">
        <f t="shared" si="6"/>
        <v>111</v>
      </c>
      <c r="R14" s="1552" t="s">
        <v>8</v>
      </c>
      <c r="S14" s="1553">
        <f t="shared" si="0"/>
        <v>100</v>
      </c>
      <c r="T14" s="1552" t="s">
        <v>8</v>
      </c>
      <c r="U14" s="1553">
        <f t="shared" si="1"/>
        <v>100</v>
      </c>
      <c r="V14" s="1552" t="s">
        <v>8</v>
      </c>
      <c r="W14" s="1553">
        <f t="shared" si="2"/>
        <v>100</v>
      </c>
      <c r="X14" s="1554"/>
      <c r="Y14" s="3366"/>
      <c r="Z14" s="1143">
        <f t="shared" si="7"/>
        <v>111</v>
      </c>
      <c r="AA14" s="1555">
        <f>D14/F14</f>
        <v>1</v>
      </c>
      <c r="AB14" s="1555">
        <f>D14/H14</f>
        <v>1</v>
      </c>
      <c r="AC14" s="1555">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20"/>
      <c r="Q15" s="1144">
        <f t="shared" si="6"/>
        <v>111</v>
      </c>
      <c r="R15" s="1552" t="s">
        <v>8</v>
      </c>
      <c r="S15" s="1553">
        <f t="shared" si="0"/>
        <v>100</v>
      </c>
      <c r="T15" s="1552" t="s">
        <v>8</v>
      </c>
      <c r="U15" s="1553">
        <f t="shared" si="1"/>
        <v>100</v>
      </c>
      <c r="V15" s="1552" t="s">
        <v>8</v>
      </c>
      <c r="W15" s="1553">
        <f t="shared" si="2"/>
        <v>100</v>
      </c>
      <c r="X15" s="1554"/>
      <c r="Y15" s="3366"/>
      <c r="Z15" s="1143">
        <f t="shared" si="7"/>
        <v>111</v>
      </c>
      <c r="AA15" s="1555">
        <f t="shared" si="3"/>
        <v>1</v>
      </c>
      <c r="AB15" s="1555">
        <f t="shared" si="4"/>
        <v>1</v>
      </c>
      <c r="AC15" s="1555">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20"/>
      <c r="Q16" s="1144">
        <f t="shared" si="6"/>
        <v>111</v>
      </c>
      <c r="R16" s="1552" t="s">
        <v>8</v>
      </c>
      <c r="S16" s="1553">
        <f t="shared" si="0"/>
        <v>100</v>
      </c>
      <c r="T16" s="1552" t="s">
        <v>8</v>
      </c>
      <c r="U16" s="1553">
        <f t="shared" si="1"/>
        <v>100</v>
      </c>
      <c r="V16" s="1552" t="s">
        <v>8</v>
      </c>
      <c r="W16" s="1553">
        <f t="shared" si="2"/>
        <v>100</v>
      </c>
      <c r="X16" s="1554"/>
      <c r="Y16" s="3366"/>
      <c r="Z16" s="1143">
        <f t="shared" si="7"/>
        <v>111</v>
      </c>
      <c r="AA16" s="1555">
        <f t="shared" si="3"/>
        <v>1</v>
      </c>
      <c r="AB16" s="1555">
        <f t="shared" si="4"/>
        <v>1</v>
      </c>
      <c r="AC16" s="1555">
        <f t="shared" si="5"/>
        <v>1</v>
      </c>
    </row>
    <row r="17" spans="1:29" ht="57">
      <c r="A17" s="2862" t="s">
        <v>2751</v>
      </c>
      <c r="B17" s="166" t="s">
        <v>598</v>
      </c>
      <c r="C17" s="918"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54" t="s">
        <v>540</v>
      </c>
      <c r="Q17" s="1556" t="str">
        <f t="shared" si="6"/>
        <v>产业集聚程度</v>
      </c>
      <c r="R17" s="1557" t="s">
        <v>8</v>
      </c>
      <c r="S17" s="1558">
        <f t="shared" si="0"/>
        <v>100</v>
      </c>
      <c r="T17" s="1557" t="s">
        <v>8</v>
      </c>
      <c r="U17" s="1558">
        <f t="shared" si="1"/>
        <v>100</v>
      </c>
      <c r="V17" s="1557" t="s">
        <v>8</v>
      </c>
      <c r="W17" s="1558">
        <f t="shared" si="2"/>
        <v>100</v>
      </c>
      <c r="X17" s="1551"/>
      <c r="Y17" s="3454"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55"/>
      <c r="Q18" s="1556"/>
      <c r="R18" s="1557"/>
      <c r="S18" s="1558"/>
      <c r="T18" s="1557"/>
      <c r="U18" s="1558"/>
      <c r="V18" s="1557"/>
      <c r="W18" s="1558"/>
      <c r="X18" s="1551"/>
      <c r="Y18" s="3455"/>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55"/>
      <c r="Q19" s="1556" t="str">
        <f>B19</f>
        <v>交通便捷度</v>
      </c>
      <c r="R19" s="1557" t="s">
        <v>8</v>
      </c>
      <c r="S19" s="1558">
        <f>F19</f>
        <v>100</v>
      </c>
      <c r="T19" s="1557" t="s">
        <v>8</v>
      </c>
      <c r="U19" s="1558">
        <f>H19</f>
        <v>100</v>
      </c>
      <c r="V19" s="1557" t="s">
        <v>8</v>
      </c>
      <c r="W19" s="1558">
        <f>J19</f>
        <v>100</v>
      </c>
      <c r="X19" s="1551"/>
      <c r="Y19" s="3455"/>
      <c r="Z19" s="1559" t="str">
        <f>Q19</f>
        <v>交通便捷度</v>
      </c>
      <c r="AA19" s="1560">
        <f t="shared" si="3"/>
        <v>1</v>
      </c>
      <c r="AB19" s="1560">
        <f t="shared" si="4"/>
        <v>1</v>
      </c>
      <c r="AC19" s="1560">
        <f t="shared" si="5"/>
        <v>1</v>
      </c>
    </row>
    <row r="20" spans="1:29" ht="15">
      <c r="A20" s="531"/>
      <c r="B20" s="919"/>
      <c r="C20" s="575"/>
      <c r="D20" s="554"/>
      <c r="E20" s="555"/>
      <c r="F20" s="554"/>
      <c r="G20" s="555"/>
      <c r="H20" s="554"/>
      <c r="I20" s="557"/>
      <c r="J20" s="554"/>
      <c r="K20" s="530"/>
      <c r="L20" s="2125"/>
      <c r="M20" s="2117"/>
      <c r="N20" s="2117"/>
      <c r="O20" s="2124"/>
      <c r="P20" s="3455"/>
      <c r="Q20" s="1556"/>
      <c r="R20" s="1557"/>
      <c r="S20" s="1558"/>
      <c r="T20" s="1557"/>
      <c r="U20" s="1558"/>
      <c r="V20" s="1557"/>
      <c r="W20" s="1558"/>
      <c r="X20" s="1551"/>
      <c r="Y20" s="3455"/>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455"/>
      <c r="Q21" s="1556" t="str">
        <f t="shared" ref="Q21:Q35" si="8">B21</f>
        <v>区域土地利用方向</v>
      </c>
      <c r="R21" s="1557" t="s">
        <v>8</v>
      </c>
      <c r="S21" s="1558">
        <f>F21</f>
        <v>100</v>
      </c>
      <c r="T21" s="1557" t="s">
        <v>8</v>
      </c>
      <c r="U21" s="1558">
        <f>H21</f>
        <v>100</v>
      </c>
      <c r="V21" s="1557" t="s">
        <v>8</v>
      </c>
      <c r="W21" s="1558">
        <f>J21</f>
        <v>100</v>
      </c>
      <c r="X21" s="1551"/>
      <c r="Y21" s="3455"/>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455"/>
      <c r="Q22" s="1556"/>
      <c r="R22" s="1557"/>
      <c r="S22" s="1558"/>
      <c r="T22" s="1557"/>
      <c r="U22" s="1558"/>
      <c r="V22" s="1557"/>
      <c r="W22" s="1558"/>
      <c r="X22" s="1551"/>
      <c r="Y22" s="3455"/>
      <c r="Z22" s="1559"/>
      <c r="AA22" s="1560"/>
      <c r="AB22" s="1560"/>
      <c r="AC22" s="1560"/>
    </row>
    <row r="23" spans="1:29" ht="71.25">
      <c r="A23" s="514"/>
      <c r="B23" s="919"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55"/>
      <c r="Q23" s="1556" t="str">
        <f t="shared" si="8"/>
        <v>环境状况</v>
      </c>
      <c r="R23" s="1557" t="s">
        <v>8</v>
      </c>
      <c r="S23" s="1558">
        <f>F23</f>
        <v>100</v>
      </c>
      <c r="T23" s="1557" t="s">
        <v>8</v>
      </c>
      <c r="U23" s="1558">
        <f>H23</f>
        <v>100</v>
      </c>
      <c r="V23" s="1557" t="s">
        <v>8</v>
      </c>
      <c r="W23" s="1558">
        <f>J23</f>
        <v>100</v>
      </c>
      <c r="X23" s="1551"/>
      <c r="Y23" s="3455"/>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55"/>
      <c r="Q24" s="1556"/>
      <c r="R24" s="1557"/>
      <c r="S24" s="1558"/>
      <c r="T24" s="1557"/>
      <c r="U24" s="1558"/>
      <c r="V24" s="1557"/>
      <c r="W24" s="1558"/>
      <c r="X24" s="1551"/>
      <c r="Y24" s="3455"/>
      <c r="Z24" s="1559"/>
      <c r="AA24" s="1560">
        <v>1</v>
      </c>
      <c r="AB24" s="1560">
        <v>1</v>
      </c>
      <c r="AC24" s="1560">
        <v>1</v>
      </c>
    </row>
    <row r="25" spans="1:29" s="1213" customFormat="1" ht="42.75">
      <c r="A25" s="576"/>
      <c r="B25" s="2555"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55"/>
      <c r="Q25" s="1144" t="str">
        <f t="shared" si="8"/>
        <v>公共配套设施</v>
      </c>
      <c r="R25" s="1552" t="s">
        <v>8</v>
      </c>
      <c r="S25" s="1553">
        <f>F25</f>
        <v>100</v>
      </c>
      <c r="T25" s="1552" t="s">
        <v>8</v>
      </c>
      <c r="U25" s="1553">
        <f>H25</f>
        <v>100</v>
      </c>
      <c r="V25" s="1552" t="s">
        <v>8</v>
      </c>
      <c r="W25" s="1553">
        <f>J25</f>
        <v>100</v>
      </c>
      <c r="X25" s="1554"/>
      <c r="Y25" s="3455"/>
      <c r="Z25" s="1143" t="str">
        <f>Q25</f>
        <v>公共配套设施</v>
      </c>
      <c r="AA25" s="1560">
        <f>D25/F25</f>
        <v>1</v>
      </c>
      <c r="AB25" s="1560">
        <f>D25/H25</f>
        <v>1</v>
      </c>
      <c r="AC25" s="1560">
        <f>D25/J25</f>
        <v>1</v>
      </c>
    </row>
    <row r="26" spans="1:29" s="1213" customFormat="1" ht="15">
      <c r="A26" s="576"/>
      <c r="B26" s="594"/>
      <c r="C26" s="2554"/>
      <c r="D26" s="554"/>
      <c r="E26" s="553"/>
      <c r="F26" s="554"/>
      <c r="G26" s="553"/>
      <c r="H26" s="554"/>
      <c r="I26" s="575"/>
      <c r="J26" s="554"/>
      <c r="K26" s="530"/>
      <c r="L26" s="2118"/>
      <c r="M26" s="2119"/>
      <c r="N26" s="2119"/>
      <c r="O26" s="2120"/>
      <c r="P26" s="3455"/>
      <c r="Q26" s="1144"/>
      <c r="R26" s="1552"/>
      <c r="S26" s="1553"/>
      <c r="T26" s="1552"/>
      <c r="U26" s="1553"/>
      <c r="V26" s="1552"/>
      <c r="W26" s="1553"/>
      <c r="X26" s="1554"/>
      <c r="Y26" s="3455"/>
      <c r="Z26" s="1143"/>
      <c r="AA26" s="1555">
        <v>1</v>
      </c>
      <c r="AB26" s="1555">
        <v>1</v>
      </c>
      <c r="AC26" s="1555">
        <v>1</v>
      </c>
    </row>
    <row r="27" spans="1:29" s="1213" customFormat="1" ht="28.5">
      <c r="A27" s="576"/>
      <c r="B27" s="2555"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55"/>
      <c r="Q27" s="2540" t="str">
        <f t="shared" ref="Q27" si="9">B27</f>
        <v>基础设施水平</v>
      </c>
      <c r="R27" s="1552" t="s">
        <v>8</v>
      </c>
      <c r="S27" s="1553">
        <f>F27</f>
        <v>100</v>
      </c>
      <c r="T27" s="1552" t="s">
        <v>8</v>
      </c>
      <c r="U27" s="1553">
        <f>H27</f>
        <v>100</v>
      </c>
      <c r="V27" s="1552" t="s">
        <v>8</v>
      </c>
      <c r="W27" s="1553">
        <f>J27</f>
        <v>100</v>
      </c>
      <c r="X27" s="1554"/>
      <c r="Y27" s="3455"/>
      <c r="Z27" s="2537" t="str">
        <f>Q27</f>
        <v>基础设施水平</v>
      </c>
      <c r="AA27" s="1560">
        <f>D27/F27</f>
        <v>1</v>
      </c>
      <c r="AB27" s="1560">
        <f>D27/H27</f>
        <v>1</v>
      </c>
      <c r="AC27" s="1560">
        <f>D27/J27</f>
        <v>1</v>
      </c>
    </row>
    <row r="28" spans="1:29" s="1213" customFormat="1" ht="15">
      <c r="A28" s="576"/>
      <c r="B28" s="594"/>
      <c r="C28" s="2554"/>
      <c r="D28" s="554"/>
      <c r="E28" s="578"/>
      <c r="F28" s="554"/>
      <c r="G28" s="578"/>
      <c r="H28" s="554"/>
      <c r="I28" s="578"/>
      <c r="J28" s="554"/>
      <c r="K28" s="530"/>
      <c r="L28" s="2118"/>
      <c r="M28" s="2119"/>
      <c r="N28" s="2119"/>
      <c r="O28" s="2120"/>
      <c r="P28" s="3455"/>
      <c r="Q28" s="2540"/>
      <c r="R28" s="1552"/>
      <c r="S28" s="1553"/>
      <c r="T28" s="1552"/>
      <c r="U28" s="1553"/>
      <c r="V28" s="1552"/>
      <c r="W28" s="1553"/>
      <c r="X28" s="1554"/>
      <c r="Y28" s="3455"/>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55"/>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55"/>
      <c r="Z29" s="1559" t="str">
        <f t="shared" ref="Z29:Z42" si="13">Q29</f>
        <v>临街状况</v>
      </c>
      <c r="AA29" s="1560">
        <f t="shared" si="3"/>
        <v>1</v>
      </c>
      <c r="AB29" s="1560">
        <f t="shared" si="4"/>
        <v>1</v>
      </c>
      <c r="AC29" s="1560">
        <f t="shared" si="5"/>
        <v>1</v>
      </c>
    </row>
    <row r="30" spans="1:29" ht="27">
      <c r="A30" s="531"/>
      <c r="B30" s="919"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55"/>
      <c r="Q30" s="1556" t="str">
        <f t="shared" si="8"/>
        <v>毗邻道路的类型与等级</v>
      </c>
      <c r="R30" s="1557" t="s">
        <v>8</v>
      </c>
      <c r="S30" s="1558">
        <f t="shared" si="10"/>
        <v>100</v>
      </c>
      <c r="T30" s="1557" t="s">
        <v>8</v>
      </c>
      <c r="U30" s="1558">
        <f t="shared" si="11"/>
        <v>100</v>
      </c>
      <c r="V30" s="1557" t="s">
        <v>8</v>
      </c>
      <c r="W30" s="1558">
        <f t="shared" si="12"/>
        <v>100</v>
      </c>
      <c r="X30" s="1551"/>
      <c r="Y30" s="3455"/>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55"/>
      <c r="Q31" s="1556"/>
      <c r="R31" s="1557"/>
      <c r="S31" s="1558"/>
      <c r="T31" s="1557"/>
      <c r="U31" s="1558"/>
      <c r="V31" s="1557"/>
      <c r="W31" s="1558"/>
      <c r="X31" s="1551"/>
      <c r="Y31" s="3455"/>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55"/>
      <c r="Q32" s="1556" t="str">
        <f t="shared" si="8"/>
        <v>土地级别</v>
      </c>
      <c r="R32" s="1557" t="s">
        <v>8</v>
      </c>
      <c r="S32" s="1558">
        <f t="shared" si="10"/>
        <v>100</v>
      </c>
      <c r="T32" s="1557" t="s">
        <v>8</v>
      </c>
      <c r="U32" s="1558">
        <f t="shared" si="11"/>
        <v>100</v>
      </c>
      <c r="V32" s="1557" t="s">
        <v>8</v>
      </c>
      <c r="W32" s="1558">
        <f t="shared" si="12"/>
        <v>100</v>
      </c>
      <c r="X32" s="1551"/>
      <c r="Y32" s="3455"/>
      <c r="Z32" s="1559" t="str">
        <f t="shared" si="13"/>
        <v>土地级别</v>
      </c>
      <c r="AA32" s="1560">
        <f t="shared" si="3"/>
        <v>1</v>
      </c>
      <c r="AB32" s="1560">
        <f t="shared" si="4"/>
        <v>1</v>
      </c>
      <c r="AC32" s="1560">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55"/>
      <c r="Q33" s="1556">
        <f t="shared" si="8"/>
        <v>111</v>
      </c>
      <c r="R33" s="1557" t="s">
        <v>8</v>
      </c>
      <c r="S33" s="1558">
        <f t="shared" si="10"/>
        <v>100</v>
      </c>
      <c r="T33" s="1557" t="s">
        <v>8</v>
      </c>
      <c r="U33" s="1558">
        <f t="shared" si="11"/>
        <v>100</v>
      </c>
      <c r="V33" s="1557" t="s">
        <v>8</v>
      </c>
      <c r="W33" s="1558">
        <f t="shared" si="12"/>
        <v>100</v>
      </c>
      <c r="X33" s="1551"/>
      <c r="Y33" s="3455"/>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56" t="s">
        <v>550</v>
      </c>
      <c r="Q34" s="1556">
        <f t="shared" si="8"/>
        <v>111</v>
      </c>
      <c r="R34" s="1557" t="s">
        <v>8</v>
      </c>
      <c r="S34" s="1558">
        <f t="shared" si="10"/>
        <v>100</v>
      </c>
      <c r="T34" s="1557" t="s">
        <v>8</v>
      </c>
      <c r="U34" s="1558">
        <f t="shared" si="11"/>
        <v>100</v>
      </c>
      <c r="V34" s="1557" t="s">
        <v>8</v>
      </c>
      <c r="W34" s="1558">
        <f t="shared" si="12"/>
        <v>100</v>
      </c>
      <c r="X34" s="1551"/>
      <c r="Y34" s="3457" t="s">
        <v>550</v>
      </c>
      <c r="Z34" s="1559">
        <f t="shared" si="13"/>
        <v>111</v>
      </c>
      <c r="AA34" s="1560">
        <f t="shared" si="3"/>
        <v>1</v>
      </c>
      <c r="AB34" s="1560">
        <f t="shared" si="4"/>
        <v>1</v>
      </c>
      <c r="AC34" s="1560">
        <f t="shared" si="5"/>
        <v>1</v>
      </c>
    </row>
    <row r="35" spans="1:29" s="1332"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57"/>
      <c r="Q35" s="1556">
        <f t="shared" si="8"/>
        <v>111</v>
      </c>
      <c r="R35" s="1561" t="s">
        <v>8</v>
      </c>
      <c r="S35" s="1562">
        <f t="shared" si="10"/>
        <v>100</v>
      </c>
      <c r="T35" s="1561" t="s">
        <v>8</v>
      </c>
      <c r="U35" s="1562">
        <f t="shared" si="11"/>
        <v>100</v>
      </c>
      <c r="V35" s="1561" t="s">
        <v>8</v>
      </c>
      <c r="W35" s="1562">
        <f t="shared" si="12"/>
        <v>100</v>
      </c>
      <c r="X35" s="1563"/>
      <c r="Y35" s="3457"/>
      <c r="Z35" s="1564">
        <f t="shared" si="13"/>
        <v>111</v>
      </c>
      <c r="AA35" s="1560">
        <f t="shared" si="3"/>
        <v>1</v>
      </c>
      <c r="AB35" s="1560">
        <f t="shared" si="4"/>
        <v>1</v>
      </c>
      <c r="AC35" s="1560">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57"/>
      <c r="Q36" s="1556" t="str">
        <f>B36</f>
        <v>宗地面积</v>
      </c>
      <c r="R36" s="1557" t="s">
        <v>8</v>
      </c>
      <c r="S36" s="1558" t="e">
        <f t="shared" si="10"/>
        <v>#N/A</v>
      </c>
      <c r="T36" s="1557" t="s">
        <v>8</v>
      </c>
      <c r="U36" s="1558" t="e">
        <f t="shared" si="11"/>
        <v>#N/A</v>
      </c>
      <c r="V36" s="1557" t="s">
        <v>8</v>
      </c>
      <c r="W36" s="1558" t="e">
        <f t="shared" si="12"/>
        <v>#N/A</v>
      </c>
      <c r="X36" s="1551"/>
      <c r="Y36" s="3457"/>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57"/>
      <c r="Q37" s="1556" t="str">
        <f t="shared" ref="Q37:Q42" si="14">B37</f>
        <v>宗地形状</v>
      </c>
      <c r="R37" s="1557" t="s">
        <v>8</v>
      </c>
      <c r="S37" s="1558">
        <f t="shared" si="10"/>
        <v>100</v>
      </c>
      <c r="T37" s="1557" t="s">
        <v>8</v>
      </c>
      <c r="U37" s="1558">
        <f t="shared" si="11"/>
        <v>100</v>
      </c>
      <c r="V37" s="1557" t="s">
        <v>8</v>
      </c>
      <c r="W37" s="1558">
        <f t="shared" si="12"/>
        <v>100</v>
      </c>
      <c r="X37" s="1551"/>
      <c r="Y37" s="3457"/>
      <c r="Z37" s="1559" t="str">
        <f t="shared" si="13"/>
        <v>宗地形状</v>
      </c>
      <c r="AA37" s="1560">
        <f t="shared" si="3"/>
        <v>1</v>
      </c>
      <c r="AB37" s="1560">
        <f t="shared" si="4"/>
        <v>1</v>
      </c>
      <c r="AC37" s="1560">
        <f t="shared" si="5"/>
        <v>1</v>
      </c>
    </row>
    <row r="38" spans="1:29" s="1213" customFormat="1" ht="15">
      <c r="A38" s="599"/>
      <c r="B38" s="1878"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57"/>
      <c r="Q38" s="1556" t="str">
        <f t="shared" si="14"/>
        <v>宗地开发程度</v>
      </c>
      <c r="R38" s="1552" t="s">
        <v>8</v>
      </c>
      <c r="S38" s="1553">
        <f t="shared" si="10"/>
        <v>100</v>
      </c>
      <c r="T38" s="1552" t="s">
        <v>8</v>
      </c>
      <c r="U38" s="1553">
        <f t="shared" si="11"/>
        <v>100</v>
      </c>
      <c r="V38" s="1552" t="s">
        <v>8</v>
      </c>
      <c r="W38" s="1553">
        <f t="shared" si="12"/>
        <v>100</v>
      </c>
      <c r="X38" s="1554"/>
      <c r="Y38" s="3457"/>
      <c r="Z38" s="1143"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57" t="s">
        <v>601</v>
      </c>
      <c r="Q39" s="1556" t="str">
        <f t="shared" si="14"/>
        <v>工程地质条件</v>
      </c>
      <c r="R39" s="1557" t="s">
        <v>8</v>
      </c>
      <c r="S39" s="1558">
        <f t="shared" si="10"/>
        <v>100</v>
      </c>
      <c r="T39" s="1557" t="s">
        <v>8</v>
      </c>
      <c r="U39" s="1558">
        <f t="shared" si="11"/>
        <v>100</v>
      </c>
      <c r="V39" s="1557" t="s">
        <v>8</v>
      </c>
      <c r="W39" s="1558">
        <f t="shared" si="12"/>
        <v>100</v>
      </c>
      <c r="X39" s="1551"/>
      <c r="Y39" s="3457"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57"/>
      <c r="Q40" s="1556">
        <f t="shared" si="14"/>
        <v>111</v>
      </c>
      <c r="R40" s="1557" t="s">
        <v>8</v>
      </c>
      <c r="S40" s="1558">
        <f t="shared" si="10"/>
        <v>100</v>
      </c>
      <c r="T40" s="1557" t="s">
        <v>8</v>
      </c>
      <c r="U40" s="1558">
        <f t="shared" si="11"/>
        <v>100</v>
      </c>
      <c r="V40" s="1557" t="s">
        <v>8</v>
      </c>
      <c r="W40" s="1558">
        <f t="shared" si="12"/>
        <v>100</v>
      </c>
      <c r="X40" s="1551"/>
      <c r="Y40" s="3457"/>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57"/>
      <c r="Q41" s="1556">
        <f t="shared" si="14"/>
        <v>111</v>
      </c>
      <c r="R41" s="1557" t="s">
        <v>8</v>
      </c>
      <c r="S41" s="1558">
        <f t="shared" si="10"/>
        <v>100</v>
      </c>
      <c r="T41" s="1557" t="s">
        <v>8</v>
      </c>
      <c r="U41" s="1558">
        <f t="shared" si="11"/>
        <v>100</v>
      </c>
      <c r="V41" s="1557" t="s">
        <v>8</v>
      </c>
      <c r="W41" s="1558">
        <f t="shared" si="12"/>
        <v>100</v>
      </c>
      <c r="X41" s="1551"/>
      <c r="Y41" s="3457"/>
      <c r="Z41" s="1559">
        <f t="shared" si="13"/>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57"/>
      <c r="Q42" s="1556">
        <f t="shared" si="14"/>
        <v>111</v>
      </c>
      <c r="R42" s="1561" t="s">
        <v>8</v>
      </c>
      <c r="S42" s="1562">
        <f t="shared" si="10"/>
        <v>100</v>
      </c>
      <c r="T42" s="1561" t="s">
        <v>8</v>
      </c>
      <c r="U42" s="1562">
        <f t="shared" si="11"/>
        <v>100</v>
      </c>
      <c r="V42" s="1561" t="s">
        <v>8</v>
      </c>
      <c r="W42" s="1562">
        <f t="shared" si="12"/>
        <v>100</v>
      </c>
      <c r="X42" s="1563"/>
      <c r="Y42" s="3457"/>
      <c r="Z42" s="1564">
        <f t="shared" si="13"/>
        <v>111</v>
      </c>
      <c r="AA42" s="1560">
        <f t="shared" si="3"/>
        <v>1</v>
      </c>
      <c r="AB42" s="1560">
        <f t="shared" si="4"/>
        <v>1</v>
      </c>
      <c r="AC42" s="1560">
        <f t="shared" si="5"/>
        <v>1</v>
      </c>
    </row>
    <row r="43" spans="1:29" ht="15">
      <c r="A43" s="606" t="s">
        <v>556</v>
      </c>
      <c r="B43" s="607" t="s">
        <v>2932</v>
      </c>
      <c r="C43" s="608" t="s">
        <v>1</v>
      </c>
      <c r="D43" s="609"/>
      <c r="E43" s="610"/>
      <c r="F43" s="611"/>
      <c r="G43" s="612"/>
      <c r="H43" s="613"/>
      <c r="I43" s="610"/>
      <c r="J43" s="613"/>
      <c r="K43" s="1333"/>
      <c r="L43" s="2127"/>
      <c r="M43" s="2117"/>
      <c r="N43" s="2117"/>
      <c r="O43" s="2128"/>
      <c r="P43" s="3420" t="str">
        <f>A43</f>
        <v>成交单价</v>
      </c>
      <c r="Q43" s="3420"/>
      <c r="R43" s="3421">
        <f>E43</f>
        <v>0</v>
      </c>
      <c r="S43" s="3421"/>
      <c r="T43" s="3421">
        <f>G43</f>
        <v>0</v>
      </c>
      <c r="U43" s="3421"/>
      <c r="V43" s="3421">
        <f>I43</f>
        <v>0</v>
      </c>
      <c r="W43" s="3421"/>
      <c r="X43" s="1543"/>
      <c r="Y43" s="1565"/>
      <c r="Z43" s="1543"/>
      <c r="AA43" s="1543"/>
      <c r="AB43" s="1543"/>
      <c r="AC43" s="1543"/>
    </row>
    <row r="44" spans="1:29" ht="15.75" thickBot="1">
      <c r="A44" s="614" t="s">
        <v>2690</v>
      </c>
      <c r="B44" s="615"/>
      <c r="C44" s="616" t="e">
        <f>R45</f>
        <v>#DIV/0!</v>
      </c>
      <c r="D44" s="617"/>
      <c r="E44" s="616" t="e">
        <f>R44</f>
        <v>#DIV/0!</v>
      </c>
      <c r="F44" s="618"/>
      <c r="G44" s="619" t="e">
        <f>T44</f>
        <v>#DIV/0!</v>
      </c>
      <c r="H44" s="617"/>
      <c r="I44" s="616" t="e">
        <f>V44</f>
        <v>#DIV/0!</v>
      </c>
      <c r="J44" s="617"/>
      <c r="K44" s="1334"/>
      <c r="L44" s="2127"/>
      <c r="M44" s="2117"/>
      <c r="N44" s="2117"/>
      <c r="O44" s="2128"/>
      <c r="P44" s="3420" t="str">
        <f>A44</f>
        <v>比较价格（元/平方米）</v>
      </c>
      <c r="Q44" s="3420"/>
      <c r="R44" s="3422" t="e">
        <f>ROUND(PRODUCT(R43,AA9:AA42),0)</f>
        <v>#DIV/0!</v>
      </c>
      <c r="S44" s="3422"/>
      <c r="T44" s="3422" t="e">
        <f>ROUND(PRODUCT(T43,AB9:AB42),0)</f>
        <v>#DIV/0!</v>
      </c>
      <c r="U44" s="3422"/>
      <c r="V44" s="3422" t="e">
        <f>ROUND(PRODUCT(V43,AC9:AC42),0)</f>
        <v>#DIV/0!</v>
      </c>
      <c r="W44" s="3422"/>
      <c r="X44" s="1543"/>
      <c r="Y44" s="1543"/>
      <c r="Z44" s="1543"/>
      <c r="AA44" s="1543"/>
      <c r="AB44" s="1543"/>
      <c r="AC44" s="1543"/>
    </row>
    <row r="45" spans="1:29" ht="15.75" thickBot="1">
      <c r="A45" s="620" t="s">
        <v>2933</v>
      </c>
      <c r="B45" s="621"/>
      <c r="C45" s="622" t="e">
        <f>R45</f>
        <v>#DIV/0!</v>
      </c>
      <c r="D45" s="622"/>
      <c r="E45" s="622"/>
      <c r="F45" s="622"/>
      <c r="G45" s="622"/>
      <c r="H45" s="622"/>
      <c r="I45" s="622"/>
      <c r="J45" s="622"/>
      <c r="K45" s="1335"/>
      <c r="L45" s="2127"/>
      <c r="M45" s="2117"/>
      <c r="N45" s="2117"/>
      <c r="O45" s="2128"/>
      <c r="P45" s="3417" t="str">
        <f>A45</f>
        <v>估价对象XX用房的比较价格（楼面单价，元/平方米）</v>
      </c>
      <c r="Q45" s="3418"/>
      <c r="R45" s="3419" t="e">
        <f>ROUND(AVERAGE(R44:V44),0)</f>
        <v>#DIV/0!</v>
      </c>
      <c r="S45" s="3419"/>
      <c r="T45" s="3419"/>
      <c r="U45" s="3419"/>
      <c r="V45" s="3419"/>
      <c r="W45" s="3419"/>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2291</v>
      </c>
      <c r="E52" s="630" t="s">
        <v>562</v>
      </c>
      <c r="F52" s="1934" t="s">
        <v>563</v>
      </c>
      <c r="G52" s="3464" t="s">
        <v>2282</v>
      </c>
      <c r="H52" s="3465"/>
      <c r="I52" s="1935" t="s">
        <v>1943</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2" t="s">
        <v>564</v>
      </c>
      <c r="B53" s="633" t="e">
        <f>C45</f>
        <v>#DIV/0!</v>
      </c>
      <c r="C53" s="634">
        <v>1</v>
      </c>
      <c r="D53" s="2211">
        <v>1</v>
      </c>
      <c r="E53" s="634">
        <f>'数据-汇总表'!E8+'数据-汇总表'!E9</f>
        <v>67178</v>
      </c>
      <c r="F53" s="1933" t="e">
        <f t="shared" ref="F53:F62" si="15">ROUND(B53*E53/10000,0)</f>
        <v>#DIV/0!</v>
      </c>
      <c r="G53" s="3466"/>
      <c r="H53" s="3467"/>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6" t="s">
        <v>565</v>
      </c>
      <c r="B54" s="637" t="e">
        <f>ROUND($C$45*C54*D54,0)</f>
        <v>#DIV/0!</v>
      </c>
      <c r="C54" s="377">
        <f t="shared" ref="C54:C62" si="16">IF($C$52="北京市系数",I54,J54)</f>
        <v>0</v>
      </c>
      <c r="D54" s="2212">
        <v>0.25</v>
      </c>
      <c r="E54" s="638"/>
      <c r="F54" s="1933" t="e">
        <f t="shared" si="15"/>
        <v>#DIV/0!</v>
      </c>
      <c r="G54" s="3468"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6" t="s">
        <v>566</v>
      </c>
      <c r="B55" s="637" t="e">
        <f t="shared" ref="B55:B62" si="17">ROUND($C$45*C55*D55,0)</f>
        <v>#DIV/0!</v>
      </c>
      <c r="C55" s="377">
        <f t="shared" si="16"/>
        <v>0</v>
      </c>
      <c r="D55" s="2212">
        <v>0.25</v>
      </c>
      <c r="E55" s="638"/>
      <c r="F55" s="1933" t="e">
        <f t="shared" si="15"/>
        <v>#DIV/0!</v>
      </c>
      <c r="G55" s="3468"/>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6" t="s">
        <v>567</v>
      </c>
      <c r="B56" s="637" t="e">
        <f t="shared" si="17"/>
        <v>#DIV/0!</v>
      </c>
      <c r="C56" s="377">
        <f t="shared" si="16"/>
        <v>0</v>
      </c>
      <c r="D56" s="2212">
        <v>0.25</v>
      </c>
      <c r="E56" s="638"/>
      <c r="F56" s="1933" t="e">
        <f t="shared" si="15"/>
        <v>#DIV/0!</v>
      </c>
      <c r="G56" s="3468"/>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6" t="s">
        <v>568</v>
      </c>
      <c r="B57" s="637" t="e">
        <f t="shared" si="17"/>
        <v>#DIV/0!</v>
      </c>
      <c r="C57" s="377">
        <f t="shared" si="16"/>
        <v>0</v>
      </c>
      <c r="D57" s="2212">
        <v>0.25</v>
      </c>
      <c r="E57" s="638"/>
      <c r="F57" s="1933" t="e">
        <f t="shared" si="15"/>
        <v>#DIV/0!</v>
      </c>
      <c r="G57" s="3468"/>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2326</v>
      </c>
      <c r="B58" s="637" t="e">
        <f t="shared" si="17"/>
        <v>#DIV/0!</v>
      </c>
      <c r="C58" s="377">
        <f t="shared" si="16"/>
        <v>0.2</v>
      </c>
      <c r="D58" s="2212">
        <v>0.25</v>
      </c>
      <c r="E58" s="640">
        <f>'数据-汇总表'!E11</f>
        <v>0</v>
      </c>
      <c r="F58" s="1933" t="e">
        <f t="shared" si="15"/>
        <v>#DIV/0!</v>
      </c>
      <c r="G58" s="1939" t="s">
        <v>2284</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569</v>
      </c>
      <c r="B59" s="637" t="e">
        <f t="shared" si="17"/>
        <v>#DIV/0!</v>
      </c>
      <c r="C59" s="377">
        <f t="shared" si="16"/>
        <v>0.2</v>
      </c>
      <c r="D59" s="2212">
        <v>0.25</v>
      </c>
      <c r="E59" s="640">
        <f>'数据-汇总表'!E12</f>
        <v>7806</v>
      </c>
      <c r="F59" s="1933" t="e">
        <f t="shared" si="15"/>
        <v>#DIV/0!</v>
      </c>
      <c r="G59" s="1929" t="s">
        <v>1677</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570</v>
      </c>
      <c r="B60" s="637" t="e">
        <f t="shared" si="17"/>
        <v>#DIV/0!</v>
      </c>
      <c r="C60" s="377">
        <f t="shared" si="16"/>
        <v>0.15</v>
      </c>
      <c r="D60" s="2212">
        <v>0.25</v>
      </c>
      <c r="E60" s="640">
        <f>'数据-汇总表'!E13</f>
        <v>16471</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571</v>
      </c>
      <c r="B61" s="637" t="e">
        <f t="shared" si="17"/>
        <v>#DIV/0!</v>
      </c>
      <c r="C61" s="377">
        <f t="shared" si="16"/>
        <v>0</v>
      </c>
      <c r="D61" s="2212">
        <v>0.25</v>
      </c>
      <c r="E61" s="640">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6" t="s">
        <v>572</v>
      </c>
      <c r="B62" s="637" t="e">
        <f t="shared" si="17"/>
        <v>#DIV/0!</v>
      </c>
      <c r="C62" s="377">
        <f t="shared" si="16"/>
        <v>0.15</v>
      </c>
      <c r="D62" s="2212">
        <v>0.25</v>
      </c>
      <c r="E62" s="640">
        <f>'数据-汇总表'!E15</f>
        <v>0</v>
      </c>
      <c r="F62" s="1933" t="e">
        <f t="shared" si="15"/>
        <v>#DIV/0!</v>
      </c>
      <c r="G62" s="1940" t="s">
        <v>2284</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1" t="s">
        <v>573</v>
      </c>
      <c r="B63" s="642" t="s">
        <v>17</v>
      </c>
      <c r="C63" s="642" t="s">
        <v>18</v>
      </c>
      <c r="D63" s="642" t="s">
        <v>2292</v>
      </c>
      <c r="E63" s="642">
        <f>IF(B43="楼面地价",SUM(E53:E62),'数据-汇总表'!D3)</f>
        <v>42532.75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2020-3-1</v>
      </c>
      <c r="D65" s="2752">
        <f>EDATE(C65,-3)</f>
        <v>43800</v>
      </c>
      <c r="E65" s="2752">
        <f t="shared" ref="E65:N65" si="18">EDATE(D65,-3)</f>
        <v>43709</v>
      </c>
      <c r="F65" s="2752">
        <f t="shared" si="18"/>
        <v>43617</v>
      </c>
      <c r="G65" s="2752">
        <f t="shared" si="18"/>
        <v>43525</v>
      </c>
      <c r="H65" s="2752">
        <f t="shared" si="18"/>
        <v>43435</v>
      </c>
      <c r="I65" s="2752">
        <f t="shared" si="18"/>
        <v>43344</v>
      </c>
      <c r="J65" s="2752">
        <f t="shared" si="18"/>
        <v>43252</v>
      </c>
      <c r="K65" s="2752">
        <f t="shared" si="18"/>
        <v>43160</v>
      </c>
      <c r="L65" s="2752">
        <f t="shared" si="18"/>
        <v>43070</v>
      </c>
      <c r="M65" s="2752">
        <f t="shared" si="18"/>
        <v>42979</v>
      </c>
      <c r="N65" s="2752">
        <f t="shared" si="18"/>
        <v>42887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2531</v>
      </c>
      <c r="B67" s="645"/>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2646</v>
      </c>
      <c r="B68" s="478" t="str">
        <f>"北京市平均增长率"&amp;TEXT(基准地价!P24,"0.00%")</f>
        <v>北京市平均增长率1.35%</v>
      </c>
      <c r="C68" s="891">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6"/>
      <c r="B93" s="1879" t="s">
        <v>2546</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6"/>
      <c r="B95" s="2559" t="s">
        <v>2548</v>
      </c>
      <c r="C95" s="2560" t="s">
        <v>2549</v>
      </c>
      <c r="D95" s="2560" t="s">
        <v>2550</v>
      </c>
      <c r="E95" s="2560" t="s">
        <v>2551</v>
      </c>
      <c r="F95" s="2560" t="s">
        <v>2552</v>
      </c>
      <c r="G95" s="2560" t="s">
        <v>2553</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7"/>
      <c r="B114" s="1879" t="s">
        <v>2423</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4" sqref="A4"/>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8" t="s">
        <v>2759</v>
      </c>
      <c r="S1" s="2888" t="s">
        <v>2760</v>
      </c>
      <c r="T1" s="2888" t="s">
        <v>2781</v>
      </c>
      <c r="U1" s="2888" t="s">
        <v>2782</v>
      </c>
      <c r="V1" s="2888" t="s">
        <v>2783</v>
      </c>
      <c r="W1" s="2172"/>
      <c r="X1" s="2172"/>
      <c r="Y1" s="2172"/>
      <c r="Z1" s="2172"/>
      <c r="AA1" s="2172"/>
      <c r="AB1" s="2172"/>
      <c r="AC1" s="2173"/>
    </row>
    <row r="2" spans="1:39" ht="15.75">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2"/>
      <c r="X2" s="2172"/>
      <c r="Y2" s="2172"/>
      <c r="Z2" s="2172"/>
      <c r="AA2" s="2172"/>
      <c r="AB2" s="2172"/>
      <c r="AC2" s="2173"/>
    </row>
    <row r="3" spans="1:39" ht="15.75">
      <c r="A3" s="1405" t="s">
        <v>1687</v>
      </c>
      <c r="B3" s="1035" t="e">
        <f>ROUND(B2*10000/D1,0)</f>
        <v>#DIV/0!</v>
      </c>
      <c r="C3" s="1401" t="s">
        <v>927</v>
      </c>
      <c r="D3" s="1402" t="s">
        <v>928</v>
      </c>
      <c r="E3" s="1406"/>
      <c r="F3" s="1407"/>
      <c r="G3" s="1036">
        <f>IF(F3="宗地容积率",'数据-汇总表'!I4,IF(F3="估价对象容积率",'数据-汇总表'!I6,'数据-汇总表'!I7))</f>
        <v>0</v>
      </c>
      <c r="H3" s="1408" t="s">
        <v>929</v>
      </c>
      <c r="I3" s="1037">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2"/>
      <c r="X3" s="2172"/>
      <c r="Y3" s="2172"/>
      <c r="Z3" s="2172"/>
      <c r="AA3" s="2172"/>
      <c r="AB3" s="2172"/>
      <c r="AC3" s="2173"/>
    </row>
    <row r="4" spans="1:39" ht="28.5">
      <c r="A4" s="1874" t="s">
        <v>2278</v>
      </c>
      <c r="B4" s="2415" t="e">
        <f>ROUND(B2*10000/F1,0)</f>
        <v>#DIV/0!</v>
      </c>
      <c r="C4" s="1877" t="s">
        <v>2252</v>
      </c>
      <c r="D4" s="1877" t="e">
        <f>ROUND(B2/(F1/666.67),0)</f>
        <v>#DIV/0!</v>
      </c>
      <c r="E4" s="1877" t="s">
        <v>2253</v>
      </c>
      <c r="F4" s="1875"/>
      <c r="G4" s="1875"/>
      <c r="H4" s="1875"/>
      <c r="I4" s="1875"/>
      <c r="J4" s="1876"/>
      <c r="K4" s="3144"/>
      <c r="L4" s="1868" t="s">
        <v>2239</v>
      </c>
      <c r="M4" s="1869">
        <f>SUMPRODUCT((区片价!B49:B75=I2)*(区片价!C3:F3=E2)*(区片价!C49:F75))</f>
        <v>0</v>
      </c>
      <c r="N4" s="1870">
        <f>SUMPRODUCT((因素修正幅度!B49:B75=I2)*(因素修正幅度!C3:F3=E2)*(因素修正幅度!C49:F75))</f>
        <v>0</v>
      </c>
      <c r="O4" s="3144"/>
      <c r="P4" s="1395"/>
      <c r="Q4" s="2172"/>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2"/>
      <c r="X4" s="2172"/>
      <c r="Y4" s="2172"/>
      <c r="Z4" s="2172"/>
      <c r="AA4" s="2172"/>
      <c r="AB4" s="2172"/>
      <c r="AC4" s="2173"/>
    </row>
    <row r="5" spans="1:39" s="1415" customFormat="1" ht="15.75" thickBot="1">
      <c r="A5" s="1621" t="s">
        <v>1823</v>
      </c>
      <c r="B5" s="1409" t="s">
        <v>931</v>
      </c>
      <c r="C5" s="1038" t="e">
        <f>ROUND(IF(E2="商业",C6*C7+C16,(IF(E2="住宅",C6*C12+C16,C6+C16))),0)</f>
        <v>#DIV/0!</v>
      </c>
      <c r="D5" s="3068" t="e">
        <f>ROUND(C6+C16,0)</f>
        <v>#DIV/0!</v>
      </c>
      <c r="E5" s="3068"/>
      <c r="F5" s="1410"/>
      <c r="G5" s="1411"/>
      <c r="H5" s="1411"/>
      <c r="I5" s="1411"/>
      <c r="J5" s="1412"/>
      <c r="K5" s="3145"/>
      <c r="L5" s="1868" t="s">
        <v>2240</v>
      </c>
      <c r="M5" s="1869">
        <f>SUMPRODUCT((区片价!B76:B109=I2)*(区片价!C3:F3=E2)*(区片价!C76:F109))</f>
        <v>0</v>
      </c>
      <c r="N5" s="1870">
        <f>SUMPRODUCT((因素修正幅度!B76:B109=I2)*(因素修正幅度!C3:F3=E2)*(因素修正幅度!C76:F109))</f>
        <v>0</v>
      </c>
      <c r="O5" s="3145"/>
      <c r="P5" s="1578"/>
      <c r="Q5" s="2172"/>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80" t="str">
        <f>IF(E2="商业",IF(C8="不临58条商业街","",2),"")</f>
        <v/>
      </c>
      <c r="B7" s="1421" t="s">
        <v>932</v>
      </c>
      <c r="C7" s="1040" t="e">
        <f>IF(C8="不临58条商业街",1,ROUND(1+(1.6*E8+1.2*E9+0.8*E10+0.4*E11)*C9,4))</f>
        <v>#DIV/0!</v>
      </c>
      <c r="D7" s="1422" t="s">
        <v>933</v>
      </c>
      <c r="E7" s="1041"/>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2762</v>
      </c>
      <c r="X7" s="2879">
        <f>G2</f>
        <v>0</v>
      </c>
      <c r="Y7" s="2879" t="s">
        <v>2763</v>
      </c>
      <c r="Z7" s="2880">
        <f>G3</f>
        <v>0</v>
      </c>
      <c r="AA7" s="2175"/>
      <c r="AB7" s="2175"/>
      <c r="AC7" s="2176"/>
      <c r="AD7" s="2881"/>
      <c r="AE7" s="2881"/>
      <c r="AF7" s="2881"/>
      <c r="AG7" s="2881"/>
      <c r="AH7" s="2881"/>
      <c r="AI7" s="2881"/>
      <c r="AJ7" s="2882"/>
    </row>
    <row r="8" spans="1:39" ht="15">
      <c r="A8" s="3481"/>
      <c r="B8" s="1408" t="s">
        <v>934</v>
      </c>
      <c r="C8" s="1514"/>
      <c r="D8" s="1042" t="s">
        <v>935</v>
      </c>
      <c r="E8" s="1043"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70" t="s">
        <v>2780</v>
      </c>
      <c r="X8" s="3471"/>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81"/>
      <c r="B9" s="1408" t="s">
        <v>937</v>
      </c>
      <c r="C9" s="1044">
        <f>SUMIF(修正!C59:C119,C8,修正!E59:E119)</f>
        <v>0</v>
      </c>
      <c r="D9" s="1045" t="s">
        <v>938</v>
      </c>
      <c r="E9" s="1045"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69" t="s">
        <v>2776</v>
      </c>
      <c r="X9" s="2883" t="s">
        <v>2777</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81"/>
      <c r="B10" s="1408" t="s">
        <v>940</v>
      </c>
      <c r="C10" s="1045">
        <f>SUMIF(修正!C59:C119,C8,修正!F59:F119)</f>
        <v>0</v>
      </c>
      <c r="D10" s="1045" t="s">
        <v>941</v>
      </c>
      <c r="E10" s="1045"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69"/>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81"/>
      <c r="B11" s="1429" t="s">
        <v>943</v>
      </c>
      <c r="C11" s="1046">
        <f>C10/4</f>
        <v>0</v>
      </c>
      <c r="D11" s="1046" t="s">
        <v>944</v>
      </c>
      <c r="E11" s="1046"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69" t="s">
        <v>2778</v>
      </c>
      <c r="X11" s="1045"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80" t="s">
        <v>1871</v>
      </c>
      <c r="B12" s="1433" t="s">
        <v>946</v>
      </c>
      <c r="C12" s="1040">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69"/>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82"/>
      <c r="B13" s="1438" t="s">
        <v>1696</v>
      </c>
      <c r="C13" s="1439" t="s">
        <v>1697</v>
      </c>
      <c r="D13" s="1082" t="s">
        <v>1698</v>
      </c>
      <c r="E13" s="1082" t="s">
        <v>1699</v>
      </c>
      <c r="F13" s="1440" t="s">
        <v>948</v>
      </c>
      <c r="G13" s="1441" t="s">
        <v>1642</v>
      </c>
      <c r="H13" s="1442" t="s">
        <v>1642</v>
      </c>
      <c r="I13" s="1443" t="s">
        <v>1642</v>
      </c>
      <c r="J13" s="1444" t="s">
        <v>1642</v>
      </c>
      <c r="K13" s="3160"/>
      <c r="L13" s="3160"/>
      <c r="M13" s="3160"/>
      <c r="N13" s="3160"/>
      <c r="O13" s="3160"/>
      <c r="P13" s="1395"/>
      <c r="Q13" s="2172"/>
      <c r="R13" s="2889">
        <v>12</v>
      </c>
      <c r="S13" s="2878"/>
      <c r="T13" s="2889" t="e">
        <f t="shared" si="0"/>
        <v>#DIV/0!</v>
      </c>
      <c r="U13" s="2878"/>
      <c r="V13" s="2889" t="e">
        <f t="shared" si="1"/>
        <v>#DIV/0!</v>
      </c>
      <c r="W13" s="3469"/>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82"/>
      <c r="B14" s="1445"/>
      <c r="C14" s="1446"/>
      <c r="D14" s="1447"/>
      <c r="E14" s="1447"/>
      <c r="F14" s="1448"/>
      <c r="G14" s="1449" t="s">
        <v>949</v>
      </c>
      <c r="H14" s="1450"/>
      <c r="I14" s="1451"/>
      <c r="J14" s="1452"/>
      <c r="K14" s="3146"/>
      <c r="L14" s="3146"/>
      <c r="M14" s="3146"/>
      <c r="N14" s="3146"/>
      <c r="O14" s="3146"/>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83"/>
      <c r="B15" s="3165" t="s">
        <v>1700</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80" t="s">
        <v>1838</v>
      </c>
      <c r="B16" s="1421" t="s">
        <v>950</v>
      </c>
      <c r="C16" s="1049" t="e">
        <f>ROUND(IF(F17="与级别开发程度一致",0,(G17-E17)/C17),0)</f>
        <v>#DIV/0!</v>
      </c>
      <c r="D16" s="3477" t="s">
        <v>954</v>
      </c>
      <c r="E16" s="3478"/>
      <c r="F16" s="3477" t="s">
        <v>951</v>
      </c>
      <c r="G16" s="3478"/>
      <c r="H16" s="1453"/>
      <c r="I16" s="1453"/>
      <c r="J16" s="1453"/>
      <c r="K16" s="1453"/>
      <c r="L16" s="1453"/>
      <c r="M16" s="1453"/>
      <c r="N16" s="1453"/>
      <c r="O16" s="3170"/>
      <c r="P16" s="1395"/>
      <c r="Q16" s="2175"/>
      <c r="R16" s="2889">
        <v>15</v>
      </c>
      <c r="S16" s="2878"/>
      <c r="T16" s="2889" t="e">
        <f t="shared" si="0"/>
        <v>#DIV/0!</v>
      </c>
      <c r="U16" s="2878"/>
      <c r="V16" s="2889" t="e">
        <f t="shared" si="1"/>
        <v>#DIV/0!</v>
      </c>
      <c r="W16" s="2175"/>
      <c r="X16" s="2175"/>
      <c r="Y16" s="2175"/>
      <c r="Z16" s="2175"/>
      <c r="AA16" s="2175"/>
      <c r="AB16" s="2175"/>
      <c r="AC16" s="2176"/>
    </row>
    <row r="17" spans="1:40" ht="13.5" thickBot="1">
      <c r="A17" s="3484"/>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ROUND(IF(H19="按公示增长率计算",SUMPRODUCT((地价!A3:A29=YEAR(G19)&amp;"-"&amp;ROUNDUP(MONTH(G19)/3,0))*(地价!X2:AB2=E2)*(地价!X3:AB29)),IF(H19="地价指数",M20/M19,(1+I19)^O19)),4)</f>
        <v>0</v>
      </c>
      <c r="D19" s="1460" t="s">
        <v>957</v>
      </c>
      <c r="E19" s="1051">
        <v>41640</v>
      </c>
      <c r="F19" s="1460" t="s">
        <v>958</v>
      </c>
      <c r="G19" s="1052">
        <f>'数据-取费表'!B2</f>
        <v>43920</v>
      </c>
      <c r="H19" s="1461" t="s">
        <v>2988</v>
      </c>
      <c r="I19" s="2738" t="str">
        <f>IF(H19="季度增幅（自定义）",SUMIF(N21:N24,E2,O21:O24),"")</f>
        <v/>
      </c>
      <c r="J19" s="1457"/>
      <c r="K19" s="3145"/>
      <c r="L19" s="2988" t="s">
        <v>2838</v>
      </c>
      <c r="M19" s="2989">
        <f>ROUND(SUMIF(地价!B2:F2,E2,地价!B29:F29),0)</f>
        <v>0</v>
      </c>
      <c r="N19" s="2740" t="s">
        <v>1676</v>
      </c>
      <c r="O19" s="2739">
        <f>ROUNDDOWN(DATEDIF(E19,G19,"M")/3,0)</f>
        <v>24</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3">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7"/>
      <c r="L20" s="2990" t="s">
        <v>2839</v>
      </c>
      <c r="M20" s="3154">
        <f>ROUND(SUMPRODUCT((地价!A4:A29=YEAR(G19)&amp;"-"&amp;ROUNDUP(MONTH(G19)/3,0))*(地价!B2:F2=E2)*(地价!B4:F29)),0)</f>
        <v>0</v>
      </c>
      <c r="N20" s="2743" t="s">
        <v>2642</v>
      </c>
      <c r="O20" s="2741" t="s">
        <v>2641</v>
      </c>
      <c r="P20" s="2742" t="s">
        <v>2647</v>
      </c>
      <c r="Q20" s="2877"/>
      <c r="R20" s="2178"/>
      <c r="S20" s="2178"/>
      <c r="T20" s="2178"/>
      <c r="U20" s="2178"/>
      <c r="V20" s="2178"/>
      <c r="W20" s="2178"/>
      <c r="X20" s="2178"/>
      <c r="Y20" s="1458"/>
      <c r="Z20" s="1458"/>
      <c r="AA20" s="1458"/>
      <c r="AB20" s="1458"/>
      <c r="AC20" s="1458"/>
      <c r="AD20" s="1458"/>
    </row>
    <row r="21" spans="1:40" s="1415" customFormat="1" ht="14.25">
      <c r="A21" s="1625" t="s">
        <v>1837</v>
      </c>
      <c r="B21" s="1466" t="s">
        <v>2758</v>
      </c>
      <c r="C21" s="1151">
        <f>IF(B21="容积率修正",IF(G3&lt;=10,D22,J22),C23)</f>
        <v>0</v>
      </c>
      <c r="D21" s="1467"/>
      <c r="E21" s="1467"/>
      <c r="F21" s="1467"/>
      <c r="G21" s="1467"/>
      <c r="H21" s="1467"/>
      <c r="I21" s="1467"/>
      <c r="J21" s="1468"/>
      <c r="K21" s="3145"/>
      <c r="L21" s="1467"/>
      <c r="M21" s="1467"/>
      <c r="N21" s="1464" t="s">
        <v>975</v>
      </c>
      <c r="O21" s="1527"/>
      <c r="P21" s="2730">
        <f>SUMPRODUCT((地价!A3:A29=YEAR(G19)&amp;"-"&amp;ROUNDUP(MONTH(G19)/3,0))*(地价!AD2:AH2=N21)*(地价!AD3:AH29))</f>
        <v>1.34E-2</v>
      </c>
      <c r="Q21" s="2877"/>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8"/>
      <c r="L22" s="1467"/>
      <c r="M22" s="1467"/>
      <c r="N22" s="1464" t="s">
        <v>978</v>
      </c>
      <c r="O22" s="1527"/>
      <c r="P22" s="2730">
        <f>SUMPRODUCT((地价!A3:A29=YEAR(G19)&amp;"-"&amp;ROUNDUP(MONTH(G19)/3,0))*(地价!AD2:AH2=N22)*(地价!AD3:AH29))</f>
        <v>1.34E-2</v>
      </c>
      <c r="Q22" s="2877"/>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30">
        <f>SUMPRODUCT((地价!A3:A29=YEAR(G19)&amp;"-"&amp;ROUNDUP(MONTH(G19)/3,0))*(地价!AD2:AH2=N23)*(地价!AD3:AH29))</f>
        <v>2.1000000000000001E-2</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0</v>
      </c>
      <c r="D24" s="1520"/>
      <c r="E24" s="1521"/>
      <c r="F24" s="1521"/>
      <c r="G24" s="1521"/>
      <c r="H24" s="1521"/>
      <c r="I24" s="1521"/>
      <c r="J24" s="1521"/>
      <c r="K24" s="3149"/>
      <c r="L24" s="1467"/>
      <c r="M24" s="1467"/>
      <c r="N24" s="1464" t="s">
        <v>981</v>
      </c>
      <c r="O24" s="3153"/>
      <c r="P24" s="2730">
        <f>SUMPRODUCT((地价!A3:A29=YEAR(G19)&amp;"-"&amp;ROUNDUP(MONTH(G19)/3,0))*(地价!AD2:AH2=N24)*(地价!AD3:AH29))</f>
        <v>1.35E-2</v>
      </c>
      <c r="Q24" s="2877"/>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2645</v>
      </c>
      <c r="O25" s="3156"/>
      <c r="P25" s="2409">
        <f>SUMPRODUCT((地价!A3:A29=YEAR(G19)&amp;"-"&amp;ROUNDUP(MONTH(G19)/3,0))*(地价!AD2:AH2=N25)*(地价!AD3:AH29))</f>
        <v>1.9199999999999998E-2</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8"/>
      <c r="R27" s="2877"/>
      <c r="S27" s="2877"/>
      <c r="T27" s="2877"/>
      <c r="U27" s="2877"/>
      <c r="V27" s="2877"/>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14.25">
      <c r="A29" s="1487"/>
      <c r="B29" s="1488" t="s">
        <v>993</v>
      </c>
      <c r="C29" s="1056"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75" thickBot="1">
      <c r="A30" s="1493"/>
      <c r="B30" s="1494" t="s">
        <v>994</v>
      </c>
      <c r="C30" s="1048"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87" t="s">
        <v>2958</v>
      </c>
      <c r="B33" s="1509" t="s">
        <v>999</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88"/>
      <c r="B34" s="1439" t="s">
        <v>1000</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88"/>
      <c r="B35" s="1439" t="s">
        <v>1001</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89"/>
      <c r="B36" s="1439" t="s">
        <v>1002</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2982</v>
      </c>
      <c r="C41" s="838" t="e">
        <f>ROUND(POWER(1+E41,H41-G41)*(POWER(1+E41,G41)-1)/(POWER(1+E41,H41)-1),4)</f>
        <v>#DIV/0!</v>
      </c>
      <c r="D41" s="377" t="s">
        <v>2980</v>
      </c>
      <c r="E41" s="3142">
        <f>G20</f>
        <v>0</v>
      </c>
      <c r="F41" s="377" t="s">
        <v>2981</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3" t="str">
        <f>估价对象房地状况!C16</f>
        <v>估价对象位于XX商圈，周边商业氛围成熟，人流量大，商业繁华度好</v>
      </c>
      <c r="C47" s="1047"/>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70" t="str">
        <f>估价对象房地状况!C18</f>
        <v>估价对象周边道路状况、公共交通通达情况、停车便捷程度，综合评价交通便捷度较好</v>
      </c>
      <c r="C48" s="1047"/>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70">
        <f>估价对象房地状况!C19</f>
        <v>0</v>
      </c>
      <c r="C49" s="1047"/>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1023</v>
      </c>
      <c r="B50" s="3045" t="s">
        <v>2935</v>
      </c>
      <c r="C50" s="1047"/>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70">
        <f>估价对象房地状况!C24</f>
        <v>0</v>
      </c>
      <c r="C51" s="1047"/>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1025</v>
      </c>
      <c r="B52" s="3044" t="s">
        <v>2934</v>
      </c>
      <c r="C52" s="1047"/>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7"/>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7"/>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7"/>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1030</v>
      </c>
      <c r="B58" s="2373" t="str">
        <f>估价对象房地状况!C17</f>
        <v>估价对象位于XX商圈，周边办公楼项目较多，入驻率高，办公集聚程度较好</v>
      </c>
      <c r="C58" s="1047"/>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70" t="str">
        <f>估价对象房地状况!C18</f>
        <v>估价对象周边道路状况、公共交通通达情况、停车便捷程度，综合评价交通便捷度较好</v>
      </c>
      <c r="C59" s="1047"/>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70">
        <f>估价对象房地状况!C19</f>
        <v>0</v>
      </c>
      <c r="C60" s="1047"/>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1023</v>
      </c>
      <c r="B61" s="3045" t="s">
        <v>2936</v>
      </c>
      <c r="C61" s="1047"/>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70">
        <f>估价对象房地状况!C24</f>
        <v>0</v>
      </c>
      <c r="C62" s="1047"/>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1025</v>
      </c>
      <c r="B63" s="3044" t="s">
        <v>2934</v>
      </c>
      <c r="C63" s="1047"/>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71" t="str">
        <f>估价对象房地状况!C21</f>
        <v>估价对象所在区域公共配套设施齐备情况</v>
      </c>
      <c r="C64" s="1047"/>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71" t="str">
        <f>估价对象房地状况!C22</f>
        <v>估价对象所在区域基础设施水平</v>
      </c>
      <c r="C65" s="1047"/>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7"/>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3" t="str">
        <f>估价对象房地状况!C15</f>
        <v>估价对象周边居住用地比例、居住小区规模和社区发展完善程度，综合评价居住社区成熟度一般</v>
      </c>
      <c r="C69" s="1152"/>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70">
        <f>估价对象房地状况!C24</f>
        <v>0</v>
      </c>
      <c r="C72" s="1152"/>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4" t="s">
        <v>2934</v>
      </c>
      <c r="C75" s="1152"/>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3" t="str">
        <f>估价对象房地状况!C20</f>
        <v>区域自然环境：；人文环境；综合评价环境状况一般</v>
      </c>
      <c r="C76" s="1152"/>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2"/>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0" t="s">
        <v>1022</v>
      </c>
      <c r="B82" s="2370">
        <f>估价对象房地状况!G17</f>
        <v>0</v>
      </c>
      <c r="C82" s="1047"/>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0" t="s">
        <v>1034</v>
      </c>
      <c r="B83" s="2370">
        <f>估价对象房地状况!G22</f>
        <v>0</v>
      </c>
      <c r="C83" s="1047"/>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0" t="s">
        <v>1026</v>
      </c>
      <c r="B84" s="2371" t="str">
        <f>估价对象房地状况!G19</f>
        <v>估价对象所在区域公共配套设施齐备情况</v>
      </c>
      <c r="C84" s="1047"/>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0" t="s">
        <v>1027</v>
      </c>
      <c r="B85" s="2371" t="str">
        <f>估价对象房地状况!G20</f>
        <v>估价对象所在区域基础设施水平</v>
      </c>
      <c r="C85" s="1047"/>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0" t="s">
        <v>1025</v>
      </c>
      <c r="B86" s="3044" t="s">
        <v>2934</v>
      </c>
      <c r="C86" s="1047"/>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7"/>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85" t="s">
        <v>1633</v>
      </c>
      <c r="B90" s="3485"/>
      <c r="C90" s="3485"/>
      <c r="D90" s="3485"/>
      <c r="E90" s="3485"/>
      <c r="F90" s="3485"/>
      <c r="G90" s="3485"/>
      <c r="H90" s="3485"/>
      <c r="I90" s="3485"/>
      <c r="J90" s="3485"/>
      <c r="K90" s="2412"/>
      <c r="L90" s="2412"/>
      <c r="M90" s="2412"/>
      <c r="N90" s="2412"/>
    </row>
    <row r="91" spans="1:40">
      <c r="A91" s="3486" t="s">
        <v>1443</v>
      </c>
      <c r="B91" s="3486" t="s">
        <v>1634</v>
      </c>
      <c r="C91" s="1133" t="s">
        <v>1635</v>
      </c>
      <c r="D91" s="1134"/>
      <c r="E91" s="1134"/>
      <c r="F91" s="1134"/>
      <c r="G91" s="1134"/>
      <c r="H91" s="1134"/>
      <c r="I91" s="1134"/>
      <c r="J91" s="1135"/>
      <c r="K91" s="1127"/>
      <c r="L91" s="1127"/>
      <c r="M91" s="1127"/>
      <c r="N91" s="1127"/>
    </row>
    <row r="92" spans="1:40">
      <c r="A92" s="3486"/>
      <c r="B92" s="3486"/>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72" t="s">
        <v>2761</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73"/>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73"/>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73"/>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73"/>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73"/>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73"/>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74"/>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72"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73"/>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73"/>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73"/>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73"/>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73"/>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73"/>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73"/>
      <c r="B108" s="3475"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74"/>
      <c r="B109" s="3476"/>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79" t="s">
        <v>1639</v>
      </c>
      <c r="B110" s="3479"/>
      <c r="C110" s="3479"/>
      <c r="D110" s="3479"/>
      <c r="E110" s="3479"/>
      <c r="F110" s="3479"/>
      <c r="G110" s="3479"/>
      <c r="H110" s="3479"/>
      <c r="I110" s="3479"/>
      <c r="J110" s="3479"/>
      <c r="K110" s="2410"/>
      <c r="L110" s="2410"/>
      <c r="M110" s="2410"/>
      <c r="N110" s="2410"/>
    </row>
    <row r="112" spans="1:14" ht="12.75" thickBot="1"/>
    <row r="113" spans="1:13" ht="25.5" thickBot="1">
      <c r="A113" s="1013" t="s">
        <v>896</v>
      </c>
      <c r="B113" s="2413">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486" t="s">
        <v>1007</v>
      </c>
      <c r="B18" s="1147" t="s">
        <v>1446</v>
      </c>
      <c r="C18" s="1124" t="s">
        <v>1447</v>
      </c>
      <c r="D18" s="1125"/>
      <c r="E18" s="1147">
        <v>1</v>
      </c>
      <c r="F18" s="1126" t="s">
        <v>1448</v>
      </c>
      <c r="G18" s="1127"/>
      <c r="H18" s="1098"/>
      <c r="I18" s="1098"/>
    </row>
    <row r="19" spans="1:9" s="1582" customFormat="1" ht="19.5" customHeight="1">
      <c r="A19" s="3486"/>
      <c r="B19" s="3486" t="s">
        <v>1449</v>
      </c>
      <c r="C19" s="1124" t="s">
        <v>1450</v>
      </c>
      <c r="D19" s="1125"/>
      <c r="E19" s="1147">
        <v>0.9</v>
      </c>
      <c r="F19" s="1126" t="s">
        <v>1451</v>
      </c>
      <c r="G19" s="1127"/>
      <c r="H19" s="1098"/>
      <c r="I19" s="1098"/>
    </row>
    <row r="20" spans="1:9" s="1582" customFormat="1" ht="19.5" customHeight="1">
      <c r="A20" s="3486"/>
      <c r="B20" s="3486"/>
      <c r="C20" s="1124" t="s">
        <v>1452</v>
      </c>
      <c r="D20" s="1125"/>
      <c r="E20" s="1147">
        <v>1.1000000000000001</v>
      </c>
      <c r="F20" s="1126" t="s">
        <v>1453</v>
      </c>
      <c r="G20" s="1127"/>
      <c r="H20" s="1098"/>
      <c r="I20" s="1098"/>
    </row>
    <row r="21" spans="1:9" s="1582" customFormat="1" ht="19.5" customHeight="1">
      <c r="A21" s="3486"/>
      <c r="B21" s="3486"/>
      <c r="C21" s="1124" t="s">
        <v>1454</v>
      </c>
      <c r="D21" s="1125"/>
      <c r="E21" s="1147">
        <v>0.8</v>
      </c>
      <c r="F21" s="1126" t="s">
        <v>1455</v>
      </c>
      <c r="G21" s="1127"/>
      <c r="H21" s="1098"/>
      <c r="I21" s="1098"/>
    </row>
    <row r="22" spans="1:9" s="1582" customFormat="1" ht="19.5" customHeight="1">
      <c r="A22" s="3486"/>
      <c r="B22" s="3486"/>
      <c r="C22" s="1124" t="s">
        <v>1456</v>
      </c>
      <c r="D22" s="1125"/>
      <c r="E22" s="1147">
        <v>0.5</v>
      </c>
      <c r="F22" s="1126"/>
      <c r="G22" s="1127"/>
      <c r="H22" s="1098"/>
      <c r="I22" s="1098"/>
    </row>
    <row r="23" spans="1:9" s="1582" customFormat="1" ht="19.5" customHeight="1">
      <c r="A23" s="3486" t="s">
        <v>1029</v>
      </c>
      <c r="B23" s="1147" t="s">
        <v>1446</v>
      </c>
      <c r="C23" s="1124" t="s">
        <v>1457</v>
      </c>
      <c r="D23" s="1125"/>
      <c r="E23" s="1147">
        <v>1</v>
      </c>
      <c r="F23" s="1126" t="s">
        <v>1458</v>
      </c>
      <c r="G23" s="1127"/>
      <c r="H23" s="1098"/>
      <c r="I23" s="1098"/>
    </row>
    <row r="24" spans="1:9" s="1582" customFormat="1" ht="19.5" customHeight="1">
      <c r="A24" s="3486"/>
      <c r="B24" s="3486" t="s">
        <v>1449</v>
      </c>
      <c r="C24" s="1124" t="s">
        <v>1459</v>
      </c>
      <c r="D24" s="1125"/>
      <c r="E24" s="1147">
        <v>0.5</v>
      </c>
      <c r="F24" s="1126"/>
      <c r="G24" s="1127"/>
      <c r="H24" s="1098"/>
      <c r="I24" s="1098"/>
    </row>
    <row r="25" spans="1:9" s="1582" customFormat="1" ht="19.5" customHeight="1">
      <c r="A25" s="3486"/>
      <c r="B25" s="3486"/>
      <c r="C25" s="1124" t="s">
        <v>1460</v>
      </c>
      <c r="D25" s="1125"/>
      <c r="E25" s="1147">
        <v>1.1000000000000001</v>
      </c>
      <c r="F25" s="1126"/>
      <c r="G25" s="1127"/>
      <c r="H25" s="1098"/>
      <c r="I25" s="1098"/>
    </row>
    <row r="26" spans="1:9" s="1582" customFormat="1" ht="19.5" customHeight="1">
      <c r="A26" s="3486"/>
      <c r="B26" s="3486"/>
      <c r="C26" s="1124" t="s">
        <v>1461</v>
      </c>
      <c r="D26" s="1125"/>
      <c r="E26" s="1147">
        <v>1.1000000000000001</v>
      </c>
      <c r="F26" s="1126"/>
      <c r="G26" s="1127"/>
      <c r="H26" s="1098"/>
      <c r="I26" s="1098"/>
    </row>
    <row r="27" spans="1:9" s="1582" customFormat="1" ht="19.5" customHeight="1">
      <c r="A27" s="3486"/>
      <c r="B27" s="3486"/>
      <c r="C27" s="1124" t="s">
        <v>1462</v>
      </c>
      <c r="D27" s="1125"/>
      <c r="E27" s="1147">
        <v>0.9</v>
      </c>
      <c r="F27" s="1126" t="s">
        <v>1463</v>
      </c>
      <c r="G27" s="1127"/>
      <c r="H27" s="1098"/>
      <c r="I27" s="1098"/>
    </row>
    <row r="28" spans="1:9" s="1582" customFormat="1" ht="19.5" customHeight="1">
      <c r="A28" s="3486"/>
      <c r="B28" s="3486"/>
      <c r="C28" s="1124" t="s">
        <v>1464</v>
      </c>
      <c r="D28" s="1125"/>
      <c r="E28" s="1147">
        <v>0.9</v>
      </c>
      <c r="F28" s="1126" t="s">
        <v>1465</v>
      </c>
      <c r="G28" s="1127"/>
      <c r="H28" s="1098"/>
      <c r="I28" s="1098"/>
    </row>
    <row r="29" spans="1:9" s="1582" customFormat="1" ht="19.5" customHeight="1">
      <c r="A29" s="3486"/>
      <c r="B29" s="3486"/>
      <c r="C29" s="1124" t="s">
        <v>1466</v>
      </c>
      <c r="D29" s="1125"/>
      <c r="E29" s="1147">
        <v>0.9</v>
      </c>
      <c r="F29" s="1126" t="s">
        <v>1467</v>
      </c>
      <c r="G29" s="1127"/>
      <c r="H29" s="1098"/>
      <c r="I29" s="1098"/>
    </row>
    <row r="30" spans="1:9" s="1582" customFormat="1" ht="19.5" customHeight="1">
      <c r="A30" s="3486"/>
      <c r="B30" s="3486"/>
      <c r="C30" s="1124" t="s">
        <v>1468</v>
      </c>
      <c r="D30" s="1125"/>
      <c r="E30" s="1147">
        <v>0.9</v>
      </c>
      <c r="F30" s="1126" t="s">
        <v>1469</v>
      </c>
      <c r="G30" s="1127"/>
      <c r="H30" s="1098"/>
      <c r="I30" s="1098"/>
    </row>
    <row r="31" spans="1:9" s="1582" customFormat="1" ht="19.5" customHeight="1">
      <c r="A31" s="3486"/>
      <c r="B31" s="3486"/>
      <c r="C31" s="1124" t="s">
        <v>1470</v>
      </c>
      <c r="D31" s="1125"/>
      <c r="E31" s="1147">
        <v>0.8</v>
      </c>
      <c r="F31" s="1126" t="s">
        <v>1471</v>
      </c>
      <c r="G31" s="1127"/>
      <c r="H31" s="1098"/>
      <c r="I31" s="1098"/>
    </row>
    <row r="32" spans="1:9" s="1582" customFormat="1" ht="19.5" customHeight="1">
      <c r="A32" s="3486"/>
      <c r="B32" s="3486"/>
      <c r="C32" s="1124" t="s">
        <v>1472</v>
      </c>
      <c r="D32" s="1125"/>
      <c r="E32" s="1147">
        <v>0.8</v>
      </c>
      <c r="F32" s="1126" t="s">
        <v>1473</v>
      </c>
      <c r="G32" s="1127"/>
      <c r="H32" s="1098"/>
      <c r="I32" s="1098"/>
    </row>
    <row r="33" spans="1:9" s="1582" customFormat="1" ht="19.5" customHeight="1">
      <c r="A33" s="3486" t="s">
        <v>1474</v>
      </c>
      <c r="B33" s="1147" t="s">
        <v>1446</v>
      </c>
      <c r="C33" s="1124" t="s">
        <v>1475</v>
      </c>
      <c r="D33" s="1125"/>
      <c r="E33" s="1147">
        <v>1</v>
      </c>
      <c r="F33" s="1126" t="s">
        <v>1476</v>
      </c>
      <c r="G33" s="1127"/>
      <c r="H33" s="1098"/>
      <c r="I33" s="1098"/>
    </row>
    <row r="34" spans="1:9" s="1582" customFormat="1" ht="19.5" customHeight="1">
      <c r="A34" s="3486"/>
      <c r="B34" s="1147" t="s">
        <v>1449</v>
      </c>
      <c r="C34" s="1124" t="s">
        <v>1477</v>
      </c>
      <c r="D34" s="1125"/>
      <c r="E34" s="1147">
        <v>1.5</v>
      </c>
      <c r="F34" s="1126" t="s">
        <v>1478</v>
      </c>
      <c r="G34" s="1127"/>
      <c r="H34" s="1098"/>
      <c r="I34" s="1098"/>
    </row>
    <row r="35" spans="1:9" s="1582" customFormat="1" ht="19.5" customHeight="1">
      <c r="A35" s="3486" t="s">
        <v>1432</v>
      </c>
      <c r="B35" s="1147" t="s">
        <v>1446</v>
      </c>
      <c r="C35" s="1124" t="s">
        <v>1479</v>
      </c>
      <c r="D35" s="1125"/>
      <c r="E35" s="1147">
        <v>1</v>
      </c>
      <c r="F35" s="1126" t="s">
        <v>1480</v>
      </c>
      <c r="G35" s="1127"/>
      <c r="H35" s="1098"/>
      <c r="I35" s="1098"/>
    </row>
    <row r="36" spans="1:9" s="1582" customFormat="1" ht="19.5" customHeight="1">
      <c r="A36" s="3486"/>
      <c r="B36" s="3486" t="s">
        <v>1449</v>
      </c>
      <c r="C36" s="1124" t="s">
        <v>1481</v>
      </c>
      <c r="D36" s="1125"/>
      <c r="E36" s="1147">
        <v>1</v>
      </c>
      <c r="F36" s="1126" t="s">
        <v>1482</v>
      </c>
      <c r="G36" s="1127"/>
      <c r="H36" s="1098"/>
      <c r="I36" s="1098"/>
    </row>
    <row r="37" spans="1:9" s="1582" customFormat="1" ht="19.5" customHeight="1">
      <c r="A37" s="3486"/>
      <c r="B37" s="3486"/>
      <c r="C37" s="1124" t="s">
        <v>1483</v>
      </c>
      <c r="D37" s="1125"/>
      <c r="E37" s="1147">
        <v>1.5</v>
      </c>
      <c r="F37" s="1126" t="s">
        <v>1484</v>
      </c>
      <c r="G37" s="1127"/>
      <c r="H37" s="1098"/>
      <c r="I37" s="1098"/>
    </row>
    <row r="38" spans="1:9" s="1582" customFormat="1" ht="19.5" customHeight="1">
      <c r="A38" s="3486"/>
      <c r="B38" s="3486"/>
      <c r="C38" s="1124" t="s">
        <v>1485</v>
      </c>
      <c r="D38" s="1125"/>
      <c r="E38" s="1147">
        <v>1</v>
      </c>
      <c r="F38" s="1126" t="s">
        <v>1486</v>
      </c>
      <c r="G38" s="1127"/>
      <c r="H38" s="1098"/>
      <c r="I38" s="1098"/>
    </row>
    <row r="39" spans="1:9" s="1582" customFormat="1" ht="19.5" customHeight="1">
      <c r="A39" s="3486"/>
      <c r="B39" s="3486"/>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86" t="s">
        <v>1501</v>
      </c>
      <c r="C61" s="1061" t="s">
        <v>1502</v>
      </c>
      <c r="D61" s="1061" t="s">
        <v>1503</v>
      </c>
      <c r="E61" s="1132">
        <v>0.5</v>
      </c>
      <c r="F61" s="1147">
        <v>80</v>
      </c>
      <c r="H61" s="1098">
        <f>SUMIF(C59:C119,基准地价!C8,E59:E119)</f>
        <v>0</v>
      </c>
    </row>
    <row r="62" spans="1:8" s="1098" customFormat="1" ht="24">
      <c r="A62" s="1147">
        <v>2</v>
      </c>
      <c r="B62" s="3486"/>
      <c r="C62" s="1061" t="s">
        <v>1504</v>
      </c>
      <c r="D62" s="1061" t="s">
        <v>1505</v>
      </c>
      <c r="E62" s="1132">
        <v>0.5</v>
      </c>
      <c r="F62" s="1147">
        <v>80</v>
      </c>
    </row>
    <row r="63" spans="1:8" s="1098" customFormat="1" ht="36">
      <c r="A63" s="1147">
        <v>3</v>
      </c>
      <c r="B63" s="3486"/>
      <c r="C63" s="1061" t="s">
        <v>1506</v>
      </c>
      <c r="D63" s="1061" t="s">
        <v>1507</v>
      </c>
      <c r="E63" s="1132">
        <v>0.5</v>
      </c>
      <c r="F63" s="1147">
        <v>80</v>
      </c>
    </row>
    <row r="64" spans="1:8" s="1098" customFormat="1" ht="36">
      <c r="A64" s="1147">
        <v>4</v>
      </c>
      <c r="B64" s="3486"/>
      <c r="C64" s="1061" t="s">
        <v>1508</v>
      </c>
      <c r="D64" s="1061" t="s">
        <v>1509</v>
      </c>
      <c r="E64" s="1132">
        <v>0.4</v>
      </c>
      <c r="F64" s="1147">
        <v>60</v>
      </c>
    </row>
    <row r="65" spans="1:6" s="1098" customFormat="1" ht="36">
      <c r="A65" s="1147">
        <v>5</v>
      </c>
      <c r="B65" s="3486"/>
      <c r="C65" s="1061" t="s">
        <v>1510</v>
      </c>
      <c r="D65" s="1061" t="s">
        <v>1511</v>
      </c>
      <c r="E65" s="1132">
        <v>0.2</v>
      </c>
      <c r="F65" s="1147">
        <v>30</v>
      </c>
    </row>
    <row r="66" spans="1:6" s="1098" customFormat="1" ht="36">
      <c r="A66" s="1147">
        <v>6</v>
      </c>
      <c r="B66" s="3486"/>
      <c r="C66" s="1061" t="s">
        <v>1512</v>
      </c>
      <c r="D66" s="1061" t="s">
        <v>1513</v>
      </c>
      <c r="E66" s="1132">
        <v>0.3</v>
      </c>
      <c r="F66" s="1147">
        <v>50</v>
      </c>
    </row>
    <row r="67" spans="1:6" s="1098" customFormat="1" ht="36">
      <c r="A67" s="1147">
        <v>7</v>
      </c>
      <c r="B67" s="3486"/>
      <c r="C67" s="1061" t="s">
        <v>1514</v>
      </c>
      <c r="D67" s="1061" t="s">
        <v>1515</v>
      </c>
      <c r="E67" s="1132">
        <v>0.2</v>
      </c>
      <c r="F67" s="1147">
        <v>30</v>
      </c>
    </row>
    <row r="68" spans="1:6" s="1098" customFormat="1" ht="36">
      <c r="A68" s="1147">
        <v>8</v>
      </c>
      <c r="B68" s="3486"/>
      <c r="C68" s="1061" t="s">
        <v>1516</v>
      </c>
      <c r="D68" s="1061" t="s">
        <v>1517</v>
      </c>
      <c r="E68" s="1132">
        <v>0.2</v>
      </c>
      <c r="F68" s="1147">
        <v>30</v>
      </c>
    </row>
    <row r="69" spans="1:6" s="1098" customFormat="1" ht="36">
      <c r="A69" s="1147">
        <v>9</v>
      </c>
      <c r="B69" s="3486"/>
      <c r="C69" s="1061" t="s">
        <v>1518</v>
      </c>
      <c r="D69" s="1061" t="s">
        <v>1519</v>
      </c>
      <c r="E69" s="1132">
        <v>0.2</v>
      </c>
      <c r="F69" s="1147">
        <v>30</v>
      </c>
    </row>
    <row r="70" spans="1:6" s="1098" customFormat="1" ht="48">
      <c r="A70" s="1147">
        <v>10</v>
      </c>
      <c r="B70" s="3486"/>
      <c r="C70" s="1061" t="s">
        <v>1520</v>
      </c>
      <c r="D70" s="1061" t="s">
        <v>1521</v>
      </c>
      <c r="E70" s="1132">
        <v>0.2</v>
      </c>
      <c r="F70" s="1147">
        <v>30</v>
      </c>
    </row>
    <row r="71" spans="1:6" s="1098" customFormat="1" ht="48">
      <c r="A71" s="1147">
        <v>11</v>
      </c>
      <c r="B71" s="3486"/>
      <c r="C71" s="1061" t="s">
        <v>1522</v>
      </c>
      <c r="D71" s="1061" t="s">
        <v>1523</v>
      </c>
      <c r="E71" s="1132">
        <v>0.2</v>
      </c>
      <c r="F71" s="1147">
        <v>30</v>
      </c>
    </row>
    <row r="72" spans="1:6" s="1098" customFormat="1" ht="36">
      <c r="A72" s="1147">
        <v>12</v>
      </c>
      <c r="B72" s="3486"/>
      <c r="C72" s="1061" t="s">
        <v>1524</v>
      </c>
      <c r="D72" s="1061" t="s">
        <v>1525</v>
      </c>
      <c r="E72" s="1132">
        <v>0.5</v>
      </c>
      <c r="F72" s="1147">
        <v>80</v>
      </c>
    </row>
    <row r="73" spans="1:6" s="1098" customFormat="1" ht="24">
      <c r="A73" s="1147">
        <v>13</v>
      </c>
      <c r="B73" s="3486"/>
      <c r="C73" s="1061" t="s">
        <v>1526</v>
      </c>
      <c r="D73" s="1061" t="s">
        <v>1527</v>
      </c>
      <c r="E73" s="1132">
        <v>0.4</v>
      </c>
      <c r="F73" s="1147">
        <v>60</v>
      </c>
    </row>
    <row r="74" spans="1:6" s="1098" customFormat="1" ht="24">
      <c r="A74" s="1147">
        <v>14</v>
      </c>
      <c r="B74" s="3486"/>
      <c r="C74" s="1061" t="s">
        <v>1528</v>
      </c>
      <c r="D74" s="1061" t="s">
        <v>1529</v>
      </c>
      <c r="E74" s="1132">
        <v>0.2</v>
      </c>
      <c r="F74" s="1147">
        <v>30</v>
      </c>
    </row>
    <row r="75" spans="1:6" s="1098" customFormat="1" ht="24">
      <c r="A75" s="1147">
        <v>15</v>
      </c>
      <c r="B75" s="3486"/>
      <c r="C75" s="1061" t="s">
        <v>1530</v>
      </c>
      <c r="D75" s="1061" t="s">
        <v>1531</v>
      </c>
      <c r="E75" s="1132">
        <v>0.2</v>
      </c>
      <c r="F75" s="1147">
        <v>30</v>
      </c>
    </row>
    <row r="76" spans="1:6" s="1098" customFormat="1" ht="24">
      <c r="A76" s="1147">
        <v>16</v>
      </c>
      <c r="B76" s="3486" t="s">
        <v>1532</v>
      </c>
      <c r="C76" s="1061" t="s">
        <v>1533</v>
      </c>
      <c r="D76" s="1061" t="s">
        <v>1534</v>
      </c>
      <c r="E76" s="1132">
        <v>0.5</v>
      </c>
      <c r="F76" s="1147">
        <v>80</v>
      </c>
    </row>
    <row r="77" spans="1:6" s="1098" customFormat="1" ht="24">
      <c r="A77" s="1147">
        <v>17</v>
      </c>
      <c r="B77" s="3486"/>
      <c r="C77" s="1061" t="s">
        <v>1535</v>
      </c>
      <c r="D77" s="1061" t="s">
        <v>1536</v>
      </c>
      <c r="E77" s="1132">
        <v>0.5</v>
      </c>
      <c r="F77" s="1147">
        <v>80</v>
      </c>
    </row>
    <row r="78" spans="1:6" s="1098" customFormat="1" ht="24">
      <c r="A78" s="1147">
        <v>18</v>
      </c>
      <c r="B78" s="3486"/>
      <c r="C78" s="1061" t="s">
        <v>1537</v>
      </c>
      <c r="D78" s="1061" t="s">
        <v>1538</v>
      </c>
      <c r="E78" s="1132">
        <v>0.2</v>
      </c>
      <c r="F78" s="1147">
        <v>30</v>
      </c>
    </row>
    <row r="79" spans="1:6" s="1098" customFormat="1" ht="24">
      <c r="A79" s="1147">
        <v>19</v>
      </c>
      <c r="B79" s="3486"/>
      <c r="C79" s="1061" t="s">
        <v>1539</v>
      </c>
      <c r="D79" s="1061" t="s">
        <v>1540</v>
      </c>
      <c r="E79" s="1132">
        <v>0.5</v>
      </c>
      <c r="F79" s="1147">
        <v>80</v>
      </c>
    </row>
    <row r="80" spans="1:6" s="1098" customFormat="1" ht="36">
      <c r="A80" s="1147">
        <v>20</v>
      </c>
      <c r="B80" s="3486"/>
      <c r="C80" s="1061" t="s">
        <v>1541</v>
      </c>
      <c r="D80" s="1061" t="s">
        <v>1542</v>
      </c>
      <c r="E80" s="1132">
        <v>0.2</v>
      </c>
      <c r="F80" s="1147">
        <v>30</v>
      </c>
    </row>
    <row r="81" spans="1:6" s="1098" customFormat="1" ht="36">
      <c r="A81" s="1147">
        <v>21</v>
      </c>
      <c r="B81" s="3486"/>
      <c r="C81" s="1061" t="s">
        <v>1543</v>
      </c>
      <c r="D81" s="1061" t="s">
        <v>1544</v>
      </c>
      <c r="E81" s="1132">
        <v>0.2</v>
      </c>
      <c r="F81" s="1147">
        <v>30</v>
      </c>
    </row>
    <row r="82" spans="1:6" s="1098" customFormat="1" ht="48">
      <c r="A82" s="1147">
        <v>22</v>
      </c>
      <c r="B82" s="3486"/>
      <c r="C82" s="1061" t="s">
        <v>1545</v>
      </c>
      <c r="D82" s="1061" t="s">
        <v>1546</v>
      </c>
      <c r="E82" s="1132">
        <v>0.2</v>
      </c>
      <c r="F82" s="1147">
        <v>30</v>
      </c>
    </row>
    <row r="83" spans="1:6" s="1098" customFormat="1" ht="48">
      <c r="A83" s="1147">
        <v>23</v>
      </c>
      <c r="B83" s="3486"/>
      <c r="C83" s="1061" t="s">
        <v>1547</v>
      </c>
      <c r="D83" s="1061" t="s">
        <v>1548</v>
      </c>
      <c r="E83" s="1132">
        <v>0.2</v>
      </c>
      <c r="F83" s="1147">
        <v>30</v>
      </c>
    </row>
    <row r="84" spans="1:6" s="1098" customFormat="1" ht="36">
      <c r="A84" s="1147">
        <v>24</v>
      </c>
      <c r="B84" s="3486"/>
      <c r="C84" s="1061" t="s">
        <v>1549</v>
      </c>
      <c r="D84" s="1061" t="s">
        <v>1550</v>
      </c>
      <c r="E84" s="1132">
        <v>0.2</v>
      </c>
      <c r="F84" s="1147">
        <v>30</v>
      </c>
    </row>
    <row r="85" spans="1:6" s="1098" customFormat="1" ht="36">
      <c r="A85" s="1147">
        <v>25</v>
      </c>
      <c r="B85" s="3486"/>
      <c r="C85" s="1061" t="s">
        <v>1551</v>
      </c>
      <c r="D85" s="1061" t="s">
        <v>1552</v>
      </c>
      <c r="E85" s="1132">
        <v>0.5</v>
      </c>
      <c r="F85" s="1147">
        <v>80</v>
      </c>
    </row>
    <row r="86" spans="1:6" s="1098" customFormat="1" ht="36">
      <c r="A86" s="1147">
        <v>26</v>
      </c>
      <c r="B86" s="3486"/>
      <c r="C86" s="1061" t="s">
        <v>1553</v>
      </c>
      <c r="D86" s="1061" t="s">
        <v>1554</v>
      </c>
      <c r="E86" s="1132">
        <v>0.2</v>
      </c>
      <c r="F86" s="1147">
        <v>30</v>
      </c>
    </row>
    <row r="87" spans="1:6" s="1098" customFormat="1" ht="36">
      <c r="A87" s="1147">
        <v>27</v>
      </c>
      <c r="B87" s="3486"/>
      <c r="C87" s="1061" t="s">
        <v>1555</v>
      </c>
      <c r="D87" s="1061" t="s">
        <v>1556</v>
      </c>
      <c r="E87" s="1132">
        <v>0.2</v>
      </c>
      <c r="F87" s="1147">
        <v>30</v>
      </c>
    </row>
    <row r="88" spans="1:6" s="1098" customFormat="1" ht="36">
      <c r="A88" s="1147">
        <v>28</v>
      </c>
      <c r="B88" s="3486"/>
      <c r="C88" s="1061" t="s">
        <v>1557</v>
      </c>
      <c r="D88" s="1061" t="s">
        <v>1558</v>
      </c>
      <c r="E88" s="1132">
        <v>0.2</v>
      </c>
      <c r="F88" s="1147">
        <v>30</v>
      </c>
    </row>
    <row r="89" spans="1:6" s="1098" customFormat="1" ht="24">
      <c r="A89" s="1147">
        <v>29</v>
      </c>
      <c r="B89" s="3486"/>
      <c r="C89" s="1061" t="s">
        <v>1559</v>
      </c>
      <c r="D89" s="1061" t="s">
        <v>1560</v>
      </c>
      <c r="E89" s="1132">
        <v>0.2</v>
      </c>
      <c r="F89" s="1147">
        <v>30</v>
      </c>
    </row>
    <row r="90" spans="1:6" s="1098" customFormat="1" ht="24">
      <c r="A90" s="1147">
        <v>30</v>
      </c>
      <c r="B90" s="3486"/>
      <c r="C90" s="1061" t="s">
        <v>1561</v>
      </c>
      <c r="D90" s="1061" t="s">
        <v>1562</v>
      </c>
      <c r="E90" s="1132">
        <v>0.2</v>
      </c>
      <c r="F90" s="1147">
        <v>30</v>
      </c>
    </row>
    <row r="91" spans="1:6" s="1098" customFormat="1" ht="36">
      <c r="A91" s="1147">
        <v>31</v>
      </c>
      <c r="B91" s="3486"/>
      <c r="C91" s="1061" t="s">
        <v>1563</v>
      </c>
      <c r="D91" s="1061" t="s">
        <v>1564</v>
      </c>
      <c r="E91" s="1132">
        <v>0.2</v>
      </c>
      <c r="F91" s="1147">
        <v>30</v>
      </c>
    </row>
    <row r="92" spans="1:6" s="1098" customFormat="1" ht="24">
      <c r="A92" s="1147">
        <v>32</v>
      </c>
      <c r="B92" s="3486" t="s">
        <v>1565</v>
      </c>
      <c r="C92" s="1147" t="s">
        <v>1566</v>
      </c>
      <c r="D92" s="1061" t="s">
        <v>1567</v>
      </c>
      <c r="E92" s="1132">
        <v>0.2</v>
      </c>
      <c r="F92" s="1147">
        <v>30</v>
      </c>
    </row>
    <row r="93" spans="1:6" s="1098" customFormat="1" ht="36">
      <c r="A93" s="1147">
        <v>33</v>
      </c>
      <c r="B93" s="3486"/>
      <c r="C93" s="1147" t="s">
        <v>1568</v>
      </c>
      <c r="D93" s="1061" t="s">
        <v>1569</v>
      </c>
      <c r="E93" s="1132">
        <v>0.2</v>
      </c>
      <c r="F93" s="1147">
        <v>30</v>
      </c>
    </row>
    <row r="94" spans="1:6" s="1098" customFormat="1" ht="48">
      <c r="A94" s="1147">
        <v>34</v>
      </c>
      <c r="B94" s="3486"/>
      <c r="C94" s="1147" t="s">
        <v>1570</v>
      </c>
      <c r="D94" s="1061" t="s">
        <v>1571</v>
      </c>
      <c r="E94" s="1132">
        <v>0.2</v>
      </c>
      <c r="F94" s="1147">
        <v>30</v>
      </c>
    </row>
    <row r="95" spans="1:6" s="1098" customFormat="1" ht="36">
      <c r="A95" s="1147">
        <v>35</v>
      </c>
      <c r="B95" s="3486"/>
      <c r="C95" s="1147" t="s">
        <v>1572</v>
      </c>
      <c r="D95" s="1061" t="s">
        <v>1573</v>
      </c>
      <c r="E95" s="1132">
        <v>0.2</v>
      </c>
      <c r="F95" s="1147">
        <v>30</v>
      </c>
    </row>
    <row r="96" spans="1:6" s="1098" customFormat="1" ht="48">
      <c r="A96" s="1147">
        <v>36</v>
      </c>
      <c r="B96" s="3486"/>
      <c r="C96" s="1061" t="s">
        <v>1574</v>
      </c>
      <c r="D96" s="1061" t="s">
        <v>1575</v>
      </c>
      <c r="E96" s="1132">
        <v>0.2</v>
      </c>
      <c r="F96" s="1147">
        <v>30</v>
      </c>
    </row>
    <row r="97" spans="1:6" s="1098" customFormat="1" ht="36">
      <c r="A97" s="1147">
        <v>37</v>
      </c>
      <c r="B97" s="3486"/>
      <c r="C97" s="1147" t="s">
        <v>1576</v>
      </c>
      <c r="D97" s="1061" t="s">
        <v>1577</v>
      </c>
      <c r="E97" s="1132">
        <v>0.2</v>
      </c>
      <c r="F97" s="1147">
        <v>30</v>
      </c>
    </row>
    <row r="98" spans="1:6" s="1098" customFormat="1" ht="36">
      <c r="A98" s="1147">
        <v>38</v>
      </c>
      <c r="B98" s="3486"/>
      <c r="C98" s="1147" t="s">
        <v>1578</v>
      </c>
      <c r="D98" s="1061" t="s">
        <v>1579</v>
      </c>
      <c r="E98" s="1132">
        <v>0.2</v>
      </c>
      <c r="F98" s="1147">
        <v>30</v>
      </c>
    </row>
    <row r="99" spans="1:6" s="1098" customFormat="1" ht="36">
      <c r="A99" s="1147">
        <v>39</v>
      </c>
      <c r="B99" s="3486" t="s">
        <v>1580</v>
      </c>
      <c r="C99" s="1147" t="s">
        <v>1581</v>
      </c>
      <c r="D99" s="1061" t="s">
        <v>1582</v>
      </c>
      <c r="E99" s="1132">
        <v>0.3</v>
      </c>
      <c r="F99" s="1147">
        <v>50</v>
      </c>
    </row>
    <row r="100" spans="1:6" s="1098" customFormat="1" ht="24">
      <c r="A100" s="1147">
        <v>40</v>
      </c>
      <c r="B100" s="3486"/>
      <c r="C100" s="1147" t="s">
        <v>1583</v>
      </c>
      <c r="D100" s="1061" t="s">
        <v>1584</v>
      </c>
      <c r="E100" s="1132">
        <v>0.2</v>
      </c>
      <c r="F100" s="1147">
        <v>30</v>
      </c>
    </row>
    <row r="101" spans="1:6" s="1098" customFormat="1" ht="36">
      <c r="A101" s="1147">
        <v>41</v>
      </c>
      <c r="B101" s="3486"/>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86" t="s">
        <v>1595</v>
      </c>
      <c r="C105" s="1147" t="s">
        <v>1596</v>
      </c>
      <c r="D105" s="1061" t="s">
        <v>1597</v>
      </c>
      <c r="E105" s="1132">
        <v>0.2</v>
      </c>
      <c r="F105" s="1147">
        <v>30</v>
      </c>
    </row>
    <row r="106" spans="1:6" s="1098" customFormat="1" ht="36">
      <c r="A106" s="1147">
        <v>46</v>
      </c>
      <c r="B106" s="3486"/>
      <c r="C106" s="1147" t="s">
        <v>1598</v>
      </c>
      <c r="D106" s="1061" t="s">
        <v>1599</v>
      </c>
      <c r="E106" s="1132">
        <v>0.2</v>
      </c>
      <c r="F106" s="1147">
        <v>30</v>
      </c>
    </row>
    <row r="107" spans="1:6" s="1098" customFormat="1" ht="36">
      <c r="A107" s="1147">
        <v>47</v>
      </c>
      <c r="B107" s="3486" t="s">
        <v>1600</v>
      </c>
      <c r="C107" s="1147" t="s">
        <v>1601</v>
      </c>
      <c r="D107" s="1061" t="s">
        <v>1602</v>
      </c>
      <c r="E107" s="1132">
        <v>0.3</v>
      </c>
      <c r="F107" s="1147">
        <v>50</v>
      </c>
    </row>
    <row r="108" spans="1:6" s="1098" customFormat="1" ht="36">
      <c r="A108" s="1147">
        <v>48</v>
      </c>
      <c r="B108" s="3486"/>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86" t="s">
        <v>1611</v>
      </c>
      <c r="C111" s="1147" t="s">
        <v>1612</v>
      </c>
      <c r="D111" s="1061" t="s">
        <v>1613</v>
      </c>
      <c r="E111" s="1132">
        <v>0.2</v>
      </c>
      <c r="F111" s="1147">
        <v>30</v>
      </c>
    </row>
    <row r="112" spans="1:6" s="1098" customFormat="1" ht="24">
      <c r="A112" s="1147">
        <v>52</v>
      </c>
      <c r="B112" s="3486"/>
      <c r="C112" s="1147" t="s">
        <v>1614</v>
      </c>
      <c r="D112" s="1061" t="s">
        <v>1615</v>
      </c>
      <c r="E112" s="1132">
        <v>0.2</v>
      </c>
      <c r="F112" s="1147">
        <v>30</v>
      </c>
    </row>
    <row r="113" spans="1:14" s="1098" customFormat="1" ht="24">
      <c r="A113" s="1147">
        <v>53</v>
      </c>
      <c r="B113" s="3486"/>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86" t="s">
        <v>1624</v>
      </c>
      <c r="C116" s="1147" t="s">
        <v>1625</v>
      </c>
      <c r="D116" s="1061" t="s">
        <v>1626</v>
      </c>
      <c r="E116" s="1132">
        <v>0.2</v>
      </c>
      <c r="F116" s="1147">
        <v>30</v>
      </c>
    </row>
    <row r="117" spans="1:14" ht="36">
      <c r="A117" s="1147">
        <v>57</v>
      </c>
      <c r="B117" s="3486"/>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85" t="s">
        <v>1633</v>
      </c>
      <c r="B121" s="3485"/>
      <c r="C121" s="3485"/>
      <c r="D121" s="3485"/>
      <c r="E121" s="3485"/>
      <c r="F121" s="3485"/>
      <c r="G121" s="3485"/>
      <c r="H121" s="3485"/>
      <c r="I121" s="3485"/>
      <c r="J121" s="3485"/>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90" t="s">
        <v>1039</v>
      </c>
      <c r="B1" s="3490"/>
      <c r="C1" s="3490"/>
      <c r="D1" s="3490"/>
      <c r="E1" s="3490"/>
      <c r="F1" s="3490"/>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91" t="s">
        <v>1052</v>
      </c>
      <c r="B2" s="3491"/>
      <c r="C2" s="3491"/>
      <c r="D2" s="3491"/>
      <c r="E2" s="3491"/>
      <c r="F2" s="3491"/>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92"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93"/>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94" t="s">
        <v>2077</v>
      </c>
      <c r="B1" s="3494"/>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1096</v>
      </c>
      <c r="B6" s="1842" t="s">
        <v>2086</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2087</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2088</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2089</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2090</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2091</v>
      </c>
      <c r="C72" s="1852"/>
      <c r="D72" s="1852"/>
      <c r="E72" s="1852"/>
      <c r="F72" s="1844">
        <v>0.05</v>
      </c>
    </row>
    <row r="73" spans="1:6" ht="14.25" thickBot="1">
      <c r="A73" s="1838" t="s">
        <v>925</v>
      </c>
      <c r="B73" s="1842" t="s">
        <v>2092</v>
      </c>
      <c r="C73" s="1852"/>
      <c r="D73" s="1852"/>
      <c r="E73" s="1852"/>
      <c r="F73" s="1844">
        <v>0.05</v>
      </c>
    </row>
    <row r="74" spans="1:6" ht="14.25" thickBot="1">
      <c r="A74" s="1838" t="s">
        <v>925</v>
      </c>
      <c r="B74" s="1842" t="s">
        <v>2093</v>
      </c>
      <c r="C74" s="1852"/>
      <c r="D74" s="1852"/>
      <c r="E74" s="1852"/>
      <c r="F74" s="1844">
        <v>0.05</v>
      </c>
    </row>
    <row r="75" spans="1:6" ht="14.25" thickBot="1">
      <c r="A75" s="1846" t="s">
        <v>925</v>
      </c>
      <c r="B75" s="1853" t="s">
        <v>2094</v>
      </c>
      <c r="C75" s="1849"/>
      <c r="D75" s="1849"/>
      <c r="E75" s="1849"/>
      <c r="F75" s="1854">
        <v>0.05</v>
      </c>
    </row>
    <row r="76" spans="1:6" ht="14.25" thickBot="1">
      <c r="A76" s="1838" t="s">
        <v>1407</v>
      </c>
      <c r="B76" s="1839" t="s">
        <v>2095</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2096</v>
      </c>
      <c r="C102" s="1852"/>
      <c r="D102" s="1852"/>
      <c r="E102" s="1852"/>
      <c r="F102" s="1844">
        <v>0.05</v>
      </c>
    </row>
    <row r="103" spans="1:6" ht="24.75" thickBot="1">
      <c r="A103" s="1838" t="s">
        <v>1407</v>
      </c>
      <c r="B103" s="1842" t="s">
        <v>2097</v>
      </c>
      <c r="C103" s="1852"/>
      <c r="D103" s="1852"/>
      <c r="E103" s="1852"/>
      <c r="F103" s="1844">
        <v>0.05</v>
      </c>
    </row>
    <row r="104" spans="1:6" ht="14.25" thickBot="1">
      <c r="A104" s="1838" t="s">
        <v>1407</v>
      </c>
      <c r="B104" s="1842" t="s">
        <v>2098</v>
      </c>
      <c r="C104" s="1852"/>
      <c r="D104" s="1852"/>
      <c r="E104" s="1852"/>
      <c r="F104" s="1844">
        <v>0.05</v>
      </c>
    </row>
    <row r="105" spans="1:6" ht="14.25" thickBot="1">
      <c r="A105" s="1838" t="s">
        <v>1407</v>
      </c>
      <c r="B105" s="1842" t="s">
        <v>2099</v>
      </c>
      <c r="C105" s="1852"/>
      <c r="D105" s="1852"/>
      <c r="E105" s="1852"/>
      <c r="F105" s="1844">
        <v>0.05</v>
      </c>
    </row>
    <row r="106" spans="1:6" ht="14.25" thickBot="1">
      <c r="A106" s="1838" t="s">
        <v>1407</v>
      </c>
      <c r="B106" s="1842" t="s">
        <v>2100</v>
      </c>
      <c r="C106" s="1852"/>
      <c r="D106" s="1852"/>
      <c r="E106" s="1852"/>
      <c r="F106" s="1844">
        <v>0.05</v>
      </c>
    </row>
    <row r="107" spans="1:6" ht="24.75" thickBot="1">
      <c r="A107" s="1838" t="s">
        <v>1407</v>
      </c>
      <c r="B107" s="1842" t="s">
        <v>2101</v>
      </c>
      <c r="C107" s="1852"/>
      <c r="D107" s="1852"/>
      <c r="E107" s="1852"/>
      <c r="F107" s="1844">
        <v>0.05</v>
      </c>
    </row>
    <row r="108" spans="1:6" ht="24.75" thickBot="1">
      <c r="A108" s="1838" t="s">
        <v>1407</v>
      </c>
      <c r="B108" s="1842" t="s">
        <v>2102</v>
      </c>
      <c r="C108" s="1852"/>
      <c r="D108" s="1852"/>
      <c r="E108" s="1852"/>
      <c r="F108" s="1844">
        <v>0.05</v>
      </c>
    </row>
    <row r="109" spans="1:6" ht="24.75" thickBot="1">
      <c r="A109" s="1846" t="s">
        <v>1407</v>
      </c>
      <c r="B109" s="1853" t="s">
        <v>2103</v>
      </c>
      <c r="C109" s="1849"/>
      <c r="D109" s="1849"/>
      <c r="E109" s="1849"/>
      <c r="F109" s="1854">
        <v>0.05</v>
      </c>
    </row>
    <row r="110" spans="1:6" ht="14.25" thickBot="1">
      <c r="A110" s="1838" t="s">
        <v>1409</v>
      </c>
      <c r="B110" s="1839" t="s">
        <v>2104</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2105</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2106</v>
      </c>
      <c r="C138" s="1843">
        <v>0.105</v>
      </c>
      <c r="D138" s="1843">
        <v>0.125</v>
      </c>
      <c r="E138" s="1843">
        <v>0.112</v>
      </c>
      <c r="F138" s="1851"/>
    </row>
    <row r="139" spans="1:6" ht="14.25" thickBot="1">
      <c r="A139" s="1838" t="s">
        <v>1409</v>
      </c>
      <c r="B139" s="1842" t="s">
        <v>2107</v>
      </c>
      <c r="C139" s="1843">
        <v>0.127</v>
      </c>
      <c r="D139" s="1843">
        <v>0.127</v>
      </c>
      <c r="E139" s="1843">
        <v>0.122</v>
      </c>
      <c r="F139" s="1844">
        <v>0.13</v>
      </c>
    </row>
    <row r="140" spans="1:6" ht="14.25" thickBot="1">
      <c r="A140" s="1838" t="s">
        <v>1409</v>
      </c>
      <c r="B140" s="1842" t="s">
        <v>2108</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2109</v>
      </c>
      <c r="C144" s="1856">
        <v>0.126</v>
      </c>
      <c r="D144" s="1856">
        <v>0.126</v>
      </c>
      <c r="E144" s="1856">
        <v>0.121</v>
      </c>
      <c r="F144" s="1851"/>
    </row>
    <row r="145" spans="1:6" ht="14.25" thickBot="1">
      <c r="A145" s="1846" t="s">
        <v>1409</v>
      </c>
      <c r="B145" s="1857" t="s">
        <v>2110</v>
      </c>
      <c r="C145" s="1858"/>
      <c r="D145" s="1858"/>
      <c r="E145" s="1858"/>
      <c r="F145" s="1859">
        <v>0.05</v>
      </c>
    </row>
    <row r="146" spans="1:6" ht="24.75" thickBot="1">
      <c r="A146" s="1860" t="s">
        <v>1409</v>
      </c>
      <c r="B146" s="1845" t="s">
        <v>2111</v>
      </c>
      <c r="C146" s="1852"/>
      <c r="D146" s="1852"/>
      <c r="E146" s="1852"/>
      <c r="F146" s="1861">
        <v>0.05</v>
      </c>
    </row>
    <row r="147" spans="1:6" ht="24.75" thickBot="1">
      <c r="A147" s="1838" t="s">
        <v>1409</v>
      </c>
      <c r="B147" s="1842" t="s">
        <v>2112</v>
      </c>
      <c r="C147" s="1852"/>
      <c r="D147" s="1852"/>
      <c r="E147" s="1852"/>
      <c r="F147" s="1844">
        <v>0.05</v>
      </c>
    </row>
    <row r="148" spans="1:6" ht="24.75" thickBot="1">
      <c r="A148" s="1838" t="s">
        <v>1409</v>
      </c>
      <c r="B148" s="1842" t="s">
        <v>2113</v>
      </c>
      <c r="C148" s="1852"/>
      <c r="D148" s="1852"/>
      <c r="E148" s="1852"/>
      <c r="F148" s="1844">
        <v>0.05</v>
      </c>
    </row>
    <row r="149" spans="1:6" ht="24.75" thickBot="1">
      <c r="A149" s="1838" t="s">
        <v>1409</v>
      </c>
      <c r="B149" s="1842" t="s">
        <v>2114</v>
      </c>
      <c r="C149" s="1852"/>
      <c r="D149" s="1852"/>
      <c r="E149" s="1852"/>
      <c r="F149" s="1844">
        <v>0.05</v>
      </c>
    </row>
    <row r="150" spans="1:6" ht="24.75" thickBot="1">
      <c r="A150" s="1838" t="s">
        <v>1409</v>
      </c>
      <c r="B150" s="1842" t="s">
        <v>2115</v>
      </c>
      <c r="C150" s="1852"/>
      <c r="D150" s="1852"/>
      <c r="E150" s="1852"/>
      <c r="F150" s="1844">
        <v>0.05</v>
      </c>
    </row>
    <row r="151" spans="1:6" ht="24.75" thickBot="1">
      <c r="A151" s="1838" t="s">
        <v>1409</v>
      </c>
      <c r="B151" s="1842" t="s">
        <v>2116</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2117</v>
      </c>
      <c r="C153" s="1852"/>
      <c r="D153" s="1852"/>
      <c r="E153" s="1852"/>
      <c r="F153" s="1844">
        <v>0.05</v>
      </c>
    </row>
    <row r="154" spans="1:6" ht="14.25" thickBot="1">
      <c r="A154" s="1838" t="s">
        <v>1409</v>
      </c>
      <c r="B154" s="1842" t="s">
        <v>2118</v>
      </c>
      <c r="C154" s="1852"/>
      <c r="D154" s="1852"/>
      <c r="E154" s="1852"/>
      <c r="F154" s="1844">
        <v>0.05</v>
      </c>
    </row>
    <row r="155" spans="1:6" ht="24.75" thickBot="1">
      <c r="A155" s="1838" t="s">
        <v>1409</v>
      </c>
      <c r="B155" s="1842" t="s">
        <v>2119</v>
      </c>
      <c r="C155" s="1852"/>
      <c r="D155" s="1852"/>
      <c r="E155" s="1852"/>
      <c r="F155" s="1844">
        <v>0.05</v>
      </c>
    </row>
    <row r="156" spans="1:6" ht="24.75" thickBot="1">
      <c r="A156" s="1838" t="s">
        <v>1409</v>
      </c>
      <c r="B156" s="1842" t="s">
        <v>2120</v>
      </c>
      <c r="C156" s="1852"/>
      <c r="D156" s="1852"/>
      <c r="E156" s="1852"/>
      <c r="F156" s="1844">
        <v>0.05</v>
      </c>
    </row>
    <row r="157" spans="1:6" ht="14.25" thickBot="1">
      <c r="A157" s="1846" t="s">
        <v>1409</v>
      </c>
      <c r="B157" s="1853" t="s">
        <v>2121</v>
      </c>
      <c r="C157" s="1849"/>
      <c r="D157" s="1849"/>
      <c r="E157" s="1849"/>
      <c r="F157" s="1854">
        <v>0.05</v>
      </c>
    </row>
    <row r="158" spans="1:6" ht="14.25" thickBot="1">
      <c r="A158" s="1838" t="s">
        <v>1411</v>
      </c>
      <c r="B158" s="1839" t="s">
        <v>2122</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2123</v>
      </c>
      <c r="C171" s="1843">
        <v>0.127</v>
      </c>
      <c r="D171" s="1843">
        <v>0.126</v>
      </c>
      <c r="E171" s="1843">
        <v>0.126</v>
      </c>
      <c r="F171" s="1844">
        <v>0.11799999999999999</v>
      </c>
    </row>
    <row r="172" spans="1:6" ht="14.25" thickBot="1">
      <c r="A172" s="1838" t="s">
        <v>1411</v>
      </c>
      <c r="B172" s="1842" t="s">
        <v>2124</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2125</v>
      </c>
      <c r="C174" s="1843">
        <v>0.13</v>
      </c>
      <c r="D174" s="1843">
        <v>0.13</v>
      </c>
      <c r="E174" s="1843">
        <v>0.13</v>
      </c>
      <c r="F174" s="1844">
        <v>0.13</v>
      </c>
    </row>
    <row r="175" spans="1:6" ht="14.25" thickBot="1">
      <c r="A175" s="1838" t="s">
        <v>1411</v>
      </c>
      <c r="B175" s="1842" t="s">
        <v>2126</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2127</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2128</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2129</v>
      </c>
      <c r="C185" s="1843">
        <v>0.127</v>
      </c>
      <c r="D185" s="1843">
        <v>0.127</v>
      </c>
      <c r="E185" s="1843">
        <v>0.128</v>
      </c>
      <c r="F185" s="1844">
        <v>0.13</v>
      </c>
    </row>
    <row r="186" spans="1:6" ht="24.75" thickBot="1">
      <c r="A186" s="1838" t="s">
        <v>1411</v>
      </c>
      <c r="B186" s="1842" t="s">
        <v>2130</v>
      </c>
      <c r="C186" s="1852"/>
      <c r="D186" s="1852"/>
      <c r="E186" s="1852"/>
      <c r="F186" s="1844">
        <v>0.05</v>
      </c>
    </row>
    <row r="187" spans="1:6" ht="14.25" thickBot="1">
      <c r="A187" s="1838" t="s">
        <v>1411</v>
      </c>
      <c r="B187" s="1842" t="s">
        <v>2131</v>
      </c>
      <c r="C187" s="1852"/>
      <c r="D187" s="1852"/>
      <c r="E187" s="1852"/>
      <c r="F187" s="1844">
        <v>0.05</v>
      </c>
    </row>
    <row r="188" spans="1:6" ht="14.25" thickBot="1">
      <c r="A188" s="1838" t="s">
        <v>1411</v>
      </c>
      <c r="B188" s="1842" t="s">
        <v>2132</v>
      </c>
      <c r="C188" s="1852"/>
      <c r="D188" s="1852"/>
      <c r="E188" s="1852"/>
      <c r="F188" s="1844">
        <v>0.05</v>
      </c>
    </row>
    <row r="189" spans="1:6" ht="24.75" thickBot="1">
      <c r="A189" s="1838" t="s">
        <v>1411</v>
      </c>
      <c r="B189" s="1842" t="s">
        <v>2133</v>
      </c>
      <c r="C189" s="1852"/>
      <c r="D189" s="1852"/>
      <c r="E189" s="1852"/>
      <c r="F189" s="1844">
        <v>0.05</v>
      </c>
    </row>
    <row r="190" spans="1:6" ht="24.75" thickBot="1">
      <c r="A190" s="1838" t="s">
        <v>1411</v>
      </c>
      <c r="B190" s="1842" t="s">
        <v>2134</v>
      </c>
      <c r="C190" s="1852"/>
      <c r="D190" s="1852"/>
      <c r="E190" s="1852"/>
      <c r="F190" s="1844">
        <v>0.05</v>
      </c>
    </row>
    <row r="191" spans="1:6" ht="24.75" thickBot="1">
      <c r="A191" s="1838" t="s">
        <v>1411</v>
      </c>
      <c r="B191" s="1842" t="s">
        <v>2135</v>
      </c>
      <c r="C191" s="1852"/>
      <c r="D191" s="1852"/>
      <c r="E191" s="1852"/>
      <c r="F191" s="1844">
        <v>0.05</v>
      </c>
    </row>
    <row r="192" spans="1:6" ht="24.75" thickBot="1">
      <c r="A192" s="1838" t="s">
        <v>1411</v>
      </c>
      <c r="B192" s="1842" t="s">
        <v>2136</v>
      </c>
      <c r="C192" s="1852"/>
      <c r="D192" s="1852"/>
      <c r="E192" s="1852"/>
      <c r="F192" s="1844">
        <v>0.05</v>
      </c>
    </row>
    <row r="193" spans="1:6" ht="24.75" thickBot="1">
      <c r="A193" s="1838" t="s">
        <v>1411</v>
      </c>
      <c r="B193" s="1842" t="s">
        <v>2137</v>
      </c>
      <c r="C193" s="1852"/>
      <c r="D193" s="1852"/>
      <c r="E193" s="1852"/>
      <c r="F193" s="1844">
        <v>0.05</v>
      </c>
    </row>
    <row r="194" spans="1:6" ht="24.75" thickBot="1">
      <c r="A194" s="1838" t="s">
        <v>1411</v>
      </c>
      <c r="B194" s="1842" t="s">
        <v>2138</v>
      </c>
      <c r="C194" s="1852"/>
      <c r="D194" s="1852"/>
      <c r="E194" s="1852"/>
      <c r="F194" s="1844">
        <v>0.05</v>
      </c>
    </row>
    <row r="195" spans="1:6" ht="14.25" thickBot="1">
      <c r="A195" s="1838" t="s">
        <v>1411</v>
      </c>
      <c r="B195" s="1842" t="s">
        <v>2139</v>
      </c>
      <c r="C195" s="1852"/>
      <c r="D195" s="1852"/>
      <c r="E195" s="1852"/>
      <c r="F195" s="1844">
        <v>0.05</v>
      </c>
    </row>
    <row r="196" spans="1:6" ht="24.75" thickBot="1">
      <c r="A196" s="1838" t="s">
        <v>1411</v>
      </c>
      <c r="B196" s="1842" t="s">
        <v>2140</v>
      </c>
      <c r="C196" s="1852"/>
      <c r="D196" s="1852"/>
      <c r="E196" s="1852"/>
      <c r="F196" s="1844">
        <v>0.05</v>
      </c>
    </row>
    <row r="197" spans="1:6" ht="24.75" thickBot="1">
      <c r="A197" s="1838" t="s">
        <v>1411</v>
      </c>
      <c r="B197" s="1842" t="s">
        <v>2141</v>
      </c>
      <c r="C197" s="1852"/>
      <c r="D197" s="1852"/>
      <c r="E197" s="1852"/>
      <c r="F197" s="1844">
        <v>0.05</v>
      </c>
    </row>
    <row r="198" spans="1:6" ht="24.75" thickBot="1">
      <c r="A198" s="1838" t="s">
        <v>1411</v>
      </c>
      <c r="B198" s="1842" t="s">
        <v>2142</v>
      </c>
      <c r="C198" s="1852"/>
      <c r="D198" s="1852"/>
      <c r="E198" s="1852"/>
      <c r="F198" s="1844">
        <v>0.05</v>
      </c>
    </row>
    <row r="199" spans="1:6" ht="24.75" thickBot="1">
      <c r="A199" s="1838" t="s">
        <v>1411</v>
      </c>
      <c r="B199" s="1842" t="s">
        <v>2143</v>
      </c>
      <c r="C199" s="1852"/>
      <c r="D199" s="1852"/>
      <c r="E199" s="1852"/>
      <c r="F199" s="1844">
        <v>0.05</v>
      </c>
    </row>
    <row r="200" spans="1:6" ht="24.75" thickBot="1">
      <c r="A200" s="1838" t="s">
        <v>1411</v>
      </c>
      <c r="B200" s="1842" t="s">
        <v>2144</v>
      </c>
      <c r="C200" s="1852"/>
      <c r="D200" s="1852"/>
      <c r="E200" s="1852"/>
      <c r="F200" s="1844">
        <v>0.05</v>
      </c>
    </row>
    <row r="201" spans="1:6" ht="24.75" thickBot="1">
      <c r="A201" s="1838" t="s">
        <v>1411</v>
      </c>
      <c r="B201" s="1842" t="s">
        <v>2145</v>
      </c>
      <c r="C201" s="1852"/>
      <c r="D201" s="1852"/>
      <c r="E201" s="1852"/>
      <c r="F201" s="1844">
        <v>0.05</v>
      </c>
    </row>
    <row r="202" spans="1:6" ht="24.75" thickBot="1">
      <c r="A202" s="1838" t="s">
        <v>1411</v>
      </c>
      <c r="B202" s="1842" t="s">
        <v>2146</v>
      </c>
      <c r="C202" s="1852"/>
      <c r="D202" s="1852"/>
      <c r="E202" s="1852"/>
      <c r="F202" s="1844">
        <v>0.05</v>
      </c>
    </row>
    <row r="203" spans="1:6" ht="24.75" thickBot="1">
      <c r="A203" s="1838" t="s">
        <v>1411</v>
      </c>
      <c r="B203" s="1842" t="s">
        <v>2147</v>
      </c>
      <c r="C203" s="1852"/>
      <c r="D203" s="1852"/>
      <c r="E203" s="1852"/>
      <c r="F203" s="1844">
        <v>0.05</v>
      </c>
    </row>
    <row r="204" spans="1:6" ht="14.25" thickBot="1">
      <c r="A204" s="1838" t="s">
        <v>1411</v>
      </c>
      <c r="B204" s="1842" t="s">
        <v>2148</v>
      </c>
      <c r="C204" s="1852"/>
      <c r="D204" s="1852"/>
      <c r="E204" s="1852"/>
      <c r="F204" s="1844">
        <v>0.05</v>
      </c>
    </row>
    <row r="205" spans="1:6" ht="14.25" thickBot="1">
      <c r="A205" s="1846" t="s">
        <v>1411</v>
      </c>
      <c r="B205" s="1853" t="s">
        <v>2149</v>
      </c>
      <c r="C205" s="1849"/>
      <c r="D205" s="1849"/>
      <c r="E205" s="1849"/>
      <c r="F205" s="1854">
        <v>0.05</v>
      </c>
    </row>
    <row r="206" spans="1:6" ht="14.25" thickBot="1">
      <c r="A206" s="1838" t="s">
        <v>1413</v>
      </c>
      <c r="B206" s="1839" t="s">
        <v>2150</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2151</v>
      </c>
      <c r="C210" s="1843">
        <v>0.15</v>
      </c>
      <c r="D210" s="1843">
        <v>0.15</v>
      </c>
      <c r="E210" s="1843">
        <v>0.15</v>
      </c>
      <c r="F210" s="1844">
        <v>0.13800000000000001</v>
      </c>
    </row>
    <row r="211" spans="1:6" ht="14.25" thickBot="1">
      <c r="A211" s="1838" t="s">
        <v>1413</v>
      </c>
      <c r="B211" s="1842" t="s">
        <v>2152</v>
      </c>
      <c r="C211" s="1843">
        <v>0.13700000000000001</v>
      </c>
      <c r="D211" s="1843">
        <v>0.13500000000000001</v>
      </c>
      <c r="E211" s="1843">
        <v>0.13600000000000001</v>
      </c>
      <c r="F211" s="1844">
        <v>0.1</v>
      </c>
    </row>
    <row r="212" spans="1:6" ht="14.25" thickBot="1">
      <c r="A212" s="1838" t="s">
        <v>1413</v>
      </c>
      <c r="B212" s="1842" t="s">
        <v>2153</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2154</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2155</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2156</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2157</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2158</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2159</v>
      </c>
      <c r="C231" s="1843">
        <v>0.128</v>
      </c>
      <c r="D231" s="1843">
        <v>0.125</v>
      </c>
      <c r="E231" s="1843">
        <v>0.13200000000000001</v>
      </c>
      <c r="F231" s="1851"/>
    </row>
    <row r="232" spans="1:6" ht="14.25" thickBot="1">
      <c r="A232" s="1838" t="s">
        <v>1413</v>
      </c>
      <c r="B232" s="1842" t="s">
        <v>2160</v>
      </c>
      <c r="C232" s="1843">
        <v>0.14499999999999999</v>
      </c>
      <c r="D232" s="1843">
        <v>0.14399999999999999</v>
      </c>
      <c r="E232" s="1843">
        <v>0.14599999999999999</v>
      </c>
      <c r="F232" s="1844">
        <v>0.13800000000000001</v>
      </c>
    </row>
    <row r="233" spans="1:6" ht="14.25" thickBot="1">
      <c r="A233" s="1838" t="s">
        <v>1413</v>
      </c>
      <c r="B233" s="1842" t="s">
        <v>2161</v>
      </c>
      <c r="C233" s="1843">
        <v>0.14499999999999999</v>
      </c>
      <c r="D233" s="1843">
        <v>0.14299999999999999</v>
      </c>
      <c r="E233" s="1843">
        <v>0.14199999999999999</v>
      </c>
      <c r="F233" s="1851"/>
    </row>
    <row r="234" spans="1:6" ht="14.25" thickBot="1">
      <c r="A234" s="1838" t="s">
        <v>1413</v>
      </c>
      <c r="B234" s="1842" t="s">
        <v>2162</v>
      </c>
      <c r="C234" s="1843">
        <v>0.14000000000000001</v>
      </c>
      <c r="D234" s="1843">
        <v>0.14000000000000001</v>
      </c>
      <c r="E234" s="1843">
        <v>0.14399999999999999</v>
      </c>
      <c r="F234" s="1851"/>
    </row>
    <row r="235" spans="1:6" ht="14.25" thickBot="1">
      <c r="A235" s="1838" t="s">
        <v>1413</v>
      </c>
      <c r="B235" s="1842" t="s">
        <v>2163</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2164</v>
      </c>
      <c r="C237" s="1852"/>
      <c r="D237" s="1852"/>
      <c r="E237" s="1852"/>
      <c r="F237" s="1844">
        <v>0.05</v>
      </c>
    </row>
    <row r="238" spans="1:6" ht="24.75" thickBot="1">
      <c r="A238" s="1838" t="s">
        <v>1413</v>
      </c>
      <c r="B238" s="1842" t="s">
        <v>2165</v>
      </c>
      <c r="C238" s="1852"/>
      <c r="D238" s="1852"/>
      <c r="E238" s="1852"/>
      <c r="F238" s="1844">
        <v>0.05</v>
      </c>
    </row>
    <row r="239" spans="1:6" ht="24.75" thickBot="1">
      <c r="A239" s="1838" t="s">
        <v>1413</v>
      </c>
      <c r="B239" s="1842" t="s">
        <v>2166</v>
      </c>
      <c r="C239" s="1852"/>
      <c r="D239" s="1852"/>
      <c r="E239" s="1852"/>
      <c r="F239" s="1844">
        <v>0.05</v>
      </c>
    </row>
    <row r="240" spans="1:6" ht="24.75" thickBot="1">
      <c r="A240" s="1838" t="s">
        <v>1413</v>
      </c>
      <c r="B240" s="1842" t="s">
        <v>2167</v>
      </c>
      <c r="C240" s="1852"/>
      <c r="D240" s="1852"/>
      <c r="E240" s="1852"/>
      <c r="F240" s="1844">
        <v>0.05</v>
      </c>
    </row>
    <row r="241" spans="1:6" ht="24.75" thickBot="1">
      <c r="A241" s="1838" t="s">
        <v>1413</v>
      </c>
      <c r="B241" s="1842" t="s">
        <v>2168</v>
      </c>
      <c r="C241" s="1852"/>
      <c r="D241" s="1852"/>
      <c r="E241" s="1852"/>
      <c r="F241" s="1844">
        <v>0.05</v>
      </c>
    </row>
    <row r="242" spans="1:6" ht="24.75" thickBot="1">
      <c r="A242" s="1838" t="s">
        <v>1413</v>
      </c>
      <c r="B242" s="1842" t="s">
        <v>2169</v>
      </c>
      <c r="C242" s="1852"/>
      <c r="D242" s="1852"/>
      <c r="E242" s="1852"/>
      <c r="F242" s="1844">
        <v>0.05</v>
      </c>
    </row>
    <row r="243" spans="1:6" ht="24.75" thickBot="1">
      <c r="A243" s="1838" t="s">
        <v>1413</v>
      </c>
      <c r="B243" s="1842" t="s">
        <v>2170</v>
      </c>
      <c r="C243" s="1852"/>
      <c r="D243" s="1852"/>
      <c r="E243" s="1852"/>
      <c r="F243" s="1844">
        <v>0.05</v>
      </c>
    </row>
    <row r="244" spans="1:6" ht="24.75" thickBot="1">
      <c r="A244" s="1846" t="s">
        <v>1413</v>
      </c>
      <c r="B244" s="1853" t="s">
        <v>2171</v>
      </c>
      <c r="C244" s="1849"/>
      <c r="D244" s="1849"/>
      <c r="E244" s="1849"/>
      <c r="F244" s="1854">
        <v>0.05</v>
      </c>
    </row>
    <row r="245" spans="1:6" ht="14.25" thickBot="1">
      <c r="A245" s="1838" t="s">
        <v>1415</v>
      </c>
      <c r="B245" s="1839" t="s">
        <v>2172</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2173</v>
      </c>
      <c r="C247" s="1843">
        <v>0.15</v>
      </c>
      <c r="D247" s="1843">
        <v>0.15</v>
      </c>
      <c r="E247" s="1843">
        <v>0.15</v>
      </c>
      <c r="F247" s="1844">
        <v>0.15</v>
      </c>
    </row>
    <row r="248" spans="1:6" ht="14.25" thickBot="1">
      <c r="A248" s="1838" t="s">
        <v>1415</v>
      </c>
      <c r="B248" s="1842" t="s">
        <v>2174</v>
      </c>
      <c r="C248" s="1843">
        <v>0.15</v>
      </c>
      <c r="D248" s="1843">
        <v>0.15</v>
      </c>
      <c r="E248" s="1843">
        <v>0.15</v>
      </c>
      <c r="F248" s="1844">
        <v>0.14000000000000001</v>
      </c>
    </row>
    <row r="249" spans="1:6" ht="14.25" thickBot="1">
      <c r="A249" s="1838" t="s">
        <v>1415</v>
      </c>
      <c r="B249" s="1842" t="s">
        <v>2175</v>
      </c>
      <c r="C249" s="1843">
        <v>0.15</v>
      </c>
      <c r="D249" s="1843">
        <v>0.14899999999999999</v>
      </c>
      <c r="E249" s="1843">
        <v>0.15</v>
      </c>
      <c r="F249" s="1844">
        <v>0.1</v>
      </c>
    </row>
    <row r="250" spans="1:6" ht="14.25" thickBot="1">
      <c r="A250" s="1838" t="s">
        <v>1415</v>
      </c>
      <c r="B250" s="1842" t="s">
        <v>2176</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2177</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2178</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2179</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2180</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2181</v>
      </c>
      <c r="C273" s="1843">
        <v>0.14199999999999999</v>
      </c>
      <c r="D273" s="1843">
        <v>0.14299999999999999</v>
      </c>
      <c r="E273" s="1843">
        <v>0.15</v>
      </c>
      <c r="F273" s="1844">
        <v>0.1</v>
      </c>
    </row>
    <row r="274" spans="1:6" ht="14.25" thickBot="1">
      <c r="A274" s="1838" t="s">
        <v>1415</v>
      </c>
      <c r="B274" s="1842" t="s">
        <v>2182</v>
      </c>
      <c r="C274" s="1843">
        <v>0.14799999999999999</v>
      </c>
      <c r="D274" s="1843">
        <v>0.14799999999999999</v>
      </c>
      <c r="E274" s="1843">
        <v>0.15</v>
      </c>
      <c r="F274" s="1844">
        <v>6.7000000000000004E-2</v>
      </c>
    </row>
    <row r="275" spans="1:6" ht="14.25" thickBot="1">
      <c r="A275" s="1838" t="s">
        <v>1415</v>
      </c>
      <c r="B275" s="1842" t="s">
        <v>2183</v>
      </c>
      <c r="C275" s="1843">
        <v>0.15</v>
      </c>
      <c r="D275" s="1843">
        <v>0.15</v>
      </c>
      <c r="E275" s="1843">
        <v>0.15</v>
      </c>
      <c r="F275" s="1844">
        <v>0.15</v>
      </c>
    </row>
    <row r="276" spans="1:6" ht="14.25" thickBot="1">
      <c r="A276" s="1838" t="s">
        <v>1415</v>
      </c>
      <c r="B276" s="1842" t="s">
        <v>2184</v>
      </c>
      <c r="C276" s="1843">
        <v>0.14499999999999999</v>
      </c>
      <c r="D276" s="1843">
        <v>0.14299999999999999</v>
      </c>
      <c r="E276" s="1843">
        <v>0.15</v>
      </c>
      <c r="F276" s="1844">
        <v>5.8999999999999997E-2</v>
      </c>
    </row>
    <row r="277" spans="1:6" ht="14.25" thickBot="1">
      <c r="A277" s="1838" t="s">
        <v>1415</v>
      </c>
      <c r="B277" s="1842" t="s">
        <v>2185</v>
      </c>
      <c r="C277" s="1843">
        <v>0.15</v>
      </c>
      <c r="D277" s="1843">
        <v>0.15</v>
      </c>
      <c r="E277" s="1843">
        <v>0.15</v>
      </c>
      <c r="F277" s="1844">
        <v>0.121</v>
      </c>
    </row>
    <row r="278" spans="1:6" ht="14.25" thickBot="1">
      <c r="A278" s="1838" t="s">
        <v>1415</v>
      </c>
      <c r="B278" s="1842" t="s">
        <v>2186</v>
      </c>
      <c r="C278" s="1843">
        <v>0.15</v>
      </c>
      <c r="D278" s="1843">
        <v>0.15</v>
      </c>
      <c r="E278" s="1843">
        <v>0.15</v>
      </c>
      <c r="F278" s="1844">
        <v>0.13800000000000001</v>
      </c>
    </row>
    <row r="279" spans="1:6" ht="24.75" thickBot="1">
      <c r="A279" s="1838" t="s">
        <v>1415</v>
      </c>
      <c r="B279" s="1842" t="s">
        <v>2187</v>
      </c>
      <c r="C279" s="1852"/>
      <c r="D279" s="1852"/>
      <c r="E279" s="1852"/>
      <c r="F279" s="1844">
        <v>0.05</v>
      </c>
    </row>
    <row r="280" spans="1:6" ht="24.75" thickBot="1">
      <c r="A280" s="1838" t="s">
        <v>1415</v>
      </c>
      <c r="B280" s="1842" t="s">
        <v>2188</v>
      </c>
      <c r="C280" s="1852"/>
      <c r="D280" s="1852"/>
      <c r="E280" s="1852"/>
      <c r="F280" s="1844">
        <v>0.05</v>
      </c>
    </row>
    <row r="281" spans="1:6" ht="24.75" thickBot="1">
      <c r="A281" s="1838" t="s">
        <v>1415</v>
      </c>
      <c r="B281" s="1842" t="s">
        <v>2189</v>
      </c>
      <c r="C281" s="1852"/>
      <c r="D281" s="1852"/>
      <c r="E281" s="1852"/>
      <c r="F281" s="1844">
        <v>0.05</v>
      </c>
    </row>
    <row r="282" spans="1:6" ht="24.75" thickBot="1">
      <c r="A282" s="1838" t="s">
        <v>1415</v>
      </c>
      <c r="B282" s="1842" t="s">
        <v>2190</v>
      </c>
      <c r="C282" s="1852"/>
      <c r="D282" s="1852"/>
      <c r="E282" s="1852"/>
      <c r="F282" s="1844">
        <v>0.05</v>
      </c>
    </row>
    <row r="283" spans="1:6" ht="24.75" thickBot="1">
      <c r="A283" s="1838" t="s">
        <v>1415</v>
      </c>
      <c r="B283" s="1842" t="s">
        <v>2191</v>
      </c>
      <c r="C283" s="1852"/>
      <c r="D283" s="1852"/>
      <c r="E283" s="1852"/>
      <c r="F283" s="1844">
        <v>0.05</v>
      </c>
    </row>
    <row r="284" spans="1:6" ht="24.75" thickBot="1">
      <c r="A284" s="1838" t="s">
        <v>1415</v>
      </c>
      <c r="B284" s="1842" t="s">
        <v>2192</v>
      </c>
      <c r="C284" s="1852"/>
      <c r="D284" s="1852"/>
      <c r="E284" s="1852"/>
      <c r="F284" s="1844">
        <v>0.05</v>
      </c>
    </row>
    <row r="285" spans="1:6" ht="24.75" thickBot="1">
      <c r="A285" s="1838" t="s">
        <v>1415</v>
      </c>
      <c r="B285" s="1842" t="s">
        <v>2193</v>
      </c>
      <c r="C285" s="1852"/>
      <c r="D285" s="1852"/>
      <c r="E285" s="1852"/>
      <c r="F285" s="1844">
        <v>0.05</v>
      </c>
    </row>
    <row r="286" spans="1:6" ht="24.75" thickBot="1">
      <c r="A286" s="1838" t="s">
        <v>1415</v>
      </c>
      <c r="B286" s="1842" t="s">
        <v>2194</v>
      </c>
      <c r="C286" s="1852"/>
      <c r="D286" s="1852"/>
      <c r="E286" s="1852"/>
      <c r="F286" s="1844">
        <v>0.05</v>
      </c>
    </row>
    <row r="287" spans="1:6" ht="24.75" thickBot="1">
      <c r="A287" s="1838" t="s">
        <v>1415</v>
      </c>
      <c r="B287" s="1842" t="s">
        <v>2195</v>
      </c>
      <c r="C287" s="1852"/>
      <c r="D287" s="1852"/>
      <c r="E287" s="1852"/>
      <c r="F287" s="1844">
        <v>0.05</v>
      </c>
    </row>
    <row r="288" spans="1:6" ht="24.75" thickBot="1">
      <c r="A288" s="1838" t="s">
        <v>1415</v>
      </c>
      <c r="B288" s="1842" t="s">
        <v>2196</v>
      </c>
      <c r="C288" s="1852"/>
      <c r="D288" s="1852"/>
      <c r="E288" s="1852"/>
      <c r="F288" s="1844">
        <v>0.05</v>
      </c>
    </row>
    <row r="289" spans="1:6" ht="24.75" thickBot="1">
      <c r="A289" s="1846" t="s">
        <v>1415</v>
      </c>
      <c r="B289" s="1853" t="s">
        <v>2197</v>
      </c>
      <c r="C289" s="1849"/>
      <c r="D289" s="1849"/>
      <c r="E289" s="1849"/>
      <c r="F289" s="1854">
        <v>0.05</v>
      </c>
    </row>
    <row r="290" spans="1:6" ht="14.25" thickBot="1">
      <c r="A290" s="1838" t="s">
        <v>1419</v>
      </c>
      <c r="B290" s="1839" t="s">
        <v>2198</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2199</v>
      </c>
      <c r="C292" s="1843">
        <v>0.15</v>
      </c>
      <c r="D292" s="1843">
        <v>0.15</v>
      </c>
      <c r="E292" s="1843">
        <v>0.15</v>
      </c>
      <c r="F292" s="1844">
        <v>0.14699999999999999</v>
      </c>
    </row>
    <row r="293" spans="1:6" ht="14.25" thickBot="1">
      <c r="A293" s="1838" t="s">
        <v>1419</v>
      </c>
      <c r="B293" s="1842" t="s">
        <v>2200</v>
      </c>
      <c r="C293" s="1852"/>
      <c r="D293" s="1852"/>
      <c r="E293" s="1852"/>
      <c r="F293" s="1844">
        <v>0.1</v>
      </c>
    </row>
    <row r="294" spans="1:6" ht="14.25" thickBot="1">
      <c r="A294" s="1838" t="s">
        <v>1419</v>
      </c>
      <c r="B294" s="1842" t="s">
        <v>2201</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2202</v>
      </c>
      <c r="C296" s="1843">
        <v>0.15</v>
      </c>
      <c r="D296" s="1843">
        <v>0.15</v>
      </c>
      <c r="E296" s="1843">
        <v>0.15</v>
      </c>
      <c r="F296" s="1844">
        <v>0.15</v>
      </c>
    </row>
    <row r="297" spans="1:6" ht="14.25" thickBot="1">
      <c r="A297" s="1838" t="s">
        <v>1419</v>
      </c>
      <c r="B297" s="1842" t="s">
        <v>2203</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2204</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2205</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2206</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2207</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2208</v>
      </c>
      <c r="C310" s="1843">
        <v>0.15</v>
      </c>
      <c r="D310" s="1843">
        <v>0.15</v>
      </c>
      <c r="E310" s="1843">
        <v>0.15</v>
      </c>
      <c r="F310" s="1844">
        <v>0.13700000000000001</v>
      </c>
    </row>
    <row r="311" spans="1:6" ht="14.25" thickBot="1">
      <c r="A311" s="1838" t="s">
        <v>1419</v>
      </c>
      <c r="B311" s="1842" t="s">
        <v>2209</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2210</v>
      </c>
      <c r="C313" s="1843">
        <v>0.15</v>
      </c>
      <c r="D313" s="1843">
        <v>0.15</v>
      </c>
      <c r="E313" s="1843">
        <v>0.15</v>
      </c>
      <c r="F313" s="1844">
        <v>0.15</v>
      </c>
    </row>
    <row r="314" spans="1:6" ht="24.75" thickBot="1">
      <c r="A314" s="1838" t="s">
        <v>1419</v>
      </c>
      <c r="B314" s="1842" t="s">
        <v>2211</v>
      </c>
      <c r="C314" s="1852"/>
      <c r="D314" s="1852"/>
      <c r="E314" s="1852"/>
      <c r="F314" s="1844">
        <v>0.05</v>
      </c>
    </row>
    <row r="315" spans="1:6" ht="24.75" thickBot="1">
      <c r="A315" s="1838" t="s">
        <v>1419</v>
      </c>
      <c r="B315" s="1842" t="s">
        <v>2212</v>
      </c>
      <c r="C315" s="1852"/>
      <c r="D315" s="1852"/>
      <c r="E315" s="1852"/>
      <c r="F315" s="1844">
        <v>0.05</v>
      </c>
    </row>
    <row r="316" spans="1:6" ht="24.75" thickBot="1">
      <c r="A316" s="1846" t="s">
        <v>1419</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1107</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1176</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1196</v>
      </c>
      <c r="C328" s="1843">
        <v>0.15</v>
      </c>
      <c r="D328" s="1843">
        <v>0.15</v>
      </c>
      <c r="E328" s="1843">
        <v>0.15</v>
      </c>
      <c r="F328" s="1844">
        <v>0.14099999999999999</v>
      </c>
    </row>
    <row r="329" spans="1:6" ht="14.25" thickBot="1">
      <c r="A329" s="1838" t="s">
        <v>2214</v>
      </c>
      <c r="B329" s="1842" t="s">
        <v>1206</v>
      </c>
      <c r="C329" s="1843">
        <v>0.15</v>
      </c>
      <c r="D329" s="1843">
        <v>0.15</v>
      </c>
      <c r="E329" s="1843">
        <v>0.15</v>
      </c>
      <c r="F329" s="1844">
        <v>0.15</v>
      </c>
    </row>
    <row r="330" spans="1:6" ht="14.25" thickBot="1">
      <c r="A330" s="1838" t="s">
        <v>2214</v>
      </c>
      <c r="B330" s="1842" t="s">
        <v>1216</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1236</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1256</v>
      </c>
      <c r="C334" s="1843">
        <v>0.15</v>
      </c>
      <c r="D334" s="1843">
        <v>0.15</v>
      </c>
      <c r="E334" s="1843">
        <v>0.15</v>
      </c>
      <c r="F334" s="1844">
        <v>0.15</v>
      </c>
    </row>
    <row r="335" spans="1:6" ht="14.25" thickBot="1">
      <c r="A335" s="1838" t="s">
        <v>2214</v>
      </c>
      <c r="B335" s="1842" t="s">
        <v>1266</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1284</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02" t="s">
        <v>2573</v>
      </c>
      <c r="C1" s="3502"/>
      <c r="D1" s="3502"/>
      <c r="E1" s="3502"/>
      <c r="F1" s="3502"/>
      <c r="G1" s="3501" t="s">
        <v>2574</v>
      </c>
      <c r="H1" s="3501"/>
      <c r="I1" s="3501"/>
      <c r="J1" s="3501"/>
      <c r="K1" s="3501"/>
      <c r="L1" s="3501"/>
      <c r="N1" s="3501" t="s">
        <v>2575</v>
      </c>
      <c r="O1" s="3501"/>
      <c r="P1" s="3501"/>
      <c r="Q1" s="3501"/>
      <c r="R1" s="2616"/>
      <c r="S1" s="3501" t="s">
        <v>2576</v>
      </c>
      <c r="T1" s="3501"/>
      <c r="U1" s="3501"/>
      <c r="V1" s="3501"/>
      <c r="X1" s="3500" t="s">
        <v>2636</v>
      </c>
      <c r="Y1" s="3501"/>
      <c r="Z1" s="3501"/>
      <c r="AA1" s="3501"/>
      <c r="AB1" s="3501"/>
      <c r="AD1" s="3500" t="s">
        <v>2640</v>
      </c>
      <c r="AE1" s="3501"/>
      <c r="AF1" s="3501"/>
      <c r="AG1" s="3501"/>
      <c r="AH1" s="3501"/>
    </row>
    <row r="2" spans="1:34" s="2717" customFormat="1" ht="14.25" thickBot="1">
      <c r="B2" s="2725" t="s">
        <v>2577</v>
      </c>
      <c r="C2" s="2725" t="s">
        <v>2638</v>
      </c>
      <c r="D2" s="2718" t="s">
        <v>1644</v>
      </c>
      <c r="E2" s="2718" t="s">
        <v>1947</v>
      </c>
      <c r="F2" s="2725" t="s">
        <v>2639</v>
      </c>
      <c r="G2" s="2721"/>
      <c r="H2" s="2720"/>
      <c r="I2" s="2725" t="s">
        <v>2953</v>
      </c>
      <c r="J2" s="2718" t="s">
        <v>2955</v>
      </c>
      <c r="K2" s="2718" t="s">
        <v>2956</v>
      </c>
      <c r="L2" s="2725" t="s">
        <v>2957</v>
      </c>
      <c r="N2" s="2725" t="s">
        <v>2577</v>
      </c>
      <c r="O2" s="2718" t="s">
        <v>2954</v>
      </c>
      <c r="P2" s="2718" t="s">
        <v>1947</v>
      </c>
      <c r="Q2" s="2725" t="s">
        <v>2639</v>
      </c>
      <c r="R2" s="2719"/>
      <c r="S2" s="2725" t="s">
        <v>2577</v>
      </c>
      <c r="T2" s="2718" t="s">
        <v>2954</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79" customFormat="1" ht="14.25">
      <c r="A3" s="3091" t="s">
        <v>2966</v>
      </c>
      <c r="B3" s="3080"/>
      <c r="C3" s="3080"/>
      <c r="D3" s="3081"/>
      <c r="E3" s="3081"/>
      <c r="F3" s="3080"/>
      <c r="G3" s="3082"/>
      <c r="H3" s="3083"/>
      <c r="I3" s="3090">
        <f>ROUND(AVERAGE($I4:$I29),2)</f>
        <v>1.92</v>
      </c>
      <c r="J3" s="3090">
        <f>ROUND(AVERAGE($J4:$J29),2)</f>
        <v>1.34</v>
      </c>
      <c r="K3" s="3090">
        <f>ROUND(AVERAGE($K4:$K29),2)</f>
        <v>2.1</v>
      </c>
      <c r="L3" s="3090">
        <f>ROUND(AVERAGE($L4:$L29),2)</f>
        <v>1.35</v>
      </c>
      <c r="N3" s="3082"/>
      <c r="O3" s="3084"/>
      <c r="P3" s="3084"/>
      <c r="Q3" s="3084"/>
      <c r="R3" s="3084"/>
      <c r="S3" s="3082"/>
      <c r="T3" s="3084"/>
      <c r="U3" s="3084"/>
      <c r="V3" s="3084"/>
      <c r="W3" s="3087"/>
      <c r="X3" s="3085">
        <f>ROUND(SUMPRODUCT(PRODUCT(1+N3:N$28)),4)</f>
        <v>1.5586</v>
      </c>
      <c r="Y3" s="3085">
        <f>ROUND(SUMPRODUCT(PRODUCT(1+O3:O$28)),4)</f>
        <v>1.3633</v>
      </c>
      <c r="Z3" s="3085">
        <f t="shared" ref="Z3:Z26" si="0">Y3</f>
        <v>1.3633</v>
      </c>
      <c r="AA3" s="3085">
        <f>ROUND(SUMPRODUCT(PRODUCT(1+P3:P$28)),4)</f>
        <v>1.6221000000000001</v>
      </c>
      <c r="AB3" s="3085">
        <f>ROUND(SUMPRODUCT(PRODUCT(1+Q3:Q$28)),4)</f>
        <v>1.3777999999999999</v>
      </c>
      <c r="AD3" s="3086">
        <f>ROUND(AVERAGE(I3:I$29)/100,4)</f>
        <v>1.9199999999999998E-2</v>
      </c>
      <c r="AE3" s="3086">
        <f>ROUND(AVERAGE(J3:J$29)/100,4)</f>
        <v>1.34E-2</v>
      </c>
      <c r="AF3" s="3086">
        <f t="shared" ref="AF3:AF27" si="1">AE3</f>
        <v>1.34E-2</v>
      </c>
      <c r="AG3" s="3086">
        <f>ROUND(AVERAGE(K3:K$29)/100,4)</f>
        <v>2.1000000000000001E-2</v>
      </c>
      <c r="AH3" s="3086">
        <f>ROUND(AVERAGE(L3:L$29)/100,4)</f>
        <v>1.35E-2</v>
      </c>
    </row>
    <row r="4" spans="1:34" s="2710" customFormat="1" ht="14.25">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2995</v>
      </c>
      <c r="B5" s="2749">
        <f t="shared" ref="B5" si="2">B6*(1+N5)</f>
        <v>479.34737379023579</v>
      </c>
      <c r="C5" s="2749">
        <f t="shared" ref="C5" si="3">C6*(1+O5)</f>
        <v>351.4265287986122</v>
      </c>
      <c r="D5" s="2749">
        <f t="shared" ref="D5" si="4">C5</f>
        <v>351.4265287986122</v>
      </c>
      <c r="E5" s="2749">
        <f t="shared" ref="E5" si="5">E6*(1+P5)</f>
        <v>685.98209703803116</v>
      </c>
      <c r="F5" s="2749">
        <f t="shared" ref="F5" si="6">F6*(1+Q5)</f>
        <v>316.78315206651001</v>
      </c>
      <c r="G5" s="2716">
        <v>2020</v>
      </c>
      <c r="H5" s="3062">
        <v>1</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2967</v>
      </c>
      <c r="X5" s="3066">
        <f>ROUND(IF(项目基本情况!B8="出让",SUMPRODUCT(PRODUCT(1+N5:N$29)),SUMPRODUCT(PRODUCT(1+N5:N$28))),4)</f>
        <v>1.5586</v>
      </c>
      <c r="Y5" s="3066">
        <f>ROUND(IF(项目基本情况!B8="出让",SUMPRODUCT(PRODUCT(1+O5:O$29)),SUMPRODUCT(PRODUCT(1+O5:O$28))),4)</f>
        <v>1.3633</v>
      </c>
      <c r="Z5" s="3066">
        <f t="shared" ref="Z5" si="11">Y5</f>
        <v>1.3633</v>
      </c>
      <c r="AA5" s="3066">
        <f>ROUND(IF(项目基本情况!B8="出让",SUMPRODUCT(PRODUCT(1+P5:P$29)),SUMPRODUCT(PRODUCT(1+P5:P$28))),4)</f>
        <v>1.6221000000000001</v>
      </c>
      <c r="AB5" s="3066">
        <f>ROUND(IF(项目基本情况!B8="出让",SUMPRODUCT(PRODUCT(1+Q5:Q$29)),SUMPRODUCT(PRODUCT(1+Q5:Q$28))),4)</f>
        <v>1.3777999999999999</v>
      </c>
      <c r="AD5" s="3067">
        <f>ROUND(AVERAGE(I5:I$29)/100,4)</f>
        <v>1.9199999999999998E-2</v>
      </c>
      <c r="AE5" s="3067">
        <f>ROUND(AVERAGE(J5:J$29)/100,4)</f>
        <v>1.34E-2</v>
      </c>
      <c r="AF5" s="3067">
        <f t="shared" ref="AF5" si="12">AE5</f>
        <v>1.34E-2</v>
      </c>
      <c r="AG5" s="3067">
        <f>ROUND(AVERAGE(K5:K$29)/100,4)</f>
        <v>2.1000000000000001E-2</v>
      </c>
      <c r="AH5" s="3067">
        <f>ROUND(AVERAGE(L5:L$29)/100,4)</f>
        <v>1.35E-2</v>
      </c>
    </row>
    <row r="6" spans="1:34" s="2722" customFormat="1">
      <c r="A6" s="2617" t="s">
        <v>2991</v>
      </c>
      <c r="B6" s="2630">
        <f t="shared" ref="B6" si="13">B7*(1+N6)</f>
        <v>479.34737379023579</v>
      </c>
      <c r="C6" s="2630">
        <f t="shared" ref="C6" si="14">C7*(1+O6)</f>
        <v>351.4265287986122</v>
      </c>
      <c r="D6" s="2630">
        <f t="shared" ref="D6" si="15">C6</f>
        <v>351.4265287986122</v>
      </c>
      <c r="E6" s="2630">
        <f t="shared" ref="E6" si="16">E7*(1+P6)</f>
        <v>685.98209703803116</v>
      </c>
      <c r="F6" s="2630">
        <f t="shared" ref="F6" si="17">F7*(1+Q6)</f>
        <v>316.78315206651001</v>
      </c>
      <c r="G6" s="2716">
        <v>2019</v>
      </c>
      <c r="H6" s="2620">
        <v>4</v>
      </c>
      <c r="I6" s="2620">
        <v>0.45</v>
      </c>
      <c r="J6" s="2620">
        <v>-0.12</v>
      </c>
      <c r="K6" s="2620">
        <v>0.54</v>
      </c>
      <c r="L6" s="2631">
        <v>0.48</v>
      </c>
      <c r="M6" s="2624"/>
      <c r="N6" s="2625">
        <f t="shared" ref="N6" si="18">I6/100</f>
        <v>4.5000000000000005E-3</v>
      </c>
      <c r="O6" s="2626">
        <f t="shared" ref="O6" si="19">J6/100</f>
        <v>-1.1999999999999999E-3</v>
      </c>
      <c r="P6" s="2626">
        <f t="shared" ref="P6" si="20">K6/100</f>
        <v>5.4000000000000003E-3</v>
      </c>
      <c r="Q6" s="2626">
        <f t="shared" ref="Q6" si="21">L6/100</f>
        <v>4.7999999999999996E-3</v>
      </c>
      <c r="R6" s="2627"/>
      <c r="S6" s="2633"/>
      <c r="T6" s="2634"/>
      <c r="U6" s="2634"/>
      <c r="V6" s="2634"/>
      <c r="W6" s="2624"/>
      <c r="X6" s="2715">
        <f>ROUND(IF(项目基本情况!B8="出让",SUMPRODUCT(PRODUCT(1+N6:N$29)),SUMPRODUCT(PRODUCT(1+N6:N$28))),4)</f>
        <v>1.5586</v>
      </c>
      <c r="Y6" s="2715">
        <f>ROUND(IF(项目基本情况!B8="出让",SUMPRODUCT(PRODUCT(1+O6:O$29)),SUMPRODUCT(PRODUCT(1+O6:O$28))),4)</f>
        <v>1.3633</v>
      </c>
      <c r="Z6" s="2715">
        <f t="shared" ref="Z6" si="22">Y6</f>
        <v>1.3633</v>
      </c>
      <c r="AA6" s="2715">
        <f>ROUND(IF(项目基本情况!B8="出让",SUMPRODUCT(PRODUCT(1+P6:P$29)),SUMPRODUCT(PRODUCT(1+P6:P$28))),4)</f>
        <v>1.6221000000000001</v>
      </c>
      <c r="AB6" s="2715">
        <f>ROUND(IF(项目基本情况!B8="出让",SUMPRODUCT(PRODUCT(1+Q6:Q$29)),SUMPRODUCT(PRODUCT(1+Q6:Q$28))),4)</f>
        <v>1.3777999999999999</v>
      </c>
      <c r="AC6" s="2624"/>
      <c r="AD6" s="2635">
        <f>ROUND(AVERAGE(I6:I$29)/100,4)</f>
        <v>0.02</v>
      </c>
      <c r="AE6" s="2635">
        <f>ROUND(AVERAGE(J6:J$29)/100,4)</f>
        <v>1.4E-2</v>
      </c>
      <c r="AF6" s="2635">
        <f t="shared" ref="AF6" si="23">AE6</f>
        <v>1.4E-2</v>
      </c>
      <c r="AG6" s="2635">
        <f>ROUND(AVERAGE(K6:K$29)/100,4)</f>
        <v>2.1899999999999999E-2</v>
      </c>
      <c r="AH6" s="2635">
        <f>ROUND(AVERAGE(L6:L$29)/100,4)</f>
        <v>1.4E-2</v>
      </c>
    </row>
    <row r="7" spans="1:34" s="2722" customFormat="1" ht="13.5" thickBot="1">
      <c r="A7" s="2617" t="s">
        <v>2990</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2987</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5" thickBot="1">
      <c r="A9" s="2617" t="s">
        <v>2986</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2983</v>
      </c>
      <c r="B10" s="3175">
        <f t="shared" si="35"/>
        <v>464.37293017158942</v>
      </c>
      <c r="C10" s="3175">
        <f t="shared" ref="C10" si="56">C11*(1+O10)</f>
        <v>344.73679941385956</v>
      </c>
      <c r="D10" s="3175">
        <f t="shared" ref="D10" si="57">C10</f>
        <v>344.73679941385956</v>
      </c>
      <c r="E10" s="3175">
        <f t="shared" ref="E10" si="58">E11*(1+P10)</f>
        <v>663.2377795103107</v>
      </c>
      <c r="F10" s="3176">
        <f t="shared" ref="F10" si="59">F11*(1+Q10)</f>
        <v>304.75936311478398</v>
      </c>
      <c r="G10" s="3496">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5" customHeight="1">
      <c r="A11" s="2617" t="s">
        <v>2976</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96"/>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5" customHeight="1">
      <c r="A12" s="2617" t="s">
        <v>2977</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96"/>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2973</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97"/>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2964</v>
      </c>
      <c r="B14" s="3093">
        <v>439</v>
      </c>
      <c r="C14" s="3093">
        <v>327</v>
      </c>
      <c r="D14" s="3093">
        <f t="shared" si="87"/>
        <v>327</v>
      </c>
      <c r="E14" s="3093">
        <v>627</v>
      </c>
      <c r="F14" s="3094">
        <v>283</v>
      </c>
      <c r="G14" s="3495">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5" customHeight="1">
      <c r="A15" s="2617" t="s">
        <v>2968</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96"/>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5"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496"/>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497"/>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495">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96"/>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96"/>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5"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99"/>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5" thickBot="1">
      <c r="A22" s="2617" t="s">
        <v>967</v>
      </c>
      <c r="B22" s="2622">
        <v>333</v>
      </c>
      <c r="C22" s="2622">
        <v>277</v>
      </c>
      <c r="D22" s="2622">
        <f t="shared" si="109"/>
        <v>277</v>
      </c>
      <c r="E22" s="2622">
        <v>459</v>
      </c>
      <c r="F22" s="2623">
        <v>249</v>
      </c>
      <c r="G22" s="3498">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96"/>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96"/>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99"/>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5" thickBot="1">
      <c r="A26" s="2617" t="s">
        <v>963</v>
      </c>
      <c r="B26" s="2644">
        <v>318</v>
      </c>
      <c r="C26" s="2644">
        <v>268</v>
      </c>
      <c r="D26" s="2644">
        <f t="shared" si="109"/>
        <v>268</v>
      </c>
      <c r="E26" s="2644">
        <v>437</v>
      </c>
      <c r="F26" s="2645">
        <v>237</v>
      </c>
      <c r="G26" s="3498">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96"/>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5"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96"/>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5"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99"/>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7" t="s">
        <v>2580</v>
      </c>
      <c r="B30" s="2622">
        <v>299</v>
      </c>
      <c r="C30" s="2622">
        <v>252</v>
      </c>
      <c r="D30" s="2622">
        <f t="shared" si="109"/>
        <v>252</v>
      </c>
      <c r="E30" s="2622">
        <v>409</v>
      </c>
      <c r="F30" s="2623">
        <v>227</v>
      </c>
      <c r="G30" s="3503">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504"/>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504"/>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505"/>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5" thickBot="1">
      <c r="A34" s="2617" t="s">
        <v>2584</v>
      </c>
      <c r="B34" s="2660">
        <v>278</v>
      </c>
      <c r="C34" s="2660">
        <v>234</v>
      </c>
      <c r="D34" s="2660">
        <f t="shared" si="109"/>
        <v>234</v>
      </c>
      <c r="E34" s="2660">
        <v>379</v>
      </c>
      <c r="F34" s="2661">
        <v>220</v>
      </c>
      <c r="G34" s="3498">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496"/>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2586</v>
      </c>
      <c r="B36" s="2630">
        <f>B35/(1+N35)</f>
        <v>275.24529281292263</v>
      </c>
      <c r="C36" s="2630">
        <f>C35/(1+O35)</f>
        <v>231.74747938962707</v>
      </c>
      <c r="D36" s="2630">
        <f t="shared" si="109"/>
        <v>231.74747938962707</v>
      </c>
      <c r="E36" s="2630">
        <f t="shared" si="120"/>
        <v>375.35938184826603</v>
      </c>
      <c r="F36" s="2630">
        <f t="shared" si="120"/>
        <v>216.78033510692495</v>
      </c>
      <c r="G36" s="3496"/>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5" thickBot="1">
      <c r="A37" s="2617" t="s">
        <v>2587</v>
      </c>
      <c r="B37" s="2630">
        <f>B36/(1+N36)</f>
        <v>275.19025476197027</v>
      </c>
      <c r="C37" s="2662">
        <v>232</v>
      </c>
      <c r="D37" s="2662">
        <f t="shared" si="109"/>
        <v>232</v>
      </c>
      <c r="E37" s="2630">
        <f t="shared" si="120"/>
        <v>375.65990977608692</v>
      </c>
      <c r="F37" s="2630">
        <f t="shared" si="120"/>
        <v>214.12518283971252</v>
      </c>
      <c r="G37" s="3499"/>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5" thickBot="1">
      <c r="A38" s="2617" t="s">
        <v>2588</v>
      </c>
      <c r="B38" s="2622">
        <v>275</v>
      </c>
      <c r="C38" s="2622">
        <v>232</v>
      </c>
      <c r="D38" s="2622">
        <f t="shared" si="109"/>
        <v>232</v>
      </c>
      <c r="E38" s="2622">
        <v>376</v>
      </c>
      <c r="F38" s="2623">
        <v>213</v>
      </c>
      <c r="G38" s="3498">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96">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496">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5"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499">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5" thickBot="1">
      <c r="A42" s="2617" t="s">
        <v>2592</v>
      </c>
      <c r="B42" s="2622">
        <v>269</v>
      </c>
      <c r="C42" s="2622">
        <v>221</v>
      </c>
      <c r="D42" s="2622">
        <f t="shared" si="109"/>
        <v>221</v>
      </c>
      <c r="E42" s="2622">
        <v>373</v>
      </c>
      <c r="F42" s="2623">
        <v>196</v>
      </c>
      <c r="G42" s="3498">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96">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496">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5"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499">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5" thickBot="1">
      <c r="A46" s="2617" t="s">
        <v>2596</v>
      </c>
      <c r="B46" s="2622">
        <v>220</v>
      </c>
      <c r="C46" s="2622">
        <v>187</v>
      </c>
      <c r="D46" s="2622">
        <f t="shared" si="109"/>
        <v>187</v>
      </c>
      <c r="E46" s="2622">
        <v>301</v>
      </c>
      <c r="F46" s="2623">
        <v>168</v>
      </c>
      <c r="G46" s="3498">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96">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496">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499">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5" thickBot="1">
      <c r="A50" s="2617" t="s">
        <v>2600</v>
      </c>
      <c r="B50" s="2660">
        <v>214</v>
      </c>
      <c r="C50" s="2660">
        <v>188</v>
      </c>
      <c r="D50" s="2660">
        <f t="shared" si="109"/>
        <v>188</v>
      </c>
      <c r="E50" s="2660">
        <v>289</v>
      </c>
      <c r="F50" s="2661">
        <v>166</v>
      </c>
      <c r="G50" s="3498">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96">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496">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5"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499">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5" thickBot="1">
      <c r="A54" s="2617" t="s">
        <v>2604</v>
      </c>
      <c r="B54" s="2622">
        <v>188</v>
      </c>
      <c r="C54" s="2622">
        <v>165</v>
      </c>
      <c r="D54" s="2622">
        <f t="shared" si="109"/>
        <v>165</v>
      </c>
      <c r="E54" s="2622">
        <v>254</v>
      </c>
      <c r="F54" s="2623">
        <v>148</v>
      </c>
      <c r="G54" s="3498">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96">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496">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499">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5" thickBot="1">
      <c r="A58" s="2617" t="s">
        <v>2608</v>
      </c>
      <c r="B58" s="2644">
        <v>159</v>
      </c>
      <c r="C58" s="2644">
        <v>141</v>
      </c>
      <c r="D58" s="2644">
        <f t="shared" si="109"/>
        <v>141</v>
      </c>
      <c r="E58" s="2644">
        <v>195</v>
      </c>
      <c r="F58" s="2645">
        <v>122</v>
      </c>
      <c r="G58" s="3498">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96">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496">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499">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5" thickBot="1">
      <c r="A62" s="2617" t="s">
        <v>2612</v>
      </c>
      <c r="B62" s="2644">
        <v>138</v>
      </c>
      <c r="C62" s="2644">
        <v>131</v>
      </c>
      <c r="D62" s="2644">
        <f t="shared" si="109"/>
        <v>131</v>
      </c>
      <c r="E62" s="2644">
        <v>155</v>
      </c>
      <c r="F62" s="2645">
        <v>114</v>
      </c>
      <c r="G62" s="3498">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96">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496">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499">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5" thickBot="1">
      <c r="A66" s="2617" t="s">
        <v>2616</v>
      </c>
      <c r="B66" s="2660">
        <v>121</v>
      </c>
      <c r="C66" s="2660">
        <v>122</v>
      </c>
      <c r="D66" s="2660">
        <f t="shared" si="109"/>
        <v>122</v>
      </c>
      <c r="E66" s="2660">
        <v>124</v>
      </c>
      <c r="F66" s="2661">
        <v>107</v>
      </c>
      <c r="G66" s="3498">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96">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2618</v>
      </c>
      <c r="B68" s="2630">
        <f t="shared" si="143"/>
        <v>116.99099099099099</v>
      </c>
      <c r="C68" s="2630">
        <f t="shared" si="143"/>
        <v>118.84848484848486</v>
      </c>
      <c r="D68" s="2630">
        <f t="shared" si="109"/>
        <v>118.84848484848486</v>
      </c>
      <c r="E68" s="2630">
        <f t="shared" si="144"/>
        <v>117.60960960960961</v>
      </c>
      <c r="F68" s="2630">
        <f t="shared" si="144"/>
        <v>104</v>
      </c>
      <c r="G68" s="3496">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5"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499">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5" thickBot="1">
      <c r="A70" s="2617" t="s">
        <v>2620</v>
      </c>
      <c r="B70" s="2681">
        <v>111</v>
      </c>
      <c r="C70" s="2681">
        <v>114</v>
      </c>
      <c r="D70" s="2681">
        <f t="shared" si="109"/>
        <v>114</v>
      </c>
      <c r="E70" s="2681">
        <v>108</v>
      </c>
      <c r="F70" s="2682">
        <v>104</v>
      </c>
      <c r="G70" s="3498">
        <v>2003</v>
      </c>
      <c r="H70" s="2671">
        <v>4</v>
      </c>
      <c r="I70" s="2683"/>
      <c r="J70" s="2683"/>
      <c r="K70" s="2683"/>
      <c r="L70" s="2683"/>
      <c r="N70" s="2684"/>
      <c r="O70" s="2683"/>
      <c r="P70" s="2683"/>
      <c r="Q70" s="2683"/>
      <c r="S70" s="2684"/>
      <c r="T70" s="2683"/>
      <c r="U70" s="2683"/>
      <c r="V70" s="2683"/>
      <c r="X70" s="2675"/>
      <c r="Y70" s="2675"/>
      <c r="Z70" s="2675"/>
    </row>
    <row r="71" spans="1:26">
      <c r="A71" s="2617" t="s">
        <v>2621</v>
      </c>
      <c r="B71" s="2685">
        <f t="shared" ref="B71:C73" si="145">B72+(B$70-B$74)/4</f>
        <v>109.75</v>
      </c>
      <c r="C71" s="2685">
        <f t="shared" si="145"/>
        <v>112.25</v>
      </c>
      <c r="D71" s="2685">
        <f t="shared" si="109"/>
        <v>112.25</v>
      </c>
      <c r="E71" s="2685">
        <f t="shared" ref="E71:F73" si="146">E72+(E$70-E$74)/4</f>
        <v>107.25</v>
      </c>
      <c r="F71" s="2685">
        <f t="shared" si="146"/>
        <v>103.5</v>
      </c>
      <c r="G71" s="3496">
        <v>2003</v>
      </c>
      <c r="H71" s="2641">
        <v>3</v>
      </c>
      <c r="I71" s="2683"/>
      <c r="J71" s="2683"/>
      <c r="K71" s="2683"/>
      <c r="L71" s="2683"/>
      <c r="X71" s="2675"/>
      <c r="Y71" s="2675"/>
      <c r="Z71" s="2675"/>
    </row>
    <row r="72" spans="1:26">
      <c r="A72" s="2617" t="s">
        <v>2622</v>
      </c>
      <c r="B72" s="2685">
        <f t="shared" si="145"/>
        <v>108.5</v>
      </c>
      <c r="C72" s="2685">
        <f t="shared" si="145"/>
        <v>110.5</v>
      </c>
      <c r="D72" s="2685">
        <f t="shared" si="109"/>
        <v>110.5</v>
      </c>
      <c r="E72" s="2685">
        <f t="shared" si="146"/>
        <v>106.5</v>
      </c>
      <c r="F72" s="2685">
        <f t="shared" si="146"/>
        <v>103</v>
      </c>
      <c r="G72" s="3496">
        <v>2003</v>
      </c>
      <c r="H72" s="2621">
        <v>2</v>
      </c>
      <c r="I72" s="2683"/>
      <c r="J72" s="2683"/>
      <c r="K72" s="2683"/>
      <c r="L72" s="2683"/>
      <c r="X72" s="2675"/>
      <c r="Y72" s="2675"/>
      <c r="Z72" s="2675"/>
    </row>
    <row r="73" spans="1:26" ht="13.5" thickBot="1">
      <c r="A73" s="2617" t="s">
        <v>2623</v>
      </c>
      <c r="B73" s="2685">
        <f t="shared" si="145"/>
        <v>107.25</v>
      </c>
      <c r="C73" s="2685">
        <f t="shared" si="145"/>
        <v>108.75</v>
      </c>
      <c r="D73" s="2685">
        <f t="shared" si="109"/>
        <v>108.75</v>
      </c>
      <c r="E73" s="2685">
        <f t="shared" si="146"/>
        <v>105.75</v>
      </c>
      <c r="F73" s="2685">
        <f t="shared" si="146"/>
        <v>102.5</v>
      </c>
      <c r="G73" s="3499">
        <v>2003</v>
      </c>
      <c r="H73" s="2686">
        <v>1</v>
      </c>
      <c r="I73" s="2683"/>
      <c r="J73" s="2683"/>
      <c r="K73" s="2683"/>
      <c r="L73" s="2683"/>
      <c r="S73" s="2625"/>
      <c r="T73" s="2626"/>
      <c r="U73" s="2626"/>
      <c r="X73" s="2675"/>
      <c r="Y73" s="2675"/>
      <c r="Z73" s="2675"/>
    </row>
    <row r="74" spans="1:26" ht="13.5" thickBot="1">
      <c r="A74" s="2617" t="s">
        <v>2624</v>
      </c>
      <c r="B74" s="2687">
        <v>106</v>
      </c>
      <c r="C74" s="2687">
        <v>107</v>
      </c>
      <c r="D74" s="2687">
        <f t="shared" si="109"/>
        <v>107</v>
      </c>
      <c r="E74" s="2687">
        <v>105</v>
      </c>
      <c r="F74" s="2688">
        <v>102</v>
      </c>
      <c r="G74" s="3498">
        <v>2002</v>
      </c>
      <c r="H74" s="2636">
        <v>4</v>
      </c>
      <c r="I74" s="2683"/>
      <c r="J74" s="2683"/>
      <c r="K74" s="2683"/>
      <c r="L74" s="2683"/>
      <c r="N74" s="2684"/>
      <c r="O74" s="2683"/>
      <c r="P74" s="2683"/>
      <c r="Q74" s="2683"/>
      <c r="S74" s="2684"/>
      <c r="T74" s="2683"/>
      <c r="U74" s="2683"/>
      <c r="V74" s="2683"/>
      <c r="X74" s="2675"/>
      <c r="Y74" s="2675"/>
      <c r="Z74" s="2675"/>
    </row>
    <row r="75" spans="1:26">
      <c r="A75" s="2617" t="s">
        <v>2625</v>
      </c>
      <c r="B75" s="2685">
        <f t="shared" ref="B75:C77" si="147">B76+(B$74-B$78)/4</f>
        <v>105</v>
      </c>
      <c r="C75" s="2685">
        <f t="shared" si="147"/>
        <v>106</v>
      </c>
      <c r="D75" s="2685">
        <f t="shared" si="109"/>
        <v>106</v>
      </c>
      <c r="E75" s="2685">
        <f t="shared" ref="E75:F77" si="148">E76+(E$74-E$78)/4</f>
        <v>104.5</v>
      </c>
      <c r="F75" s="2685">
        <f t="shared" si="148"/>
        <v>101.5</v>
      </c>
      <c r="G75" s="3496">
        <v>2002</v>
      </c>
      <c r="H75" s="2641">
        <v>3</v>
      </c>
      <c r="I75" s="2683"/>
      <c r="J75" s="2683"/>
      <c r="K75" s="2683"/>
      <c r="L75" s="2683"/>
      <c r="X75" s="2675"/>
      <c r="Y75" s="2675"/>
      <c r="Z75" s="2675"/>
    </row>
    <row r="76" spans="1:26">
      <c r="A76" s="2617" t="s">
        <v>2626</v>
      </c>
      <c r="B76" s="2685">
        <f t="shared" si="147"/>
        <v>104</v>
      </c>
      <c r="C76" s="2685">
        <f t="shared" si="147"/>
        <v>105</v>
      </c>
      <c r="D76" s="2685">
        <f t="shared" si="109"/>
        <v>105</v>
      </c>
      <c r="E76" s="2685">
        <f t="shared" si="148"/>
        <v>104</v>
      </c>
      <c r="F76" s="2685">
        <f t="shared" si="148"/>
        <v>101</v>
      </c>
      <c r="G76" s="3496">
        <v>2002</v>
      </c>
      <c r="H76" s="2621">
        <v>2</v>
      </c>
      <c r="I76" s="2683"/>
      <c r="J76" s="2683"/>
      <c r="K76" s="2683"/>
      <c r="L76" s="2683"/>
      <c r="X76" s="2675"/>
      <c r="Y76" s="2675"/>
      <c r="Z76" s="2675"/>
    </row>
    <row r="77" spans="1:26" s="2652" customFormat="1" ht="13.5" thickBot="1">
      <c r="A77" s="2648" t="s">
        <v>2627</v>
      </c>
      <c r="B77" s="2689">
        <f t="shared" si="147"/>
        <v>103</v>
      </c>
      <c r="C77" s="2689">
        <f t="shared" si="147"/>
        <v>104</v>
      </c>
      <c r="D77" s="2689">
        <f t="shared" si="109"/>
        <v>104</v>
      </c>
      <c r="E77" s="2689">
        <f t="shared" si="148"/>
        <v>103.5</v>
      </c>
      <c r="F77" s="2689">
        <f t="shared" si="148"/>
        <v>100.5</v>
      </c>
      <c r="G77" s="3499">
        <v>2002</v>
      </c>
      <c r="H77" s="2690">
        <v>1</v>
      </c>
      <c r="I77" s="2691"/>
      <c r="J77" s="2691"/>
      <c r="K77" s="2691"/>
      <c r="L77" s="2691"/>
      <c r="N77" s="2692"/>
      <c r="S77" s="2692"/>
      <c r="X77" s="2693"/>
      <c r="Y77" s="2693"/>
      <c r="Z77" s="2693"/>
    </row>
    <row r="78" spans="1:26" ht="13.5"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2628</v>
      </c>
      <c r="G80" s="2699"/>
      <c r="N80" s="2699"/>
      <c r="S80" s="2699"/>
    </row>
    <row r="81" spans="1:22" s="2698" customFormat="1">
      <c r="A81" s="2698" t="s">
        <v>2629</v>
      </c>
      <c r="G81" s="2699"/>
      <c r="N81" s="2699"/>
      <c r="S81" s="2699"/>
    </row>
    <row r="82" spans="1:22" s="2698" customFormat="1">
      <c r="A82" s="2698" t="s">
        <v>2630</v>
      </c>
      <c r="G82" s="2699"/>
      <c r="I82" s="2700"/>
      <c r="J82" s="2700"/>
      <c r="K82" s="2700"/>
      <c r="L82" s="2700"/>
      <c r="N82" s="2701"/>
      <c r="O82" s="2700"/>
      <c r="P82" s="2700"/>
      <c r="Q82" s="2700"/>
      <c r="S82" s="2701"/>
      <c r="T82" s="2700"/>
      <c r="U82" s="2700"/>
      <c r="V82" s="2700"/>
    </row>
    <row r="83" spans="1:22" s="2698" customFormat="1">
      <c r="A83" s="2698" t="s">
        <v>2631</v>
      </c>
      <c r="G83" s="2699"/>
      <c r="N83" s="2699"/>
      <c r="S83" s="2699"/>
    </row>
    <row r="90" spans="1:22" ht="13.5" thickBot="1"/>
    <row r="91" spans="1:22">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5"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2946</v>
      </c>
      <c r="B1" s="3053"/>
      <c r="C1" s="3053"/>
      <c r="D1" s="3053"/>
      <c r="E1" s="3053"/>
      <c r="F1" s="3053"/>
    </row>
    <row r="2" spans="1:6" ht="14.25">
      <c r="A2" s="3054" t="s">
        <v>2941</v>
      </c>
      <c r="B2" s="3055" t="e">
        <f ca="1">SUMIF(B7:B14,"&lt;&gt;#ref!",B7:B14)</f>
        <v>#DIV/0!</v>
      </c>
      <c r="C2" s="3054" t="s">
        <v>2942</v>
      </c>
      <c r="D2" s="3053"/>
      <c r="E2" s="3053"/>
      <c r="F2" s="3053"/>
    </row>
    <row r="3" spans="1:6" ht="14.25">
      <c r="A3" s="3054" t="s">
        <v>2974</v>
      </c>
      <c r="B3" s="3055" t="e">
        <f ca="1">ROUND(B2*10000/E3,0)</f>
        <v>#DIV/0!</v>
      </c>
      <c r="C3" s="3054" t="s">
        <v>2076</v>
      </c>
      <c r="D3" s="3054" t="s">
        <v>2943</v>
      </c>
      <c r="E3" s="3055">
        <f ca="1">SUMIF(E7:E14,"&lt;&gt;#ref!",E7:E14)</f>
        <v>0</v>
      </c>
      <c r="F3" s="3053"/>
    </row>
    <row r="4" spans="1:6" ht="14.25">
      <c r="A4" s="3054" t="s">
        <v>2950</v>
      </c>
      <c r="B4" s="3055" t="e">
        <f ca="1">ROUND(B2*10000/E4,0)</f>
        <v>#DIV/0!</v>
      </c>
      <c r="C4" s="3054" t="s">
        <v>2076</v>
      </c>
      <c r="D4" s="3054" t="s">
        <v>2951</v>
      </c>
      <c r="E4" s="3055">
        <f ca="1">SUMIF(F7:F14,"&lt;&gt;#ref!",F7:F14)</f>
        <v>0</v>
      </c>
      <c r="F4" s="3053"/>
    </row>
    <row r="5" spans="1:6" ht="14.25">
      <c r="A5" s="3056"/>
      <c r="B5" s="1864"/>
      <c r="C5" s="1864"/>
      <c r="D5" s="1864"/>
      <c r="E5" s="1864"/>
      <c r="F5" s="3053"/>
    </row>
    <row r="6" spans="1:6" ht="28.5">
      <c r="A6" s="3057" t="s">
        <v>2947</v>
      </c>
      <c r="B6" s="3054" t="s">
        <v>2944</v>
      </c>
      <c r="C6" s="3055"/>
      <c r="D6" s="1864"/>
      <c r="E6" s="3054" t="s">
        <v>2945</v>
      </c>
      <c r="F6" s="3054" t="s">
        <v>2949</v>
      </c>
    </row>
    <row r="7" spans="1:6" ht="14.25">
      <c r="A7" s="259" t="s">
        <v>2948</v>
      </c>
      <c r="B7" s="3058" t="e">
        <f ca="1">SUMIF(INDIRECT("'"&amp;A7&amp;"'"&amp;"!A:A"),"总价",INDIRECT("'"&amp;A7&amp;"'"&amp;"!B:B"))</f>
        <v>#DIV/0!</v>
      </c>
      <c r="C7" s="3054" t="s">
        <v>2942</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2942</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2942</v>
      </c>
      <c r="D9" s="1864"/>
      <c r="E9" s="3059" t="e">
        <f t="shared" ca="1" si="1"/>
        <v>#REF!</v>
      </c>
      <c r="F9" s="3059" t="e">
        <f t="shared" ca="1" si="2"/>
        <v>#REF!</v>
      </c>
    </row>
    <row r="10" spans="1:6" ht="14.25">
      <c r="A10" s="259"/>
      <c r="B10" s="3058" t="e">
        <f t="shared" ca="1" si="0"/>
        <v>#REF!</v>
      </c>
      <c r="C10" s="3054" t="s">
        <v>2942</v>
      </c>
      <c r="D10" s="1864"/>
      <c r="E10" s="3059" t="e">
        <f t="shared" ca="1" si="1"/>
        <v>#REF!</v>
      </c>
      <c r="F10" s="3059" t="e">
        <f t="shared" ca="1" si="2"/>
        <v>#REF!</v>
      </c>
    </row>
    <row r="11" spans="1:6" ht="14.25">
      <c r="A11" s="259"/>
      <c r="B11" s="3058" t="e">
        <f t="shared" ca="1" si="0"/>
        <v>#REF!</v>
      </c>
      <c r="C11" s="3054" t="s">
        <v>2942</v>
      </c>
      <c r="D11" s="1864"/>
      <c r="E11" s="3059" t="e">
        <f t="shared" ca="1" si="1"/>
        <v>#REF!</v>
      </c>
      <c r="F11" s="3059" t="e">
        <f t="shared" ca="1" si="2"/>
        <v>#REF!</v>
      </c>
    </row>
    <row r="12" spans="1:6" ht="14.25">
      <c r="A12" s="259"/>
      <c r="B12" s="3058" t="e">
        <f t="shared" ca="1" si="0"/>
        <v>#REF!</v>
      </c>
      <c r="C12" s="3054" t="s">
        <v>2942</v>
      </c>
      <c r="D12" s="1864"/>
      <c r="E12" s="3059" t="e">
        <f t="shared" ca="1" si="1"/>
        <v>#REF!</v>
      </c>
      <c r="F12" s="3059" t="e">
        <f t="shared" ca="1" si="2"/>
        <v>#REF!</v>
      </c>
    </row>
    <row r="13" spans="1:6" ht="14.25">
      <c r="A13" s="259"/>
      <c r="B13" s="3058" t="e">
        <f t="shared" ca="1" si="0"/>
        <v>#REF!</v>
      </c>
      <c r="C13" s="3054" t="s">
        <v>2942</v>
      </c>
      <c r="D13" s="1864"/>
      <c r="E13" s="3059" t="e">
        <f t="shared" ca="1" si="1"/>
        <v>#REF!</v>
      </c>
      <c r="F13" s="3059" t="e">
        <f t="shared" ca="1" si="2"/>
        <v>#REF!</v>
      </c>
    </row>
    <row r="14" spans="1:6" ht="14.25">
      <c r="A14" s="3052"/>
      <c r="B14" s="3058" t="e">
        <f t="shared" ca="1" si="0"/>
        <v>#REF!</v>
      </c>
      <c r="C14" s="3054" t="s">
        <v>2942</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7" sqref="L7"/>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9" t="s">
        <v>2372</v>
      </c>
      <c r="F1" s="2350">
        <f ca="1">J54</f>
        <v>-2</v>
      </c>
      <c r="G1" s="773">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5" t="s">
        <v>695</v>
      </c>
      <c r="I3" s="2040"/>
      <c r="J3" s="2040"/>
      <c r="K3" s="2041"/>
      <c r="L3" s="2040"/>
      <c r="M3" s="2040"/>
    </row>
    <row r="4" spans="1:25" ht="18" customHeight="1">
      <c r="A4" s="1629" t="s">
        <v>696</v>
      </c>
      <c r="B4" s="1345">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2456</v>
      </c>
      <c r="C7" s="53">
        <f ca="1">C8+C12+C14</f>
        <v>0</v>
      </c>
      <c r="D7" s="2458" t="s">
        <v>2459</v>
      </c>
      <c r="E7" s="2452"/>
      <c r="F7" s="2453"/>
      <c r="G7" s="1576"/>
      <c r="H7" s="780">
        <v>1</v>
      </c>
      <c r="I7" s="781" t="s">
        <v>2456</v>
      </c>
      <c r="J7" s="53">
        <f ca="1">J8+J12+J14</f>
        <v>0</v>
      </c>
      <c r="K7" s="2458" t="s">
        <v>2459</v>
      </c>
      <c r="L7" s="2452"/>
      <c r="M7" s="2453"/>
    </row>
    <row r="8" spans="1:25" ht="18" customHeight="1">
      <c r="A8" s="1813" t="s">
        <v>1824</v>
      </c>
      <c r="B8" s="3507" t="s">
        <v>2461</v>
      </c>
      <c r="C8" s="1808">
        <f ca="1">ROUND(F8*F10*F9*(1-F11)/10000,0)</f>
        <v>0</v>
      </c>
      <c r="D8" s="1805" t="s">
        <v>2532</v>
      </c>
      <c r="E8" s="61" t="s">
        <v>637</v>
      </c>
      <c r="F8" s="784">
        <f ca="1">INDIRECT("'数据-取费表'!u"&amp;$G$1)</f>
        <v>0</v>
      </c>
      <c r="G8" s="1576"/>
      <c r="H8" s="2466" t="s">
        <v>1824</v>
      </c>
      <c r="I8" s="3507" t="s">
        <v>2461</v>
      </c>
      <c r="J8" s="782">
        <f ca="1">ROUND(M8*M10*M9*(1-M11)/10000,0)</f>
        <v>0</v>
      </c>
      <c r="K8" s="340" t="s">
        <v>2532</v>
      </c>
      <c r="L8" s="783" t="s">
        <v>1738</v>
      </c>
      <c r="M8" s="784">
        <f ca="1">INDIRECT("'数据-取费表'!z"&amp;$G$1)</f>
        <v>0</v>
      </c>
    </row>
    <row r="9" spans="1:25" ht="18" customHeight="1">
      <c r="A9" s="2462"/>
      <c r="B9" s="3508"/>
      <c r="C9" s="1809"/>
      <c r="D9" s="1806"/>
      <c r="E9" s="61" t="s">
        <v>638</v>
      </c>
      <c r="F9" s="784">
        <f ca="1">IF(INDIRECT("'数据-取费表'!ah"&amp;$G$1)="",INDIRECT("'数据-取费表'!k"&amp;$G$1),INDIRECT("'数据-取费表'!ah"&amp;$G$1))</f>
        <v>0</v>
      </c>
      <c r="G9" s="1576"/>
      <c r="H9" s="2451"/>
      <c r="I9" s="3508"/>
      <c r="J9" s="787"/>
      <c r="K9" s="788"/>
      <c r="L9" s="783" t="s">
        <v>1739</v>
      </c>
      <c r="M9" s="784">
        <f ca="1">F9</f>
        <v>0</v>
      </c>
    </row>
    <row r="10" spans="1:25" ht="18" customHeight="1">
      <c r="A10" s="2455"/>
      <c r="B10" s="3509"/>
      <c r="C10" s="1809"/>
      <c r="D10" s="1806"/>
      <c r="E10" s="61" t="s">
        <v>639</v>
      </c>
      <c r="F10" s="784">
        <f ca="1">INDIRECT("'数据-取费表'!ai"&amp;$G$1)</f>
        <v>0</v>
      </c>
      <c r="G10" s="1576"/>
      <c r="H10" s="2451"/>
      <c r="I10" s="3509"/>
      <c r="J10" s="787"/>
      <c r="K10" s="788"/>
      <c r="L10" s="783" t="s">
        <v>1740</v>
      </c>
      <c r="M10" s="784">
        <f ca="1">INDIRECT("'数据-取费表'!ai"&amp;$G$1)</f>
        <v>0</v>
      </c>
    </row>
    <row r="11" spans="1:25" ht="18" customHeight="1">
      <c r="A11" s="785"/>
      <c r="B11" s="3510"/>
      <c r="C11" s="1809"/>
      <c r="D11" s="1806"/>
      <c r="E11" s="61" t="s">
        <v>640</v>
      </c>
      <c r="F11" s="793">
        <f ca="1">INDIRECT("'数据-取费表'!w"&amp;$G$1)</f>
        <v>0</v>
      </c>
      <c r="G11" s="1576"/>
      <c r="H11" s="2467"/>
      <c r="I11" s="3509"/>
      <c r="J11" s="787"/>
      <c r="K11" s="788"/>
      <c r="L11" s="794" t="s">
        <v>1741</v>
      </c>
      <c r="M11" s="795">
        <f ca="1">INDIRECT("'数据-取费表'!ab"&amp;$G$1)</f>
        <v>0</v>
      </c>
    </row>
    <row r="12" spans="1:25" ht="18" customHeight="1">
      <c r="A12" s="1813" t="s">
        <v>1825</v>
      </c>
      <c r="B12" s="2456" t="s">
        <v>2457</v>
      </c>
      <c r="C12" s="798">
        <f ca="1">ROUND(IF(F12="押一",C8/12*F13,IF(F12="押二",C8/12*2*F13,IF(F12="押三",C8/12*3*F13,C13*F13))),0)</f>
        <v>0</v>
      </c>
      <c r="D12" s="2463" t="s">
        <v>2971</v>
      </c>
      <c r="E12" s="2460" t="s">
        <v>2462</v>
      </c>
      <c r="F12" s="2583"/>
      <c r="G12" s="1576"/>
      <c r="H12" s="2523" t="s">
        <v>1825</v>
      </c>
      <c r="I12" s="2528" t="s">
        <v>2457</v>
      </c>
      <c r="J12" s="782">
        <f ca="1">ROUND(IF(M12="押一",J8/12*M13,IF(M12="押二",J8/12*2*M13,IF(M12="押三",J8/12*3*M13,J13*M13))),0)</f>
        <v>0</v>
      </c>
      <c r="K12" s="2463" t="s">
        <v>2971</v>
      </c>
      <c r="L12" s="2460" t="s">
        <v>2462</v>
      </c>
      <c r="M12" s="2583"/>
    </row>
    <row r="13" spans="1:25" ht="18" customHeight="1">
      <c r="A13" s="789"/>
      <c r="B13" s="2457" t="s">
        <v>2571</v>
      </c>
      <c r="C13" s="2461"/>
      <c r="D13" s="788"/>
      <c r="E13" s="2460" t="s">
        <v>2454</v>
      </c>
      <c r="F13" s="795">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2067</v>
      </c>
      <c r="I16" s="2214" t="s">
        <v>2822</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2068</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2067</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5.5000000000000007E-2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1.5</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2068</v>
      </c>
      <c r="I24" s="783" t="s">
        <v>676</v>
      </c>
      <c r="J24" s="53">
        <f ca="1">ROUND(J16*M24,0)</f>
        <v>0</v>
      </c>
      <c r="K24" s="1960" t="s">
        <v>677</v>
      </c>
      <c r="L24" s="783" t="s">
        <v>649</v>
      </c>
      <c r="M24" s="816">
        <f ca="1">INDIRECT("'数据-取费表'!Ak"&amp;$G$1)</f>
        <v>0</v>
      </c>
    </row>
    <row r="25" spans="1:25" s="2047" customFormat="1" ht="18" customHeight="1">
      <c r="A25" s="802" t="s">
        <v>1875</v>
      </c>
      <c r="B25" s="783" t="s">
        <v>2435</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1E-3</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0" t="s">
        <v>2819</v>
      </c>
      <c r="J27" s="798">
        <f ca="1">J7-J18</f>
        <v>0</v>
      </c>
      <c r="K27" s="1962" t="s">
        <v>700</v>
      </c>
      <c r="L27" s="1964"/>
      <c r="M27" s="819"/>
    </row>
    <row r="28" spans="1:25" ht="18" customHeight="1">
      <c r="A28" s="802" t="s">
        <v>1875</v>
      </c>
      <c r="B28" s="783" t="s">
        <v>2436</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5.2400000000000002E-2</v>
      </c>
      <c r="D30" s="811" t="s">
        <v>709</v>
      </c>
      <c r="E30" s="783" t="s">
        <v>649</v>
      </c>
      <c r="F30" s="808">
        <f>'数据-取费表'!B41</f>
        <v>5.5000000000000007E-2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2" t="s">
        <v>1872</v>
      </c>
      <c r="I31" s="2961"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5.5000000000000007E-2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1.5</v>
      </c>
      <c r="G36" s="2045"/>
      <c r="H36" s="2048"/>
      <c r="I36" s="3506"/>
      <c r="J36" s="2062"/>
      <c r="K36" s="2063"/>
      <c r="L36" s="2062"/>
      <c r="M36" s="2062"/>
    </row>
    <row r="37" spans="1:18" ht="18" customHeight="1">
      <c r="A37" s="814"/>
      <c r="B37" s="792"/>
      <c r="C37" s="69"/>
      <c r="D37" s="815"/>
      <c r="E37" s="783" t="s">
        <v>674</v>
      </c>
      <c r="F37" s="784">
        <f ca="1">INDIRECT("'数据-取费表'!r"&amp;$G$1)</f>
        <v>0</v>
      </c>
      <c r="G37" s="2045"/>
      <c r="H37" s="2048"/>
      <c r="I37" s="3506"/>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49" t="s">
        <v>712</v>
      </c>
      <c r="E43" s="3070" t="s">
        <v>2959</v>
      </c>
      <c r="F43" s="3071">
        <f ca="1">INDIRECT("'数据-取费表'!j"&amp;$G$1)</f>
        <v>0</v>
      </c>
      <c r="G43" s="2045"/>
      <c r="H43" s="2045"/>
      <c r="I43" s="2045"/>
      <c r="J43" s="2045"/>
      <c r="K43" s="2066"/>
      <c r="L43" s="2045"/>
      <c r="M43" s="2045"/>
    </row>
    <row r="44" spans="1:18" ht="18" customHeight="1">
      <c r="A44" s="802" t="s">
        <v>1878</v>
      </c>
      <c r="B44" s="834" t="s">
        <v>713</v>
      </c>
      <c r="C44" s="1350">
        <f ca="1">C42-C43</f>
        <v>0</v>
      </c>
      <c r="D44" s="462" t="s">
        <v>714</v>
      </c>
      <c r="E44" s="463"/>
      <c r="F44" s="464"/>
      <c r="G44" s="2045"/>
      <c r="H44" s="2045"/>
      <c r="I44" s="2045"/>
      <c r="J44" s="2045"/>
      <c r="K44" s="2066"/>
      <c r="L44" s="2045"/>
      <c r="M44" s="2045"/>
    </row>
    <row r="45" spans="1:18" ht="18" customHeight="1">
      <c r="A45" s="802" t="s">
        <v>1879</v>
      </c>
      <c r="B45" s="1349" t="s">
        <v>715</v>
      </c>
      <c r="C45" s="2986">
        <f ca="1">ROUND(-PV(F45,F46,C44,0),0)</f>
        <v>0</v>
      </c>
      <c r="D45" s="1351" t="s">
        <v>716</v>
      </c>
      <c r="E45" s="805" t="s">
        <v>717</v>
      </c>
      <c r="F45" s="829">
        <f ca="1">INDIRECT("'数据-取费表'!h"&amp;$G$1)</f>
        <v>0</v>
      </c>
      <c r="G45" s="2045"/>
      <c r="H45" s="2045"/>
      <c r="I45" s="2045"/>
      <c r="J45" s="2045"/>
      <c r="K45" s="2066"/>
      <c r="L45" s="2045"/>
      <c r="M45" s="2045"/>
    </row>
    <row r="46" spans="1:18" ht="18" customHeight="1" thickBot="1">
      <c r="A46" s="830"/>
      <c r="B46" s="1352"/>
      <c r="C46" s="1353"/>
      <c r="D46" s="1354"/>
      <c r="E46" s="3072" t="s">
        <v>2962</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4" t="str">
        <f ca="1">IF(M48="住宅",0,IF(L49&gt;J52,L61,J61))</f>
        <v>0</v>
      </c>
      <c r="O47" s="2356" t="s">
        <v>2408</v>
      </c>
      <c r="P47" s="1576"/>
      <c r="Q47" s="1587"/>
      <c r="R47" s="1576"/>
    </row>
    <row r="48" spans="1:18" s="2042" customFormat="1" ht="18" customHeight="1" thickBot="1">
      <c r="A48" s="2067"/>
      <c r="C48" s="2070"/>
      <c r="D48" s="2071"/>
      <c r="E48" s="2071"/>
      <c r="F48" s="2072"/>
      <c r="G48" s="2073"/>
      <c r="I48" s="3095" t="s">
        <v>2342</v>
      </c>
      <c r="J48" s="2343"/>
      <c r="K48" s="3101" t="s">
        <v>2347</v>
      </c>
      <c r="L48" s="3105">
        <f ca="1">INDIRECT("'数据-取费表'!d"&amp;$G$1)</f>
        <v>0</v>
      </c>
      <c r="M48" s="3069"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4" t="s">
        <v>2343</v>
      </c>
      <c r="J49" s="2344"/>
      <c r="K49" s="3102"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4" t="s">
        <v>2344</v>
      </c>
      <c r="J50" s="2345"/>
      <c r="K50" s="3103"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4" t="s">
        <v>2345</v>
      </c>
      <c r="J51" s="3099">
        <f>SUMPRODUCT((I64:I66=J48)*(J63:L63=J49)*(J64:L66))</f>
        <v>0</v>
      </c>
      <c r="K51" s="3103" t="s">
        <v>2351</v>
      </c>
      <c r="L51" s="2346"/>
      <c r="O51" s="2363" t="s">
        <v>2381</v>
      </c>
      <c r="P51" s="2361" t="s">
        <v>2405</v>
      </c>
      <c r="Q51" s="2362">
        <f ca="1">C31</f>
        <v>0</v>
      </c>
      <c r="R51" s="2361" t="s">
        <v>2378</v>
      </c>
    </row>
    <row r="52" spans="1:18" s="2042" customFormat="1" ht="18" customHeight="1" thickBot="1">
      <c r="A52" s="2079"/>
      <c r="F52" s="2068"/>
      <c r="I52" s="3096" t="s">
        <v>2346</v>
      </c>
      <c r="J52" s="3100">
        <f>IF(J50="",J51,J50+J51-YEAR('数据-取费表'!B3))</f>
        <v>0</v>
      </c>
      <c r="K52" s="3074" t="s">
        <v>2352</v>
      </c>
      <c r="L52" s="3106">
        <f ca="1">ROUND(-PV(INDIRECT("'数据-取费表'!h"&amp;$G$1),L49,(C40-C14*J36),0),0)</f>
        <v>0</v>
      </c>
      <c r="O52" s="2363" t="s">
        <v>2382</v>
      </c>
      <c r="P52" s="2361" t="s">
        <v>2383</v>
      </c>
      <c r="Q52" s="2364" t="e">
        <f ca="1">J59</f>
        <v>#VALUE!</v>
      </c>
      <c r="R52" s="2365"/>
    </row>
    <row r="53" spans="1:18" s="2042" customFormat="1" ht="18" customHeight="1" thickBot="1">
      <c r="A53" s="2079"/>
      <c r="F53" s="2068"/>
      <c r="I53" s="3097" t="s">
        <v>2419</v>
      </c>
      <c r="J53" s="2347"/>
      <c r="K53" s="3097" t="s">
        <v>2418</v>
      </c>
      <c r="L53" s="2347"/>
      <c r="O53" s="2363" t="s">
        <v>2384</v>
      </c>
      <c r="P53" s="2361" t="s">
        <v>2385</v>
      </c>
      <c r="Q53" s="2364">
        <f>J53</f>
        <v>0</v>
      </c>
      <c r="R53" s="2365"/>
    </row>
    <row r="54" spans="1:18" s="2042" customFormat="1" ht="29.25" thickBot="1">
      <c r="A54" s="2079"/>
      <c r="I54" s="3098" t="s">
        <v>2975</v>
      </c>
      <c r="J54" s="3177">
        <f ca="1">IF(M48="住宅",MAX(J52,L49-'数据-取费表'!B20),MIN(J52,L49-'数据-取费表'!B20))</f>
        <v>-2</v>
      </c>
      <c r="K54" s="3511"/>
      <c r="L54" s="3512"/>
      <c r="O54" s="2363" t="s">
        <v>2386</v>
      </c>
      <c r="P54" s="2361" t="s">
        <v>2387</v>
      </c>
      <c r="Q54" s="2362">
        <f ca="1">J54</f>
        <v>-2</v>
      </c>
      <c r="R54" s="2361" t="s">
        <v>2388</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2389</v>
      </c>
      <c r="P55" s="2361" t="s">
        <v>2406</v>
      </c>
      <c r="Q55" s="2362">
        <f ca="1">Q49+Q50</f>
        <v>0</v>
      </c>
      <c r="R55" s="2365" t="s">
        <v>2390</v>
      </c>
    </row>
    <row r="56" spans="1:18" s="2042" customFormat="1" ht="16.5" thickBot="1">
      <c r="A56" s="2079"/>
      <c r="B56" s="2080"/>
      <c r="C56" s="2080"/>
      <c r="I56" s="3109" t="s">
        <v>2353</v>
      </c>
      <c r="J56" s="3049" t="e">
        <f ca="1">ROUND(IF(J48="钢混",J58/J51,1-(1-2%)*(J51-J58)/J51),3)</f>
        <v>#VALUE!</v>
      </c>
      <c r="K56" s="3110" t="s">
        <v>2354</v>
      </c>
      <c r="L56" s="2348"/>
      <c r="O56" s="2366" t="s">
        <v>2409</v>
      </c>
      <c r="P56" s="1576"/>
      <c r="Q56" s="1587"/>
      <c r="R56" s="1576"/>
    </row>
    <row r="57" spans="1:18" s="2042" customFormat="1" ht="43.5" thickBot="1">
      <c r="A57" s="2079"/>
      <c r="B57" s="2080"/>
      <c r="C57" s="2080"/>
      <c r="I57" s="3111" t="s">
        <v>2355</v>
      </c>
      <c r="J57" s="3121" t="s">
        <v>1678</v>
      </c>
      <c r="K57" s="3074" t="s">
        <v>2360</v>
      </c>
      <c r="L57" s="1891">
        <f ca="1">IF(L49&lt;J52,"——",L49-J52)</f>
        <v>0</v>
      </c>
      <c r="O57" s="2357" t="s">
        <v>2373</v>
      </c>
      <c r="P57" s="2358" t="s">
        <v>2374</v>
      </c>
      <c r="Q57" s="2359" t="s">
        <v>2375</v>
      </c>
      <c r="R57" s="2358" t="s">
        <v>2376</v>
      </c>
    </row>
    <row r="58" spans="1:18" s="2042" customFormat="1" ht="29.25" thickBot="1">
      <c r="A58" s="2079"/>
      <c r="B58" s="2080"/>
      <c r="C58" s="2080"/>
      <c r="I58" s="3112" t="s">
        <v>2356</v>
      </c>
      <c r="J58" s="3113" t="str">
        <f ca="1">IF(OR(M48="住宅",J52&lt;L49,J57="是"),"——",J52-L49)</f>
        <v>——</v>
      </c>
      <c r="K58" s="3074"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2" t="s">
        <v>2357</v>
      </c>
      <c r="J59" s="3050" t="e">
        <f ca="1">IF(J56&lt;0.4,0.4,J56)</f>
        <v>#VALUE!</v>
      </c>
      <c r="K59" s="3074"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2" t="s">
        <v>2358</v>
      </c>
      <c r="J60" s="3113" t="str">
        <f ca="1">IF(OR(M48="住宅",J52&lt;L49,J57="是"),"——",ROUND(C30*J59,0))</f>
        <v>——</v>
      </c>
      <c r="K60" s="3074"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4" t="s">
        <v>2359</v>
      </c>
      <c r="J61" s="3115" t="str">
        <f ca="1">IF(OR(M48="住宅",J52&lt;L49,J57="是"),"0",ROUND(J60/(1+J53)^J54,0))</f>
        <v>0</v>
      </c>
      <c r="K61" s="3116" t="s">
        <v>2364</v>
      </c>
      <c r="L61" s="3115"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7" t="s">
        <v>2365</v>
      </c>
      <c r="J63" s="3118" t="s">
        <v>2366</v>
      </c>
      <c r="K63" s="3118" t="s">
        <v>2367</v>
      </c>
      <c r="L63" s="3118" t="s">
        <v>2348</v>
      </c>
      <c r="M63" s="3119" t="s">
        <v>2940</v>
      </c>
      <c r="O63" s="2363" t="s">
        <v>2386</v>
      </c>
      <c r="P63" s="2361" t="s">
        <v>2394</v>
      </c>
      <c r="Q63" s="2362">
        <f ca="1">L60</f>
        <v>0</v>
      </c>
      <c r="R63" s="2365" t="s">
        <v>2395</v>
      </c>
    </row>
    <row r="64" spans="1:18" s="2042" customFormat="1" ht="15.75" thickBot="1">
      <c r="A64" s="2079"/>
      <c r="B64" s="2080"/>
      <c r="C64" s="2080"/>
      <c r="I64" s="3117" t="s">
        <v>2368</v>
      </c>
      <c r="J64" s="3118">
        <v>70</v>
      </c>
      <c r="K64" s="3118">
        <v>50</v>
      </c>
      <c r="L64" s="3118">
        <v>80</v>
      </c>
      <c r="M64" s="3120">
        <v>0.02</v>
      </c>
      <c r="O64" s="2360" t="s">
        <v>2389</v>
      </c>
      <c r="P64" s="2361" t="s">
        <v>2406</v>
      </c>
      <c r="Q64" s="2362" t="e">
        <f ca="1">Q58+Q59</f>
        <v>#DIV/0!</v>
      </c>
      <c r="R64" s="2365" t="s">
        <v>2390</v>
      </c>
    </row>
    <row r="65" spans="1:18" s="2042" customFormat="1" ht="16.5" thickBot="1">
      <c r="A65" s="2079"/>
      <c r="B65" s="2080"/>
      <c r="C65" s="2080"/>
      <c r="I65" s="3117" t="s">
        <v>2369</v>
      </c>
      <c r="J65" s="3118">
        <v>50</v>
      </c>
      <c r="K65" s="3118">
        <v>35</v>
      </c>
      <c r="L65" s="3118">
        <v>60</v>
      </c>
      <c r="M65" s="845">
        <v>0</v>
      </c>
      <c r="O65" s="2366" t="s">
        <v>2413</v>
      </c>
      <c r="P65" s="1576"/>
      <c r="Q65" s="1587"/>
      <c r="R65" s="1576"/>
    </row>
    <row r="66" spans="1:18" s="2042" customFormat="1" ht="15.75" thickBot="1">
      <c r="A66" s="2079"/>
      <c r="B66" s="2080"/>
      <c r="C66" s="2080"/>
      <c r="I66" s="3117" t="s">
        <v>2370</v>
      </c>
      <c r="J66" s="3118">
        <v>40</v>
      </c>
      <c r="K66" s="3118">
        <v>30</v>
      </c>
      <c r="L66" s="3118">
        <v>50</v>
      </c>
      <c r="M66" s="3120">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100" zoomScaleSheetLayoutView="10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受贵公司委托，我公司对北京市出让国有建设用地使用权抵押价格进行了预评估。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7" spans="1:4" ht="56.25">
      <c r="A7" s="1778" t="s">
        <v>2744</v>
      </c>
    </row>
    <row r="8" spans="1:4" ht="18.75">
      <c r="A8" s="1777" t="s">
        <v>1906</v>
      </c>
    </row>
    <row r="9" spans="1:4" ht="56.25">
      <c r="A9" s="177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2020年3月30日（评估专业人员勘察现场之日）</v>
      </c>
    </row>
    <row r="12" spans="1:4" ht="18.75">
      <c r="A12" s="1780" t="s">
        <v>2023</v>
      </c>
    </row>
    <row r="13" spans="1:4" ht="18.75">
      <c r="A13" s="1774" t="s">
        <v>2939</v>
      </c>
    </row>
    <row r="14" spans="1:4" ht="37.5">
      <c r="A14" s="1774" t="str">
        <f>"根据"&amp;项目基本情况!F12&amp;"，本次评估估价对象证载（地类）用途为"&amp;项目基本情况!B12&amp;"。"</f>
        <v>根据《国有土地使用证》[]，本次评估估价对象证载（地类）用途为住宅、车库。</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根据《国有土地使用证》[]，估价对象（分摊）出让国有建设用地使用权面积为42532.75平方米。根据《建设工程规划许可证》[]、《出让合同》[]，估价对象规划建筑面积为97045平方米。</v>
      </c>
    </row>
    <row r="21" spans="1:1" ht="18.75">
      <c r="A21" s="1774" t="s">
        <v>2072</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本次估价对象为出让国有建设用地使用权，《国有土地使用证》[]证载土地终止日期为住宅2090年1月6日车库2070年1月6日、仓储2070年1月6日。截至估价期日，出让国有建设用地使用权剩余土地使用年限为。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H30" sqref="H30"/>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3003</v>
      </c>
      <c r="D1" s="3073" t="s">
        <v>3180</v>
      </c>
      <c r="E1" s="2349" t="s">
        <v>2372</v>
      </c>
      <c r="F1" s="2350">
        <f ca="1">J53</f>
        <v>47.8</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6523</v>
      </c>
      <c r="C2" s="2040"/>
      <c r="D2" s="2038"/>
      <c r="E2" s="2039"/>
      <c r="F2" s="2039"/>
      <c r="G2" s="1574"/>
      <c r="H2" s="2040"/>
      <c r="I2" s="2040"/>
      <c r="J2" s="2040"/>
      <c r="K2" s="2041"/>
      <c r="L2" s="2040"/>
      <c r="M2" s="2040"/>
    </row>
    <row r="3" spans="1:33" ht="18" customHeight="1" thickBot="1">
      <c r="A3" s="832" t="s">
        <v>1727</v>
      </c>
      <c r="B3" s="833">
        <f ca="1">IF(ISERROR(B2*10000/F43),0,ROUND(B2*10000/F43,0))</f>
        <v>3960</v>
      </c>
      <c r="C3" s="2040"/>
      <c r="D3" s="2038"/>
      <c r="E3" s="2039"/>
      <c r="F3" s="2039"/>
      <c r="G3" s="1574"/>
      <c r="H3" s="775" t="s">
        <v>695</v>
      </c>
      <c r="I3" s="1356"/>
      <c r="J3" s="1356"/>
      <c r="K3" s="1575"/>
      <c r="L3" s="1356"/>
      <c r="M3" s="1356"/>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2456</v>
      </c>
      <c r="C5" s="55">
        <f ca="1">C6+C10+C12</f>
        <v>433</v>
      </c>
      <c r="D5" s="2458" t="s">
        <v>2459</v>
      </c>
      <c r="E5" s="2452"/>
      <c r="F5" s="2453"/>
      <c r="G5" s="1576"/>
      <c r="H5" s="780">
        <v>1</v>
      </c>
      <c r="I5" s="781" t="s">
        <v>2456</v>
      </c>
      <c r="J5" s="55">
        <f ca="1">J6+J10+J12</f>
        <v>0</v>
      </c>
      <c r="K5" s="2458" t="s">
        <v>2459</v>
      </c>
      <c r="L5" s="2452"/>
      <c r="M5" s="2453"/>
    </row>
    <row r="6" spans="1:33" ht="18" customHeight="1">
      <c r="A6" s="1813" t="s">
        <v>1824</v>
      </c>
      <c r="B6" s="3507" t="s">
        <v>2461</v>
      </c>
      <c r="C6" s="782">
        <f ca="1">ROUND(F6*F8*F7*(1-F9)/10000,0)</f>
        <v>433</v>
      </c>
      <c r="D6" s="2459" t="s">
        <v>2460</v>
      </c>
      <c r="E6" s="783" t="s">
        <v>1738</v>
      </c>
      <c r="F6" s="784">
        <f ca="1">INDIRECT("'数据-取费表'!u"&amp;$G$1)</f>
        <v>0.8</v>
      </c>
      <c r="G6" s="1576"/>
      <c r="H6" s="2466" t="s">
        <v>2466</v>
      </c>
      <c r="I6" s="3507" t="s">
        <v>2461</v>
      </c>
      <c r="J6" s="782">
        <f ca="1">ROUND(M6*M8*M7*(1-M9)/10000,0)</f>
        <v>0</v>
      </c>
      <c r="K6" s="340" t="s">
        <v>1737</v>
      </c>
      <c r="L6" s="783" t="s">
        <v>1738</v>
      </c>
      <c r="M6" s="784">
        <f ca="1">INDIRECT("'数据-取费表'!z"&amp;$G$1)</f>
        <v>0</v>
      </c>
    </row>
    <row r="7" spans="1:33" ht="18" customHeight="1">
      <c r="A7" s="2462"/>
      <c r="B7" s="3508"/>
      <c r="C7" s="787"/>
      <c r="D7" s="788"/>
      <c r="E7" s="783" t="s">
        <v>1739</v>
      </c>
      <c r="F7" s="784">
        <f ca="1">IF(INDIRECT("'数据-取费表'!ah"&amp;$G$1)="",INDIRECT("'数据-取费表'!k"&amp;$G$1),INDIRECT("'数据-取费表'!ah"&amp;$G$1))</f>
        <v>16471</v>
      </c>
      <c r="G7" s="1576"/>
      <c r="H7" s="2451"/>
      <c r="I7" s="3508"/>
      <c r="J7" s="787"/>
      <c r="K7" s="788"/>
      <c r="L7" s="783" t="s">
        <v>1739</v>
      </c>
      <c r="M7" s="784">
        <f ca="1">F7</f>
        <v>16471</v>
      </c>
    </row>
    <row r="8" spans="1:33" ht="18" customHeight="1">
      <c r="A8" s="2455"/>
      <c r="B8" s="3509"/>
      <c r="C8" s="787"/>
      <c r="D8" s="788"/>
      <c r="E8" s="783" t="s">
        <v>1740</v>
      </c>
      <c r="F8" s="784">
        <f ca="1">INDIRECT("'数据-取费表'!ai"&amp;$G$1)</f>
        <v>365</v>
      </c>
      <c r="G8" s="1576"/>
      <c r="H8" s="2451"/>
      <c r="I8" s="3509"/>
      <c r="J8" s="787"/>
      <c r="K8" s="788"/>
      <c r="L8" s="783" t="s">
        <v>1740</v>
      </c>
      <c r="M8" s="784">
        <f ca="1">INDIRECT("'数据-取费表'!ai"&amp;$G$1)</f>
        <v>365</v>
      </c>
    </row>
    <row r="9" spans="1:33" ht="18" customHeight="1">
      <c r="A9" s="785"/>
      <c r="B9" s="3510"/>
      <c r="C9" s="787"/>
      <c r="D9" s="788"/>
      <c r="E9" s="783" t="s">
        <v>1741</v>
      </c>
      <c r="F9" s="793">
        <f ca="1">INDIRECT("'数据-取费表'!w"&amp;$G$1)</f>
        <v>0.1</v>
      </c>
      <c r="G9" s="1576"/>
      <c r="H9" s="2467"/>
      <c r="I9" s="3509"/>
      <c r="J9" s="787"/>
      <c r="K9" s="788"/>
      <c r="L9" s="794" t="s">
        <v>1741</v>
      </c>
      <c r="M9" s="795">
        <f ca="1">INDIRECT("'数据-取费表'!ab"&amp;$G$1)</f>
        <v>0</v>
      </c>
    </row>
    <row r="10" spans="1:33" ht="18" customHeight="1">
      <c r="A10" s="1813" t="s">
        <v>2464</v>
      </c>
      <c r="B10" s="2456" t="s">
        <v>2457</v>
      </c>
      <c r="C10" s="798">
        <f ca="1">ROUND(IF(F10="押一",C6/12*F11,IF(F10="押二",C6/12*2*F11,IF(F10="押三",C6/12*3*F11,C11*F11))),0)</f>
        <v>0</v>
      </c>
      <c r="D10" s="2463" t="s">
        <v>2971</v>
      </c>
      <c r="E10" s="2460" t="s">
        <v>2462</v>
      </c>
      <c r="F10" s="2583" t="s">
        <v>3181</v>
      </c>
      <c r="G10" s="1576"/>
      <c r="H10" s="2523" t="s">
        <v>2467</v>
      </c>
      <c r="I10" s="2528" t="s">
        <v>2457</v>
      </c>
      <c r="J10" s="782">
        <f ca="1">ROUND(IF(M10="押一",J6/12*M11,IF(M10="押二",J6/12*2*M11,IF(M10="押三",J6/12*3*M11,J11*M11))),0)</f>
        <v>0</v>
      </c>
      <c r="K10" s="2463" t="s">
        <v>2971</v>
      </c>
      <c r="L10" s="2460" t="s">
        <v>2462</v>
      </c>
      <c r="M10" s="2583"/>
    </row>
    <row r="11" spans="1:33" ht="18" customHeight="1">
      <c r="A11" s="789"/>
      <c r="B11" s="2457" t="s">
        <v>2571</v>
      </c>
      <c r="C11" s="2461"/>
      <c r="D11" s="788"/>
      <c r="E11" s="2460" t="s">
        <v>2463</v>
      </c>
      <c r="F11" s="795">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1">
        <f ca="1">ROUND(C29*F13,0)</f>
        <v>5747</v>
      </c>
      <c r="D13" s="1817" t="s">
        <v>2295</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4224</v>
      </c>
      <c r="D14" s="1962" t="s">
        <v>1745</v>
      </c>
      <c r="E14" s="1963"/>
      <c r="F14" s="804"/>
      <c r="G14" s="1576"/>
      <c r="H14" s="1632" t="s">
        <v>1830</v>
      </c>
      <c r="I14" s="2214" t="s">
        <v>2823</v>
      </c>
      <c r="J14" s="53">
        <f ca="1">C29</f>
        <v>5747</v>
      </c>
      <c r="K14" s="26"/>
      <c r="L14" s="800"/>
      <c r="M14" s="801"/>
    </row>
    <row r="15" spans="1:33" s="2047" customFormat="1" ht="18" customHeight="1" thickBot="1">
      <c r="A15" s="1631" t="s">
        <v>1885</v>
      </c>
      <c r="B15" s="783" t="s">
        <v>647</v>
      </c>
      <c r="C15" s="53">
        <f ca="1">ROUND(C14*F15,0)</f>
        <v>127</v>
      </c>
      <c r="D15" s="805" t="s">
        <v>1746</v>
      </c>
      <c r="E15" s="805" t="s">
        <v>1747</v>
      </c>
      <c r="F15" s="806">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570</v>
      </c>
      <c r="K16" s="1804" t="s">
        <v>1750</v>
      </c>
      <c r="L16" s="2448"/>
      <c r="M16" s="2453"/>
    </row>
    <row r="17" spans="1:33" s="2047" customFormat="1" ht="18" customHeight="1">
      <c r="A17" s="1631" t="s">
        <v>1887</v>
      </c>
      <c r="B17" s="783" t="s">
        <v>653</v>
      </c>
      <c r="C17" s="53">
        <f ca="1">ROUND(F17*(F43+INDIRECT("'数据-取费表'!S"&amp;$G$1))/10000,0)</f>
        <v>338</v>
      </c>
      <c r="D17" s="783" t="s">
        <v>1751</v>
      </c>
      <c r="E17" s="783" t="s">
        <v>1752</v>
      </c>
      <c r="F17" s="56">
        <f>'数据-取费表'!B35</f>
        <v>200</v>
      </c>
      <c r="G17" s="1577"/>
      <c r="H17" s="1632" t="s">
        <v>1830</v>
      </c>
      <c r="I17" s="783" t="s">
        <v>656</v>
      </c>
      <c r="J17" s="53">
        <f ca="1">ROUND(IF(项目基本情况!B11="自然人",J6*M17/(1+'数据-取费表'!C42),J18+J19+J20),0)</f>
        <v>484</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63</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4752</v>
      </c>
      <c r="D19" s="260" t="s">
        <v>1757</v>
      </c>
      <c r="E19" s="1965"/>
      <c r="F19" s="56"/>
      <c r="G19" s="1576"/>
      <c r="H19" s="1631" t="s">
        <v>1885</v>
      </c>
      <c r="I19" s="783" t="s">
        <v>1758</v>
      </c>
      <c r="J19" s="53">
        <f ca="1">IF(K19="按租金收入计税",ROUND(J6*M19/(1+'数据-取费表'!C42),1),ROUND(C29*F33*0.7,1))</f>
        <v>482.7</v>
      </c>
      <c r="K19" s="810" t="s">
        <v>665</v>
      </c>
      <c r="L19" s="783" t="s">
        <v>1747</v>
      </c>
      <c r="M19" s="808">
        <f>IF(K19="按租金收入计税",'数据-取费表'!B51,'数据-取费表'!B50)</f>
        <v>1.2E-2</v>
      </c>
    </row>
    <row r="20" spans="1:33" s="2047" customFormat="1" ht="18" customHeight="1">
      <c r="A20" s="1632" t="s">
        <v>1889</v>
      </c>
      <c r="B20" s="783" t="s">
        <v>666</v>
      </c>
      <c r="C20" s="53">
        <f ca="1">ROUND(C19*F20,0)</f>
        <v>95</v>
      </c>
      <c r="D20" s="811" t="s">
        <v>1759</v>
      </c>
      <c r="E20" s="783" t="s">
        <v>1747</v>
      </c>
      <c r="F20" s="808">
        <f>'数据-取费表'!B37</f>
        <v>0.02</v>
      </c>
      <c r="G20" s="1577"/>
      <c r="H20" s="1634" t="s">
        <v>1880</v>
      </c>
      <c r="I20" s="340" t="s">
        <v>1760</v>
      </c>
      <c r="J20" s="54">
        <f ca="1">ROUND(M20*M21/10000,0)</f>
        <v>1</v>
      </c>
      <c r="K20" s="813" t="s">
        <v>1761</v>
      </c>
      <c r="L20" s="783" t="s">
        <v>1762</v>
      </c>
      <c r="M20" s="639">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2296</v>
      </c>
      <c r="E21" s="783" t="s">
        <v>1765</v>
      </c>
      <c r="F21" s="808">
        <f>'数据-取费表'!B38</f>
        <v>0.02</v>
      </c>
      <c r="G21" s="1577"/>
      <c r="H21" s="2468"/>
      <c r="I21" s="792"/>
      <c r="J21" s="69"/>
      <c r="K21" s="815"/>
      <c r="L21" s="783" t="s">
        <v>1766</v>
      </c>
      <c r="M21" s="784">
        <f ca="1">INDIRECT("'数据-取费表'!r"&amp;$G$1)</f>
        <v>7405.4900000000007</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86</v>
      </c>
      <c r="K22" s="2446" t="s">
        <v>1769</v>
      </c>
      <c r="L22" s="783" t="s">
        <v>1747</v>
      </c>
      <c r="M22" s="816">
        <f ca="1">INDIRECT("'数据-取费表'!Ak"&amp;$G$1)</f>
        <v>1.4999999999999999E-2</v>
      </c>
    </row>
    <row r="23" spans="1:33" s="2047" customFormat="1" ht="18" customHeight="1">
      <c r="A23" s="1631" t="s">
        <v>1831</v>
      </c>
      <c r="B23" s="783" t="s">
        <v>2533</v>
      </c>
      <c r="C23" s="53">
        <f ca="1">ROUND(IF('数据-取费表'!B22&lt;=1,(C19+C20)*F24*F23/2,(C19+C20)*(POWER((1+F24),F23/2)-1)),0)</f>
        <v>230</v>
      </c>
      <c r="D23" s="2533" t="str">
        <f>IF(F23&lt;=1,"(建造成本+管理费用)×利率×(建设周期÷2)","(建造成本+管理费用)×((1+利率)^(建设周期÷2)-1)")</f>
        <v>(建造成本+管理费用)×((1+利率)^(建设周期÷2)-1)</v>
      </c>
      <c r="E23" s="783" t="s">
        <v>1770</v>
      </c>
      <c r="F23" s="639">
        <f>'数据-取费表'!B20</f>
        <v>2</v>
      </c>
      <c r="G23" s="1577"/>
      <c r="H23" s="1632" t="s">
        <v>1890</v>
      </c>
      <c r="I23" s="783" t="s">
        <v>679</v>
      </c>
      <c r="J23" s="53">
        <f ca="1">ROUND(J13*M23,0)</f>
        <v>0</v>
      </c>
      <c r="K23" s="2446" t="s">
        <v>1771</v>
      </c>
      <c r="L23" s="783" t="s">
        <v>1747</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1E-3</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59" t="s">
        <v>2819</v>
      </c>
      <c r="J25" s="791">
        <f ca="1">J5-J16</f>
        <v>-570</v>
      </c>
      <c r="K25" s="2510" t="s">
        <v>1777</v>
      </c>
      <c r="L25" s="2511"/>
      <c r="M25" s="2512"/>
    </row>
    <row r="26" spans="1:33" ht="18" customHeight="1">
      <c r="A26" s="1631" t="s">
        <v>1831</v>
      </c>
      <c r="B26" s="783" t="s">
        <v>2436</v>
      </c>
      <c r="C26" s="53">
        <f ca="1">ROUND((C19+C20)*F26,0)</f>
        <v>242</v>
      </c>
      <c r="D26" s="811" t="s">
        <v>1778</v>
      </c>
      <c r="E26" s="794" t="s">
        <v>1779</v>
      </c>
      <c r="F26" s="793">
        <f ca="1">INDIRECT("'数据-取费表'!q"&amp;$G$1)</f>
        <v>0.05</v>
      </c>
      <c r="G26" s="1576"/>
      <c r="H26" s="2464" t="s">
        <v>1780</v>
      </c>
      <c r="I26" s="2215" t="s">
        <v>2824</v>
      </c>
      <c r="J26" s="782">
        <f ca="1">IF(J5&lt;&gt;0,ROUND(J25*(1-((1+M28)/(1+M26))^M27)/(M26-M28),0),0)</f>
        <v>0</v>
      </c>
      <c r="K26" s="813" t="s">
        <v>1781</v>
      </c>
      <c r="L26" s="783" t="s">
        <v>2417</v>
      </c>
      <c r="M26" s="793">
        <f ca="1">INDIRECT("'数据-取费表'!I"&amp;$G$1)</f>
        <v>0.05</v>
      </c>
    </row>
    <row r="27" spans="1:33" ht="18" customHeight="1">
      <c r="A27" s="1631" t="s">
        <v>1832</v>
      </c>
      <c r="B27" s="783" t="s">
        <v>686</v>
      </c>
      <c r="C27" s="53">
        <f ca="1">ROUND(F21*F26,4)</f>
        <v>1E-3</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5.2400000000000002E-2</v>
      </c>
      <c r="D28" s="811" t="s">
        <v>2297</v>
      </c>
      <c r="E28" s="783" t="s">
        <v>1785</v>
      </c>
      <c r="F28" s="808">
        <f>'数据-取费表'!B41</f>
        <v>5.5000000000000007E-2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f ca="1">ROUND((C19+C20+C23+C26)/(1-F21-C24-C27-C28),0)</f>
        <v>5747</v>
      </c>
      <c r="D29" s="2507"/>
      <c r="E29" s="2508"/>
      <c r="F29" s="2509"/>
      <c r="G29" s="1577"/>
      <c r="H29" s="822" t="s">
        <v>1787</v>
      </c>
      <c r="I29" s="823" t="s">
        <v>1788</v>
      </c>
      <c r="J29" s="824">
        <f ca="1">ROUND(J26/(1+F40)^F41,0)</f>
        <v>0</v>
      </c>
      <c r="K29" s="825" t="s">
        <v>1789</v>
      </c>
      <c r="L29" s="826"/>
      <c r="M29" s="827">
        <f ca="1">INDIRECT("'数据-取费表'!k"&amp;$G$1)</f>
        <v>16471</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172</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73.3</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22.7</v>
      </c>
      <c r="D32" s="1960" t="s">
        <v>1795</v>
      </c>
      <c r="E32" s="783" t="s">
        <v>1796</v>
      </c>
      <c r="F32" s="808">
        <f>'数据-取费表'!B41</f>
        <v>5.5000000000000007E-2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49.5</v>
      </c>
      <c r="D33" s="810" t="s">
        <v>3189</v>
      </c>
      <c r="E33" s="783" t="s">
        <v>1796</v>
      </c>
      <c r="F33" s="808">
        <f>IF(D33="按租金收入计税",'数据-取费表'!B51,'数据-取费表'!B50)</f>
        <v>0.12</v>
      </c>
      <c r="G33" s="2045"/>
      <c r="H33" s="2060"/>
      <c r="I33" s="2060"/>
      <c r="J33" s="2060"/>
      <c r="K33" s="2061"/>
      <c r="L33" s="2060"/>
      <c r="M33" s="2060"/>
    </row>
    <row r="34" spans="1:18" ht="18" customHeight="1">
      <c r="A34" s="1634" t="s">
        <v>1833</v>
      </c>
      <c r="B34" s="340" t="s">
        <v>1798</v>
      </c>
      <c r="C34" s="54">
        <f ca="1">ROUND(F34*F35/10000,1)</f>
        <v>1.1000000000000001</v>
      </c>
      <c r="D34" s="813" t="s">
        <v>1799</v>
      </c>
      <c r="E34" s="783" t="s">
        <v>1800</v>
      </c>
      <c r="F34" s="639">
        <f>'数据-取费表'!B52</f>
        <v>1.5</v>
      </c>
      <c r="G34" s="2045"/>
      <c r="H34" s="2048"/>
      <c r="I34" s="834" t="s">
        <v>1813</v>
      </c>
      <c r="J34" s="835"/>
      <c r="K34" s="2063"/>
      <c r="L34" s="2062"/>
      <c r="M34" s="2062"/>
    </row>
    <row r="35" spans="1:18" ht="18" customHeight="1">
      <c r="A35" s="814"/>
      <c r="B35" s="792"/>
      <c r="C35" s="69"/>
      <c r="D35" s="815"/>
      <c r="E35" s="783" t="s">
        <v>1801</v>
      </c>
      <c r="F35" s="784">
        <f ca="1">INDIRECT("'数据-取费表'!r"&amp;$G$1)</f>
        <v>7405.4900000000007</v>
      </c>
      <c r="G35" s="2045"/>
      <c r="H35" s="2048"/>
      <c r="I35" s="836" t="s">
        <v>1814</v>
      </c>
      <c r="J35" s="837">
        <f ca="1">ROUND(C13*J36,0)</f>
        <v>460</v>
      </c>
      <c r="K35" s="2061"/>
      <c r="L35" s="2060"/>
      <c r="M35" s="2060"/>
    </row>
    <row r="36" spans="1:18" ht="18" customHeight="1">
      <c r="A36" s="1632" t="s">
        <v>1889</v>
      </c>
      <c r="B36" s="783" t="s">
        <v>1802</v>
      </c>
      <c r="C36" s="53">
        <f ca="1">ROUND(C29*F36,1)</f>
        <v>86.2</v>
      </c>
      <c r="D36" s="1960" t="s">
        <v>1803</v>
      </c>
      <c r="E36" s="783" t="s">
        <v>1796</v>
      </c>
      <c r="F36" s="816">
        <f ca="1">INDIRECT("'数据-取费表'!Ak"&amp;$G$1)</f>
        <v>1.4999999999999999E-2</v>
      </c>
      <c r="G36" s="2045"/>
      <c r="H36" s="2060"/>
      <c r="I36" s="838" t="s">
        <v>1815</v>
      </c>
      <c r="J36" s="839">
        <f ca="1">INDIRECT("'数据-取费表'!j"&amp;$G$1)</f>
        <v>0.08</v>
      </c>
      <c r="K36" s="2065"/>
      <c r="L36" s="2060"/>
      <c r="M36" s="2060"/>
    </row>
    <row r="37" spans="1:18" ht="18" customHeight="1">
      <c r="A37" s="1632" t="s">
        <v>1890</v>
      </c>
      <c r="B37" s="783" t="s">
        <v>679</v>
      </c>
      <c r="C37" s="53">
        <f ca="1">ROUND(C13*F37,1)</f>
        <v>8.6</v>
      </c>
      <c r="D37" s="1960" t="s">
        <v>1804</v>
      </c>
      <c r="E37" s="783" t="s">
        <v>1796</v>
      </c>
      <c r="F37" s="817">
        <f ca="1">INDIRECT("'数据-取费表'!Al"&amp;$G$1)</f>
        <v>1.5E-3</v>
      </c>
      <c r="G37" s="2045"/>
      <c r="H37" s="2060"/>
      <c r="I37" s="840" t="s">
        <v>1816</v>
      </c>
      <c r="J37" s="841"/>
      <c r="K37" s="2065"/>
      <c r="L37" s="2060"/>
      <c r="M37" s="2060"/>
    </row>
    <row r="38" spans="1:18" ht="18" customHeight="1" thickBot="1">
      <c r="A38" s="2513" t="s">
        <v>1891</v>
      </c>
      <c r="B38" s="2508" t="s">
        <v>666</v>
      </c>
      <c r="C38" s="2506">
        <f ca="1">ROUND(C5*F38,1)</f>
        <v>4.3</v>
      </c>
      <c r="D38" s="2507" t="s">
        <v>1805</v>
      </c>
      <c r="E38" s="2508" t="s">
        <v>1796</v>
      </c>
      <c r="F38" s="2504">
        <f ca="1">INDIRECT("'数据-取费表'!Am"&amp;$G$1)</f>
        <v>0.01</v>
      </c>
      <c r="G38" s="2045"/>
      <c r="H38" s="2060"/>
      <c r="I38" s="842" t="s">
        <v>1817</v>
      </c>
      <c r="J38" s="843"/>
      <c r="K38" s="2066"/>
      <c r="L38" s="2060"/>
      <c r="M38" s="2060"/>
    </row>
    <row r="39" spans="1:18" ht="24.6" customHeight="1" thickTop="1">
      <c r="A39" s="1812" t="s">
        <v>1894</v>
      </c>
      <c r="B39" s="2959" t="s">
        <v>2819</v>
      </c>
      <c r="C39" s="791">
        <f ca="1">C5-C30</f>
        <v>261</v>
      </c>
      <c r="D39" s="2510" t="s">
        <v>1806</v>
      </c>
      <c r="E39" s="2511"/>
      <c r="F39" s="2512"/>
      <c r="G39" s="2045"/>
      <c r="H39" s="2060"/>
      <c r="I39" s="836" t="s">
        <v>1818</v>
      </c>
      <c r="J39" s="844">
        <f ca="1">ROUND(J35/C39,3)</f>
        <v>1.762</v>
      </c>
      <c r="K39" s="2066"/>
      <c r="L39" s="2060"/>
      <c r="M39" s="2060"/>
    </row>
    <row r="40" spans="1:18" ht="18" customHeight="1">
      <c r="A40" s="780" t="s">
        <v>1895</v>
      </c>
      <c r="B40" s="2215" t="s">
        <v>2299</v>
      </c>
      <c r="C40" s="782">
        <f ca="1">ROUND(C39*(1-((1+F42)/(1+F40))^F41)/(F40-F42),0)</f>
        <v>6523</v>
      </c>
      <c r="D40" s="813" t="s">
        <v>1807</v>
      </c>
      <c r="E40" s="783" t="s">
        <v>2417</v>
      </c>
      <c r="F40" s="793">
        <f ca="1">INDIRECT("'数据-取费表'!I"&amp;$G$1)</f>
        <v>0.05</v>
      </c>
      <c r="G40" s="2045"/>
      <c r="H40" s="2045"/>
      <c r="I40" s="836" t="s">
        <v>1819</v>
      </c>
      <c r="J40" s="844">
        <f ca="1">1-J39</f>
        <v>-0.76200000000000001</v>
      </c>
      <c r="K40" s="2066"/>
      <c r="L40" s="2045"/>
      <c r="M40" s="2045"/>
    </row>
    <row r="41" spans="1:18" ht="18" customHeight="1">
      <c r="A41" s="785"/>
      <c r="B41" s="786"/>
      <c r="C41" s="787"/>
      <c r="D41" s="820" t="s">
        <v>1808</v>
      </c>
      <c r="E41" s="783" t="s">
        <v>2961</v>
      </c>
      <c r="F41" s="821">
        <f ca="1">IF(INDIRECT("'数据-取费表'!af"&amp;$G$1)=0,INDIRECT("'数据-取费表'!ae"&amp;$G$1),INDIRECT("'数据-取费表'!af"&amp;$G$1))</f>
        <v>47.8</v>
      </c>
      <c r="G41" s="2045"/>
      <c r="H41" s="1971"/>
      <c r="I41" s="842" t="s">
        <v>1820</v>
      </c>
      <c r="J41" s="845"/>
      <c r="K41" s="2065"/>
      <c r="L41" s="1971"/>
      <c r="M41" s="1971"/>
    </row>
    <row r="42" spans="1:18" ht="18" customHeight="1">
      <c r="A42" s="789"/>
      <c r="B42" s="790"/>
      <c r="C42" s="791"/>
      <c r="D42" s="815"/>
      <c r="E42" s="783" t="s">
        <v>1809</v>
      </c>
      <c r="F42" s="793">
        <f ca="1">INDIRECT("'数据-取费表'!v"&amp;$G$1)</f>
        <v>0.02</v>
      </c>
      <c r="G42" s="2045"/>
      <c r="H42" s="1971"/>
      <c r="I42" s="846" t="s">
        <v>1821</v>
      </c>
      <c r="J42" s="844">
        <f ca="1">ROUND(C13/C40,3)</f>
        <v>0.88100000000000001</v>
      </c>
      <c r="K42" s="2065"/>
      <c r="L42" s="1971"/>
      <c r="M42" s="1971"/>
    </row>
    <row r="43" spans="1:18" ht="18" customHeight="1" thickBot="1">
      <c r="A43" s="822" t="s">
        <v>1787</v>
      </c>
      <c r="B43" s="823" t="s">
        <v>1810</v>
      </c>
      <c r="C43" s="824">
        <f ca="1">ROUND(C40*10000/F43,0)</f>
        <v>3960</v>
      </c>
      <c r="D43" s="825" t="s">
        <v>1811</v>
      </c>
      <c r="E43" s="826" t="s">
        <v>1812</v>
      </c>
      <c r="F43" s="827">
        <f ca="1">INDIRECT("'数据-取费表'!k"&amp;$G$1)</f>
        <v>16471</v>
      </c>
      <c r="G43" s="2045"/>
      <c r="H43" s="1971"/>
      <c r="I43" s="846" t="s">
        <v>1822</v>
      </c>
      <c r="J43" s="847">
        <f ca="1">1-J42</f>
        <v>0.11899999999999999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f ca="1">C67-C40</f>
        <v>-8257</v>
      </c>
      <c r="D46" s="2068"/>
      <c r="E46" s="2068"/>
      <c r="F46" s="2068"/>
      <c r="I46" s="2340" t="s">
        <v>2341</v>
      </c>
      <c r="J46" s="2341"/>
      <c r="K46" s="2342"/>
      <c r="L46" s="3104">
        <f>IF(OR(M47="住宅",D1="土地（套用方法）"),0,IF(L48&gt;J51,L60,J60))</f>
        <v>0</v>
      </c>
      <c r="O46" s="2356" t="s">
        <v>2408</v>
      </c>
      <c r="P46" s="1576"/>
      <c r="Q46" s="1587"/>
      <c r="R46" s="1576"/>
    </row>
    <row r="47" spans="1:18" s="2042" customFormat="1" ht="18" customHeight="1" thickBot="1">
      <c r="A47" s="2334">
        <v>1</v>
      </c>
      <c r="B47" s="2335" t="s">
        <v>635</v>
      </c>
      <c r="C47" s="2536">
        <f ca="1">C48+C52+C54</f>
        <v>0</v>
      </c>
      <c r="D47" s="2068"/>
      <c r="E47" s="2068"/>
      <c r="F47" s="2068"/>
      <c r="I47" s="3095" t="s">
        <v>2342</v>
      </c>
      <c r="J47" s="2343" t="s">
        <v>3164</v>
      </c>
      <c r="K47" s="3101" t="s">
        <v>2347</v>
      </c>
      <c r="L47" s="3105">
        <f ca="1">INDIRECT("'数据-取费表'!d"&amp;$G$1)</f>
        <v>50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4" t="s">
        <v>2343</v>
      </c>
      <c r="J48" s="2344" t="s">
        <v>2348</v>
      </c>
      <c r="K48" s="3102" t="s">
        <v>2349</v>
      </c>
      <c r="L48" s="1891">
        <f ca="1">INDIRECT("'数据-取费表'!f"&amp;$G$1)</f>
        <v>49.8</v>
      </c>
      <c r="O48" s="2360" t="s">
        <v>2377</v>
      </c>
      <c r="P48" s="2361" t="s">
        <v>2403</v>
      </c>
      <c r="Q48" s="2362">
        <f ca="1">C40+J29</f>
        <v>6523</v>
      </c>
      <c r="R48" s="2361" t="s">
        <v>2378</v>
      </c>
    </row>
    <row r="49" spans="1:18" s="2042" customFormat="1" ht="18" customHeight="1" thickBot="1">
      <c r="A49" s="785"/>
      <c r="B49" s="786"/>
      <c r="C49" s="787"/>
      <c r="D49" s="788"/>
      <c r="E49" s="783" t="s">
        <v>1739</v>
      </c>
      <c r="F49" s="784">
        <f ca="1">F7</f>
        <v>16471</v>
      </c>
      <c r="G49" s="2073"/>
      <c r="H49" s="2076"/>
      <c r="I49" s="3074" t="s">
        <v>2344</v>
      </c>
      <c r="J49" s="2345"/>
      <c r="K49" s="3103" t="s">
        <v>2350</v>
      </c>
      <c r="L49" s="2346"/>
      <c r="O49" s="2360" t="s">
        <v>2379</v>
      </c>
      <c r="P49" s="2361" t="s">
        <v>2404</v>
      </c>
      <c r="Q49" s="2362" t="str">
        <f ca="1">J60</f>
        <v>0</v>
      </c>
      <c r="R49" s="2361" t="s">
        <v>2380</v>
      </c>
    </row>
    <row r="50" spans="1:18" s="2042" customFormat="1" ht="18" customHeight="1" thickBot="1">
      <c r="A50" s="785"/>
      <c r="B50" s="786"/>
      <c r="C50" s="787"/>
      <c r="D50" s="788"/>
      <c r="E50" s="783" t="s">
        <v>1740</v>
      </c>
      <c r="F50" s="784">
        <f ca="1">F8</f>
        <v>365</v>
      </c>
      <c r="G50" s="2078"/>
      <c r="H50" s="2076"/>
      <c r="I50" s="3074" t="s">
        <v>2345</v>
      </c>
      <c r="J50" s="3099">
        <f>SUMPRODUCT((I63:I65=J47)*(J62:L62=J48)*(J63:L65))</f>
        <v>60</v>
      </c>
      <c r="K50" s="3103" t="s">
        <v>2351</v>
      </c>
      <c r="L50" s="2346"/>
      <c r="O50" s="2363" t="s">
        <v>2381</v>
      </c>
      <c r="P50" s="2361" t="s">
        <v>2405</v>
      </c>
      <c r="Q50" s="2362">
        <f ca="1">C29</f>
        <v>5747</v>
      </c>
      <c r="R50" s="2361" t="s">
        <v>2378</v>
      </c>
    </row>
    <row r="51" spans="1:18" s="2042" customFormat="1" ht="18" customHeight="1" thickBot="1">
      <c r="A51" s="785"/>
      <c r="B51" s="786"/>
      <c r="C51" s="787"/>
      <c r="D51" s="788"/>
      <c r="E51" s="783" t="s">
        <v>640</v>
      </c>
      <c r="F51" s="2333"/>
      <c r="H51" s="2076"/>
      <c r="I51" s="3096" t="s">
        <v>2346</v>
      </c>
      <c r="J51" s="3100">
        <f>IF(J49="",J50,J49+J50-YEAR('数据-取费表'!B2))</f>
        <v>60</v>
      </c>
      <c r="K51" s="3074" t="s">
        <v>2352</v>
      </c>
      <c r="L51" s="3106">
        <f ca="1">ROUND(-PV(INDIRECT("'数据-取费表'!h"&amp;$G$1),L48,(C39-C13*J36),0),0)</f>
        <v>-3924</v>
      </c>
      <c r="O51" s="2363" t="s">
        <v>2382</v>
      </c>
      <c r="P51" s="2361" t="s">
        <v>2383</v>
      </c>
      <c r="Q51" s="2364" t="e">
        <f ca="1">J58</f>
        <v>#VALUE!</v>
      </c>
      <c r="R51" s="2365"/>
    </row>
    <row r="52" spans="1:18" s="2042" customFormat="1" ht="18" customHeight="1" thickBot="1">
      <c r="A52" s="780" t="s">
        <v>2534</v>
      </c>
      <c r="B52" s="2456" t="s">
        <v>2457</v>
      </c>
      <c r="C52" s="798">
        <f ca="1">ROUND(IF(F52="押一",C48/12*F11,IF(F52="押二",C48/12*2*F11,IF(F52="押三",C48/12*3*F11,C53*F11))),0)</f>
        <v>0</v>
      </c>
      <c r="D52" s="2463" t="s">
        <v>2972</v>
      </c>
      <c r="E52" s="2460" t="s">
        <v>2462</v>
      </c>
      <c r="F52" s="2583"/>
      <c r="I52" s="3097" t="s">
        <v>2419</v>
      </c>
      <c r="J52" s="2347"/>
      <c r="K52" s="3097" t="s">
        <v>2418</v>
      </c>
      <c r="L52" s="2347"/>
      <c r="O52" s="2363" t="s">
        <v>2384</v>
      </c>
      <c r="P52" s="2361" t="s">
        <v>2385</v>
      </c>
      <c r="Q52" s="2364">
        <f>J52</f>
        <v>0</v>
      </c>
      <c r="R52" s="2365"/>
    </row>
    <row r="53" spans="1:18" s="2042" customFormat="1" ht="39.75" customHeight="1" thickBot="1">
      <c r="A53" s="785"/>
      <c r="B53" s="2457" t="s">
        <v>2571</v>
      </c>
      <c r="C53" s="2461"/>
      <c r="D53" s="2463"/>
      <c r="E53" s="2460"/>
      <c r="F53" s="799"/>
      <c r="I53" s="3098" t="s">
        <v>2975</v>
      </c>
      <c r="J53" s="3177">
        <f ca="1">IF(M47="住宅",IF(D1="——",MAX(J51,L48),MAX(J51,L48-'数据-取费表'!B20)),IF(D1="——",MIN(J51,L48),MIN(J51,L48-'数据-取费表'!B20)))</f>
        <v>47.8</v>
      </c>
      <c r="K53" s="3513" t="s">
        <v>2963</v>
      </c>
      <c r="L53" s="3514"/>
      <c r="O53" s="2363" t="s">
        <v>2386</v>
      </c>
      <c r="P53" s="2361" t="s">
        <v>2387</v>
      </c>
      <c r="Q53" s="2362">
        <f ca="1">J53</f>
        <v>47.8</v>
      </c>
      <c r="R53" s="2361" t="s">
        <v>2388</v>
      </c>
    </row>
    <row r="54" spans="1:18" s="2042" customFormat="1" ht="18" customHeight="1" thickBot="1">
      <c r="A54" s="2499" t="s">
        <v>2465</v>
      </c>
      <c r="B54" s="2500" t="s">
        <v>2458</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6523</v>
      </c>
      <c r="R54" s="2365" t="s">
        <v>2390</v>
      </c>
    </row>
    <row r="55" spans="1:18" s="2042" customFormat="1" ht="18" customHeight="1" thickTop="1" thickBot="1">
      <c r="A55" s="796">
        <v>2</v>
      </c>
      <c r="B55" s="797" t="s">
        <v>644</v>
      </c>
      <c r="C55" s="798">
        <f ca="1">C13</f>
        <v>5747</v>
      </c>
      <c r="D55" s="794"/>
      <c r="E55" s="794"/>
      <c r="F55" s="799"/>
      <c r="I55" s="3109" t="s">
        <v>2353</v>
      </c>
      <c r="J55" s="3049" t="e">
        <f ca="1">ROUND(IF(J47="钢混",J57/J50,1-(1-2%)*(J50-J57)/J50),3)</f>
        <v>#VALUE!</v>
      </c>
      <c r="K55" s="3110" t="s">
        <v>2354</v>
      </c>
      <c r="L55" s="2348"/>
      <c r="O55" s="2366" t="s">
        <v>2409</v>
      </c>
      <c r="P55" s="1576"/>
      <c r="Q55" s="1587"/>
      <c r="R55" s="1576"/>
    </row>
    <row r="56" spans="1:18" s="2042" customFormat="1" ht="42.75" customHeight="1" thickBot="1">
      <c r="A56" s="1633"/>
      <c r="B56" s="2214" t="s">
        <v>2300</v>
      </c>
      <c r="C56" s="53">
        <f ca="1">C29</f>
        <v>5747</v>
      </c>
      <c r="D56" s="2601"/>
      <c r="E56" s="783"/>
      <c r="F56" s="808"/>
      <c r="I56" s="3111" t="s">
        <v>2355</v>
      </c>
      <c r="J56" s="3121" t="s">
        <v>1678</v>
      </c>
      <c r="K56" s="3074" t="s">
        <v>2360</v>
      </c>
      <c r="L56" s="1891" t="str">
        <f ca="1">IF(L48&lt;J51,"——",L48-J51)</f>
        <v>——</v>
      </c>
      <c r="O56" s="2357" t="s">
        <v>2373</v>
      </c>
      <c r="P56" s="2358" t="s">
        <v>2374</v>
      </c>
      <c r="Q56" s="2359" t="s">
        <v>2375</v>
      </c>
      <c r="R56" s="2358" t="s">
        <v>2376</v>
      </c>
    </row>
    <row r="57" spans="1:18" s="2042" customFormat="1" ht="28.5" customHeight="1" thickBot="1">
      <c r="A57" s="796" t="s">
        <v>1748</v>
      </c>
      <c r="B57" s="797" t="s">
        <v>651</v>
      </c>
      <c r="C57" s="798">
        <f ca="1">ROUND(C58+C63+C64+C65,0)</f>
        <v>96</v>
      </c>
      <c r="D57" s="26" t="s">
        <v>1750</v>
      </c>
      <c r="E57" s="2602"/>
      <c r="F57" s="56"/>
      <c r="I57" s="3112" t="s">
        <v>2356</v>
      </c>
      <c r="J57" s="3113" t="str">
        <f ca="1">IF(OR(M47="住宅",J51&lt;L48,J56="是"),"——",J51-L48)</f>
        <v>——</v>
      </c>
      <c r="K57" s="3074" t="s">
        <v>2361</v>
      </c>
      <c r="L57" s="1891" t="str">
        <f ca="1">IF(L48&lt;J51,"——",IF(L55="比较法",L49,IF(L55="基准地价",L50,L51)))</f>
        <v>——</v>
      </c>
      <c r="O57" s="2360" t="s">
        <v>2377</v>
      </c>
      <c r="P57" s="2361" t="s">
        <v>2407</v>
      </c>
      <c r="Q57" s="2362">
        <f ca="1">C40+J29</f>
        <v>6523</v>
      </c>
      <c r="R57" s="2361" t="s">
        <v>2378</v>
      </c>
    </row>
    <row r="58" spans="1:18" s="2042" customFormat="1" ht="28.5" customHeight="1" thickBot="1">
      <c r="A58" s="1632" t="s">
        <v>1824</v>
      </c>
      <c r="B58" s="783" t="s">
        <v>656</v>
      </c>
      <c r="C58" s="53">
        <f ca="1">ROUND(IF(项目基本情况!B11="自然人",C47*F58,C59+C60+C61),1)</f>
        <v>1.1000000000000001</v>
      </c>
      <c r="D58" s="2600" t="s">
        <v>657</v>
      </c>
      <c r="E58" s="2601" t="s">
        <v>690</v>
      </c>
      <c r="F58" s="809" t="str">
        <f ca="1">IF(项目基本情况!B11="企业","",IF(INDIRECT("'数据-取费表'!c"&amp;$G$1)="住宅",5%,IF(F48*F49*F50/12/(1+'数据-取费表'!C42)&gt;20000,12%,7%)))</f>
        <v/>
      </c>
      <c r="I58" s="3112" t="s">
        <v>2357</v>
      </c>
      <c r="J58" s="3050" t="e">
        <f ca="1">IF(J55&lt;0.4,0.4,J55)</f>
        <v>#VALUE!</v>
      </c>
      <c r="K58" s="3074"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3" t="s">
        <v>660</v>
      </c>
      <c r="C59" s="53">
        <f ca="1">ROUND(C47*F59/1.05,1)</f>
        <v>0</v>
      </c>
      <c r="D59" s="2601" t="s">
        <v>1756</v>
      </c>
      <c r="E59" s="783" t="s">
        <v>1747</v>
      </c>
      <c r="F59" s="808">
        <f t="shared" ref="F59:F65" si="0">F32</f>
        <v>5.5000000000000007E-2</v>
      </c>
      <c r="I59" s="3112" t="s">
        <v>2358</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4" t="s">
        <v>2359</v>
      </c>
      <c r="J60" s="3115" t="str">
        <f ca="1">IF(OR(M47="住宅",J51&lt;L48,J56="是"),"0",ROUND(J59/(1+J52)^J53,0))</f>
        <v>0</v>
      </c>
      <c r="K60" s="3116" t="s">
        <v>2364</v>
      </c>
      <c r="L60" s="3115">
        <f ca="1">IF(OR(M47="住宅",L48&lt;J51),0,ROUND(L57*(L58/L59-1),0))</f>
        <v>0</v>
      </c>
      <c r="O60" s="2363" t="s">
        <v>2382</v>
      </c>
      <c r="P60" s="2361" t="s">
        <v>2391</v>
      </c>
      <c r="Q60" s="2364">
        <f>L52</f>
        <v>0</v>
      </c>
      <c r="R60" s="2365"/>
    </row>
    <row r="61" spans="1:18" s="2042" customFormat="1" ht="18" customHeight="1" thickBot="1">
      <c r="A61" s="1634" t="s">
        <v>1833</v>
      </c>
      <c r="B61" s="340" t="s">
        <v>668</v>
      </c>
      <c r="C61" s="54">
        <f ca="1">ROUND(F61*F62/10000,1)</f>
        <v>1.1000000000000001</v>
      </c>
      <c r="D61" s="813" t="s">
        <v>669</v>
      </c>
      <c r="E61" s="783" t="s">
        <v>670</v>
      </c>
      <c r="F61" s="639">
        <f t="shared" si="0"/>
        <v>1.5</v>
      </c>
      <c r="K61" s="2069"/>
      <c r="O61" s="2363" t="s">
        <v>2384</v>
      </c>
      <c r="P61" s="2361" t="s">
        <v>2392</v>
      </c>
      <c r="Q61" s="2362" t="e">
        <f ca="1">L58</f>
        <v>#DIV/0!</v>
      </c>
      <c r="R61" s="2365" t="s">
        <v>2393</v>
      </c>
    </row>
    <row r="62" spans="1:18" s="2042" customFormat="1" ht="15.75" thickBot="1">
      <c r="A62" s="814"/>
      <c r="B62" s="792"/>
      <c r="C62" s="69"/>
      <c r="D62" s="815"/>
      <c r="E62" s="783" t="s">
        <v>674</v>
      </c>
      <c r="F62" s="784">
        <f t="shared" ca="1" si="0"/>
        <v>7405.4900000000007</v>
      </c>
      <c r="I62" s="3117" t="s">
        <v>2365</v>
      </c>
      <c r="J62" s="3118" t="s">
        <v>2366</v>
      </c>
      <c r="K62" s="3118" t="s">
        <v>2367</v>
      </c>
      <c r="L62" s="3118" t="s">
        <v>2348</v>
      </c>
      <c r="M62" s="3119" t="s">
        <v>2940</v>
      </c>
      <c r="O62" s="2363" t="s">
        <v>2386</v>
      </c>
      <c r="P62" s="2361" t="str">
        <f>K59</f>
        <v>建设期及建筑物耐用年限下的土地年期修正系数Kn</v>
      </c>
      <c r="Q62" s="2362" t="e">
        <f ca="1">L59</f>
        <v>#DIV/0!</v>
      </c>
      <c r="R62" s="2365" t="s">
        <v>2395</v>
      </c>
    </row>
    <row r="63" spans="1:18" s="2042" customFormat="1" ht="15.75" thickBot="1">
      <c r="A63" s="1632" t="s">
        <v>1889</v>
      </c>
      <c r="B63" s="783" t="s">
        <v>676</v>
      </c>
      <c r="C63" s="53">
        <f ca="1">ROUND(C56*F63,1)</f>
        <v>86.2</v>
      </c>
      <c r="D63" s="2601" t="s">
        <v>1803</v>
      </c>
      <c r="E63" s="783" t="s">
        <v>1747</v>
      </c>
      <c r="F63" s="816">
        <f t="shared" ca="1" si="0"/>
        <v>1.4999999999999999E-2</v>
      </c>
      <c r="I63" s="3117" t="s">
        <v>2368</v>
      </c>
      <c r="J63" s="3118">
        <v>70</v>
      </c>
      <c r="K63" s="3118">
        <v>50</v>
      </c>
      <c r="L63" s="3118">
        <v>80</v>
      </c>
      <c r="M63" s="3120">
        <v>0.02</v>
      </c>
      <c r="O63" s="2360" t="s">
        <v>2389</v>
      </c>
      <c r="P63" s="2361" t="s">
        <v>2406</v>
      </c>
      <c r="Q63" s="2362">
        <f ca="1">Q57+Q58</f>
        <v>6523</v>
      </c>
      <c r="R63" s="2365" t="s">
        <v>2390</v>
      </c>
    </row>
    <row r="64" spans="1:18" s="2042" customFormat="1" ht="16.5" thickBot="1">
      <c r="A64" s="1632" t="s">
        <v>1890</v>
      </c>
      <c r="B64" s="783" t="s">
        <v>679</v>
      </c>
      <c r="C64" s="53">
        <f ca="1">ROUND(C55*F64,1)</f>
        <v>8.6</v>
      </c>
      <c r="D64" s="2601" t="s">
        <v>680</v>
      </c>
      <c r="E64" s="783" t="s">
        <v>1747</v>
      </c>
      <c r="F64" s="817">
        <f t="shared" ca="1" si="0"/>
        <v>1.5E-3</v>
      </c>
      <c r="I64" s="3117" t="s">
        <v>2369</v>
      </c>
      <c r="J64" s="3118">
        <v>50</v>
      </c>
      <c r="K64" s="3118">
        <v>35</v>
      </c>
      <c r="L64" s="3118">
        <v>60</v>
      </c>
      <c r="M64" s="845">
        <v>0</v>
      </c>
      <c r="O64" s="2366" t="s">
        <v>2413</v>
      </c>
      <c r="P64" s="1576"/>
      <c r="Q64" s="1587"/>
      <c r="R64" s="1576"/>
    </row>
    <row r="65" spans="1:18" s="2042" customFormat="1" ht="15.75" thickBot="1">
      <c r="A65" s="1632" t="s">
        <v>1891</v>
      </c>
      <c r="B65" s="783" t="s">
        <v>666</v>
      </c>
      <c r="C65" s="53">
        <f ca="1">ROUND(C47*F65,1)</f>
        <v>0</v>
      </c>
      <c r="D65" s="2601" t="s">
        <v>683</v>
      </c>
      <c r="E65" s="783" t="s">
        <v>1747</v>
      </c>
      <c r="F65" s="793">
        <f t="shared" ca="1" si="0"/>
        <v>0.01</v>
      </c>
      <c r="I65" s="3117" t="s">
        <v>2370</v>
      </c>
      <c r="J65" s="3118">
        <v>40</v>
      </c>
      <c r="K65" s="3118">
        <v>30</v>
      </c>
      <c r="L65" s="3118">
        <v>50</v>
      </c>
      <c r="M65" s="3120">
        <v>0.02</v>
      </c>
      <c r="O65" s="2357" t="s">
        <v>2373</v>
      </c>
      <c r="P65" s="2358" t="s">
        <v>2374</v>
      </c>
      <c r="Q65" s="2359" t="s">
        <v>2375</v>
      </c>
      <c r="R65" s="2358" t="s">
        <v>2376</v>
      </c>
    </row>
    <row r="66" spans="1:18" s="2042" customFormat="1" ht="24.75" thickBot="1">
      <c r="A66" s="796" t="s">
        <v>1776</v>
      </c>
      <c r="B66" s="2960" t="s">
        <v>2819</v>
      </c>
      <c r="C66" s="798">
        <f ca="1">C47-C57</f>
        <v>-96</v>
      </c>
      <c r="D66" s="2600" t="s">
        <v>700</v>
      </c>
      <c r="E66" s="2599"/>
      <c r="F66" s="819"/>
      <c r="K66" s="2069"/>
      <c r="O66" s="2360" t="s">
        <v>2377</v>
      </c>
      <c r="P66" s="2361" t="s">
        <v>2407</v>
      </c>
      <c r="Q66" s="2362">
        <f ca="1">C40+J29</f>
        <v>6523</v>
      </c>
      <c r="R66" s="2361" t="s">
        <v>2378</v>
      </c>
    </row>
    <row r="67" spans="1:18" s="2042" customFormat="1" ht="20.25" thickBot="1">
      <c r="A67" s="780" t="s">
        <v>1780</v>
      </c>
      <c r="B67" s="2215" t="s">
        <v>2299</v>
      </c>
      <c r="C67" s="782">
        <f ca="1">ROUND(C66*(1-((1+F69)/(1+F67))^F68)/(F67-F69),0)</f>
        <v>-1734</v>
      </c>
      <c r="D67" s="813" t="s">
        <v>704</v>
      </c>
      <c r="E67" s="783" t="s">
        <v>705</v>
      </c>
      <c r="F67" s="793">
        <f ca="1">F40</f>
        <v>0.05</v>
      </c>
      <c r="K67" s="2069"/>
      <c r="O67" s="2360" t="s">
        <v>2379</v>
      </c>
      <c r="P67" s="2361" t="s">
        <v>2410</v>
      </c>
      <c r="Q67" s="2362">
        <f ca="1">L60</f>
        <v>0</v>
      </c>
      <c r="R67" s="2365" t="s">
        <v>2412</v>
      </c>
    </row>
    <row r="68" spans="1:18" ht="21.75" thickBot="1">
      <c r="A68" s="785"/>
      <c r="B68" s="786"/>
      <c r="C68" s="787"/>
      <c r="D68" s="820" t="s">
        <v>1808</v>
      </c>
      <c r="E68" s="783" t="s">
        <v>1784</v>
      </c>
      <c r="F68" s="821">
        <f ca="1">F41</f>
        <v>47.8</v>
      </c>
      <c r="O68" s="2363" t="s">
        <v>2381</v>
      </c>
      <c r="P68" s="2361" t="s">
        <v>2411</v>
      </c>
      <c r="Q68" s="2367">
        <f ca="1">L51</f>
        <v>-3924</v>
      </c>
      <c r="R68" s="2368" t="s">
        <v>2414</v>
      </c>
    </row>
    <row r="69" spans="1:18" ht="20.25" thickBot="1">
      <c r="A69" s="789"/>
      <c r="B69" s="790"/>
      <c r="C69" s="791"/>
      <c r="D69" s="815"/>
      <c r="E69" s="783" t="s">
        <v>710</v>
      </c>
      <c r="F69" s="2333"/>
      <c r="O69" s="2363" t="s">
        <v>2382</v>
      </c>
      <c r="P69" s="2369" t="s">
        <v>2396</v>
      </c>
      <c r="Q69" s="2362">
        <f ca="1">ROUND(Q70-Q71*Q72,0)</f>
        <v>-199</v>
      </c>
      <c r="R69" s="2365"/>
    </row>
    <row r="70" spans="1:18" ht="15.75" thickBot="1">
      <c r="A70" s="822" t="s">
        <v>1787</v>
      </c>
      <c r="B70" s="823" t="s">
        <v>1810</v>
      </c>
      <c r="C70" s="824">
        <f ca="1">ROUND(C67*10000/F70,0)</f>
        <v>-1053</v>
      </c>
      <c r="D70" s="825" t="s">
        <v>1811</v>
      </c>
      <c r="E70" s="826" t="s">
        <v>1812</v>
      </c>
      <c r="F70" s="827">
        <f ca="1">F43</f>
        <v>16471</v>
      </c>
      <c r="O70" s="2363" t="s">
        <v>2397</v>
      </c>
      <c r="P70" s="2369" t="s">
        <v>2398</v>
      </c>
      <c r="Q70" s="2362">
        <f ca="1">C39</f>
        <v>261</v>
      </c>
      <c r="R70" s="2361" t="s">
        <v>2378</v>
      </c>
    </row>
    <row r="71" spans="1:18" ht="15.75" thickBot="1">
      <c r="O71" s="2363" t="s">
        <v>2399</v>
      </c>
      <c r="P71" s="2369" t="s">
        <v>2400</v>
      </c>
      <c r="Q71" s="2362">
        <f ca="1">C13</f>
        <v>5747</v>
      </c>
      <c r="R71" s="2361" t="s">
        <v>2378</v>
      </c>
    </row>
    <row r="72" spans="1:18" ht="15.75" thickBot="1">
      <c r="O72" s="2363" t="s">
        <v>2401</v>
      </c>
      <c r="P72" s="2369" t="s">
        <v>2402</v>
      </c>
      <c r="Q72" s="2364">
        <f ca="1">J36</f>
        <v>0.08</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建设期及建筑物耐用年限下的土地年期修正系数Kn</v>
      </c>
      <c r="Q75" s="2362" t="e">
        <f ca="1">L59</f>
        <v>#DIV/0!</v>
      </c>
      <c r="R75" s="2365" t="s">
        <v>2395</v>
      </c>
    </row>
    <row r="76" spans="1:18" ht="15.75" thickBot="1">
      <c r="O76" s="2360" t="s">
        <v>2389</v>
      </c>
      <c r="P76" s="2361" t="s">
        <v>2406</v>
      </c>
      <c r="Q76" s="2362">
        <f ca="1">Q66+Q67</f>
        <v>6523</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5" t="s">
        <v>2469</v>
      </c>
      <c r="B1" s="3516"/>
      <c r="C1" s="3517"/>
      <c r="D1" s="3518">
        <f>SUM(I10,I15,I20,I21,I23)</f>
        <v>0</v>
      </c>
      <c r="E1" s="3518"/>
      <c r="F1" s="3518"/>
      <c r="G1" s="3518"/>
      <c r="H1" s="3518"/>
      <c r="I1" s="3519"/>
    </row>
    <row r="2" spans="1:9">
      <c r="A2" s="3520" t="s">
        <v>2470</v>
      </c>
      <c r="B2" s="3521" t="s">
        <v>2471</v>
      </c>
      <c r="C2" s="3521"/>
      <c r="D2" s="2469" t="s">
        <v>2472</v>
      </c>
      <c r="E2" s="2469" t="s">
        <v>2473</v>
      </c>
      <c r="F2" s="2469" t="s">
        <v>2474</v>
      </c>
      <c r="G2" s="2469" t="s">
        <v>2475</v>
      </c>
      <c r="H2" s="2469" t="s">
        <v>2476</v>
      </c>
      <c r="I2" s="2470" t="s">
        <v>2477</v>
      </c>
    </row>
    <row r="3" spans="1:9">
      <c r="A3" s="3520"/>
      <c r="B3" s="3521" t="s">
        <v>2478</v>
      </c>
      <c r="C3" s="3521"/>
      <c r="D3" s="2471"/>
      <c r="E3" s="2469"/>
      <c r="F3" s="2472"/>
      <c r="G3" s="2472"/>
      <c r="H3" s="2473"/>
      <c r="I3" s="2474">
        <f>ROUND(D3*E3*F3*G3*H3/10000,0)</f>
        <v>0</v>
      </c>
    </row>
    <row r="4" spans="1:9">
      <c r="A4" s="3520"/>
      <c r="B4" s="3521" t="s">
        <v>2479</v>
      </c>
      <c r="C4" s="3521"/>
      <c r="D4" s="2471"/>
      <c r="E4" s="2469"/>
      <c r="F4" s="2472"/>
      <c r="G4" s="2472"/>
      <c r="H4" s="2473"/>
      <c r="I4" s="2474">
        <f t="shared" ref="I4:I9" si="0">ROUND(D4*E4*F4*G4*H4/10000,0)</f>
        <v>0</v>
      </c>
    </row>
    <row r="5" spans="1:9">
      <c r="A5" s="3520"/>
      <c r="B5" s="3521" t="s">
        <v>2480</v>
      </c>
      <c r="C5" s="3521"/>
      <c r="D5" s="2471"/>
      <c r="E5" s="2469"/>
      <c r="F5" s="2472"/>
      <c r="G5" s="2472"/>
      <c r="H5" s="2473"/>
      <c r="I5" s="2474">
        <f t="shared" si="0"/>
        <v>0</v>
      </c>
    </row>
    <row r="6" spans="1:9">
      <c r="A6" s="3520"/>
      <c r="B6" s="3521" t="s">
        <v>2481</v>
      </c>
      <c r="C6" s="3521"/>
      <c r="D6" s="2471"/>
      <c r="E6" s="2469"/>
      <c r="F6" s="2472"/>
      <c r="G6" s="2472"/>
      <c r="H6" s="2473"/>
      <c r="I6" s="2474">
        <f t="shared" si="0"/>
        <v>0</v>
      </c>
    </row>
    <row r="7" spans="1:9">
      <c r="A7" s="3520"/>
      <c r="B7" s="3521" t="s">
        <v>2482</v>
      </c>
      <c r="C7" s="3521"/>
      <c r="D7" s="2471"/>
      <c r="E7" s="2469"/>
      <c r="F7" s="2472"/>
      <c r="G7" s="2472"/>
      <c r="H7" s="2473"/>
      <c r="I7" s="2474">
        <f t="shared" si="0"/>
        <v>0</v>
      </c>
    </row>
    <row r="8" spans="1:9">
      <c r="A8" s="3520"/>
      <c r="B8" s="3521" t="s">
        <v>2483</v>
      </c>
      <c r="C8" s="3521"/>
      <c r="D8" s="2471"/>
      <c r="E8" s="2469"/>
      <c r="F8" s="2472"/>
      <c r="G8" s="2472"/>
      <c r="H8" s="2473"/>
      <c r="I8" s="2474">
        <f t="shared" si="0"/>
        <v>0</v>
      </c>
    </row>
    <row r="9" spans="1:9">
      <c r="A9" s="3520"/>
      <c r="B9" s="3521" t="s">
        <v>2484</v>
      </c>
      <c r="C9" s="3521"/>
      <c r="D9" s="2471"/>
      <c r="E9" s="2469"/>
      <c r="F9" s="2472"/>
      <c r="G9" s="2472"/>
      <c r="H9" s="2473"/>
      <c r="I9" s="2474">
        <f t="shared" si="0"/>
        <v>0</v>
      </c>
    </row>
    <row r="10" spans="1:9">
      <c r="A10" s="3520"/>
      <c r="B10" s="3522" t="s">
        <v>2485</v>
      </c>
      <c r="C10" s="3522"/>
      <c r="D10" s="2475">
        <v>527</v>
      </c>
      <c r="E10" s="2475" t="e">
        <f>ROUND(D1*10000/D10/H9,0)</f>
        <v>#DIV/0!</v>
      </c>
      <c r="F10" s="2476"/>
      <c r="G10" s="2476"/>
      <c r="H10" s="2477"/>
      <c r="I10" s="2478">
        <f>SUM(I3:I9)</f>
        <v>0</v>
      </c>
    </row>
    <row r="11" spans="1:9" ht="14.25">
      <c r="A11" s="3520" t="s">
        <v>2486</v>
      </c>
      <c r="B11" s="3521" t="s">
        <v>2487</v>
      </c>
      <c r="C11" s="3521"/>
      <c r="D11" s="2471" t="s">
        <v>2488</v>
      </c>
      <c r="E11" s="2471" t="s">
        <v>2489</v>
      </c>
      <c r="F11" s="2472" t="s">
        <v>2490</v>
      </c>
      <c r="G11" s="2472" t="s">
        <v>2491</v>
      </c>
      <c r="H11" s="2479" t="s">
        <v>2492</v>
      </c>
      <c r="I11" s="2470" t="s">
        <v>2493</v>
      </c>
    </row>
    <row r="12" spans="1:9">
      <c r="A12" s="3520"/>
      <c r="B12" s="3521" t="s">
        <v>2494</v>
      </c>
      <c r="C12" s="3521"/>
      <c r="D12" s="2471"/>
      <c r="E12" s="2471"/>
      <c r="F12" s="2472"/>
      <c r="G12" s="2473"/>
      <c r="H12" s="2480"/>
      <c r="I12" s="2470">
        <f>ROUND(D12*E12*F12*G12/10000,0)</f>
        <v>0</v>
      </c>
    </row>
    <row r="13" spans="1:9">
      <c r="A13" s="3520"/>
      <c r="B13" s="3521" t="s">
        <v>2495</v>
      </c>
      <c r="C13" s="3521"/>
      <c r="D13" s="2471"/>
      <c r="E13" s="2471"/>
      <c r="F13" s="2472"/>
      <c r="G13" s="2473"/>
      <c r="H13" s="2480"/>
      <c r="I13" s="2470">
        <f>ROUND(D13*E13*F13*G13/10000,0)</f>
        <v>0</v>
      </c>
    </row>
    <row r="14" spans="1:9">
      <c r="A14" s="3520"/>
      <c r="B14" s="3521" t="s">
        <v>2496</v>
      </c>
      <c r="C14" s="3521"/>
      <c r="D14" s="2471"/>
      <c r="E14" s="2471"/>
      <c r="F14" s="2472"/>
      <c r="G14" s="2473"/>
      <c r="H14" s="2480"/>
      <c r="I14" s="2470">
        <f>ROUND(D14*E14*F14*G14/10000,0)</f>
        <v>0</v>
      </c>
    </row>
    <row r="15" spans="1:9">
      <c r="A15" s="3520"/>
      <c r="B15" s="3522" t="s">
        <v>2485</v>
      </c>
      <c r="C15" s="3522"/>
      <c r="D15" s="2475"/>
      <c r="E15" s="2475">
        <f>SUM(E12:E14)</f>
        <v>0</v>
      </c>
      <c r="F15" s="2476"/>
      <c r="G15" s="2473"/>
      <c r="H15" s="2480"/>
      <c r="I15" s="2481">
        <f>SUM(I12:I14)</f>
        <v>0</v>
      </c>
    </row>
    <row r="16" spans="1:9" ht="24">
      <c r="A16" s="3520" t="s">
        <v>2497</v>
      </c>
      <c r="B16" s="3521" t="s">
        <v>2498</v>
      </c>
      <c r="C16" s="3521"/>
      <c r="D16" s="2471" t="s">
        <v>2499</v>
      </c>
      <c r="E16" s="2482" t="s">
        <v>2500</v>
      </c>
      <c r="F16" s="2472" t="s">
        <v>2501</v>
      </c>
      <c r="G16" s="2473" t="s">
        <v>2491</v>
      </c>
      <c r="H16" s="2479" t="s">
        <v>2492</v>
      </c>
      <c r="I16" s="2470" t="s">
        <v>2493</v>
      </c>
    </row>
    <row r="17" spans="1:9" ht="14.25">
      <c r="A17" s="3520"/>
      <c r="B17" s="3521" t="s">
        <v>2502</v>
      </c>
      <c r="C17" s="3521"/>
      <c r="D17" s="2471"/>
      <c r="E17" s="2471"/>
      <c r="F17" s="2472"/>
      <c r="G17" s="2473"/>
      <c r="H17" s="2483"/>
      <c r="I17" s="2484">
        <f>ROUND(D17*E17*F17*G17/10000,0)</f>
        <v>0</v>
      </c>
    </row>
    <row r="18" spans="1:9" ht="14.25">
      <c r="A18" s="3520"/>
      <c r="B18" s="3521" t="s">
        <v>2503</v>
      </c>
      <c r="C18" s="3521"/>
      <c r="D18" s="2471"/>
      <c r="E18" s="2471"/>
      <c r="F18" s="2472"/>
      <c r="G18" s="2473"/>
      <c r="H18" s="2483"/>
      <c r="I18" s="2484">
        <f>ROUND(D18*E18*F18*G18/10000,0)</f>
        <v>0</v>
      </c>
    </row>
    <row r="19" spans="1:9" ht="14.25">
      <c r="A19" s="3520"/>
      <c r="B19" s="3521" t="s">
        <v>2504</v>
      </c>
      <c r="C19" s="3521"/>
      <c r="D19" s="2471"/>
      <c r="E19" s="2471"/>
      <c r="F19" s="2472"/>
      <c r="G19" s="2473"/>
      <c r="H19" s="2483"/>
      <c r="I19" s="2484">
        <f>ROUND(D19*E19*F19*G19/10000,0)</f>
        <v>0</v>
      </c>
    </row>
    <row r="20" spans="1:9">
      <c r="A20" s="3520"/>
      <c r="B20" s="3522" t="s">
        <v>2485</v>
      </c>
      <c r="C20" s="3522"/>
      <c r="D20" s="2475">
        <f>SUM(D17:D19)</f>
        <v>0</v>
      </c>
      <c r="E20" s="2475"/>
      <c r="F20" s="2476"/>
      <c r="G20" s="2473"/>
      <c r="H20" s="2480"/>
      <c r="I20" s="2481">
        <f>SUM(I17:I19)</f>
        <v>0</v>
      </c>
    </row>
    <row r="21" spans="1:9">
      <c r="A21" s="3520" t="s">
        <v>2505</v>
      </c>
      <c r="B21" s="3524"/>
      <c r="C21" s="3524"/>
      <c r="D21" s="3524"/>
      <c r="E21" s="3524"/>
      <c r="F21" s="3524"/>
      <c r="G21" s="3524"/>
      <c r="H21" s="2485">
        <v>0.1</v>
      </c>
      <c r="I21" s="2478">
        <f>ROUND(I10*H21,0)</f>
        <v>0</v>
      </c>
    </row>
    <row r="22" spans="1:9" ht="14.25">
      <c r="A22" s="3525" t="s">
        <v>2506</v>
      </c>
      <c r="B22" s="3526"/>
      <c r="C22" s="3527"/>
      <c r="D22" s="2486" t="s">
        <v>2507</v>
      </c>
      <c r="E22" s="2486" t="s">
        <v>2508</v>
      </c>
      <c r="F22" s="2487" t="s">
        <v>2509</v>
      </c>
      <c r="G22" s="2487" t="s">
        <v>2510</v>
      </c>
      <c r="H22" s="2479" t="s">
        <v>2511</v>
      </c>
      <c r="I22" s="2470" t="s">
        <v>2512</v>
      </c>
    </row>
    <row r="23" spans="1:9" ht="14.25" thickBot="1">
      <c r="A23" s="3528"/>
      <c r="B23" s="3529"/>
      <c r="C23" s="3530"/>
      <c r="D23" s="2488"/>
      <c r="E23" s="2488"/>
      <c r="F23" s="2488"/>
      <c r="G23" s="2489"/>
      <c r="H23" s="2490"/>
      <c r="I23" s="2491">
        <f>ROUND(E23*D23*F23*(1-G23)/10000,0)</f>
        <v>0</v>
      </c>
    </row>
    <row r="26" spans="1:9">
      <c r="A26" s="2492" t="s">
        <v>2513</v>
      </c>
      <c r="B26" s="2492"/>
      <c r="C26" s="2492"/>
      <c r="D26" s="2492"/>
      <c r="E26" s="3531">
        <f>C27-C30-C31-C32</f>
        <v>0</v>
      </c>
      <c r="F26" s="3531"/>
      <c r="G26" s="3531"/>
      <c r="H26" s="2991" t="s">
        <v>2840</v>
      </c>
    </row>
    <row r="27" spans="1:9">
      <c r="A27" s="2493">
        <v>1</v>
      </c>
      <c r="B27" s="2494" t="s">
        <v>2514</v>
      </c>
      <c r="C27" s="2494"/>
      <c r="D27" s="2494"/>
      <c r="E27" s="3532"/>
      <c r="F27" s="3532"/>
      <c r="G27" s="3532"/>
    </row>
    <row r="28" spans="1:9">
      <c r="A28" s="2495" t="s">
        <v>2515</v>
      </c>
      <c r="B28" s="2494" t="s">
        <v>2516</v>
      </c>
      <c r="C28" s="2494"/>
      <c r="D28" s="2494"/>
      <c r="E28" s="3532"/>
      <c r="F28" s="3532"/>
      <c r="G28" s="3532"/>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523"/>
      <c r="F32" s="3523"/>
      <c r="G32" s="3523"/>
    </row>
    <row r="33" spans="1:7" hidden="1">
      <c r="A33" s="3533" t="s">
        <v>2524</v>
      </c>
      <c r="B33" s="3534"/>
      <c r="C33" s="3534"/>
      <c r="D33" s="3535"/>
      <c r="E33" s="3531"/>
      <c r="F33" s="3531"/>
      <c r="G33" s="3531"/>
    </row>
    <row r="34" spans="1:7" hidden="1">
      <c r="A34" s="2497">
        <v>1</v>
      </c>
      <c r="B34" s="2494" t="s">
        <v>2525</v>
      </c>
      <c r="C34" s="2494"/>
      <c r="D34" s="2494"/>
      <c r="E34" s="3532"/>
      <c r="F34" s="3532"/>
      <c r="G34" s="3532"/>
    </row>
    <row r="35" spans="1:7" hidden="1">
      <c r="A35" s="2497">
        <v>2</v>
      </c>
      <c r="B35" s="2494" t="s">
        <v>2526</v>
      </c>
      <c r="C35" s="2494"/>
      <c r="D35" s="2494"/>
      <c r="E35" s="3532"/>
      <c r="F35" s="3532"/>
      <c r="G35" s="3532"/>
    </row>
    <row r="36" spans="1:7" hidden="1">
      <c r="A36" s="2497">
        <v>3</v>
      </c>
      <c r="B36" s="2494" t="s">
        <v>2527</v>
      </c>
      <c r="C36" s="2494"/>
      <c r="D36" s="2494"/>
      <c r="E36" s="3532"/>
      <c r="F36" s="3532"/>
      <c r="G36" s="3532"/>
    </row>
    <row r="37" spans="1:7" hidden="1">
      <c r="A37" s="2497">
        <v>4</v>
      </c>
      <c r="B37" s="2494" t="s">
        <v>2528</v>
      </c>
      <c r="C37" s="2494"/>
      <c r="D37" s="2494"/>
      <c r="E37" s="3532"/>
      <c r="F37" s="3532"/>
      <c r="G37" s="3532"/>
    </row>
    <row r="38" spans="1:7" hidden="1">
      <c r="A38" s="3533" t="s">
        <v>2529</v>
      </c>
      <c r="B38" s="3534"/>
      <c r="C38" s="3534"/>
      <c r="D38" s="3535"/>
      <c r="E38" s="3531"/>
      <c r="F38" s="3531"/>
      <c r="G38" s="35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2438</v>
      </c>
      <c r="B8" s="2434" t="s">
        <v>2440</v>
      </c>
      <c r="C8" s="2435"/>
      <c r="D8" s="748"/>
      <c r="E8" s="749"/>
      <c r="F8" s="749"/>
      <c r="G8" s="750"/>
    </row>
    <row r="9" spans="1:25" s="2166" customFormat="1" ht="13.5" customHeight="1">
      <c r="A9" s="2431" t="s">
        <v>2439</v>
      </c>
      <c r="B9" s="2434" t="s">
        <v>2441</v>
      </c>
      <c r="C9" s="2435"/>
      <c r="D9" s="748"/>
      <c r="E9" s="749"/>
      <c r="F9" s="749"/>
      <c r="G9" s="750"/>
    </row>
    <row r="10" spans="1:25" s="2166" customFormat="1" ht="36">
      <c r="A10" s="2431">
        <v>2</v>
      </c>
      <c r="B10" s="747" t="s">
        <v>613</v>
      </c>
      <c r="C10" s="748">
        <f>C11+C14+C15</f>
        <v>0</v>
      </c>
      <c r="D10" s="759">
        <f>'数据-汇总表'!E3</f>
        <v>97045</v>
      </c>
      <c r="E10" s="748">
        <f>'数据-取费表'!B31</f>
        <v>200</v>
      </c>
      <c r="F10" s="760"/>
      <c r="G10" s="758" t="s">
        <v>614</v>
      </c>
    </row>
    <row r="11" spans="1:25" s="2166" customFormat="1" ht="13.5" customHeight="1">
      <c r="A11" s="2431" t="s">
        <v>2438</v>
      </c>
      <c r="B11" s="751" t="s">
        <v>610</v>
      </c>
      <c r="C11" s="752">
        <f>'数据-取费表'!B29</f>
        <v>0</v>
      </c>
      <c r="D11" s="753"/>
      <c r="E11" s="752"/>
      <c r="F11" s="754"/>
      <c r="G11" s="2440" t="s">
        <v>2449</v>
      </c>
    </row>
    <row r="12" spans="1:25" s="2166" customFormat="1" ht="13.5" customHeight="1">
      <c r="A12" s="2438" t="s">
        <v>2446</v>
      </c>
      <c r="B12" s="755" t="s">
        <v>611</v>
      </c>
      <c r="C12" s="756">
        <f>ROUND(D12*E12/10000,0)</f>
        <v>1075</v>
      </c>
      <c r="D12" s="757">
        <f>'数据-汇总表'!E5</f>
        <v>67178</v>
      </c>
      <c r="E12" s="756">
        <f>'数据-取费表'!B27</f>
        <v>160</v>
      </c>
      <c r="F12" s="754"/>
      <c r="G12" s="758"/>
    </row>
    <row r="13" spans="1:25" s="2166" customFormat="1" ht="13.5" customHeight="1">
      <c r="A13" s="2438" t="s">
        <v>2445</v>
      </c>
      <c r="B13" s="755" t="s">
        <v>612</v>
      </c>
      <c r="C13" s="756">
        <f>ROUND(D13*E13/10000,0)</f>
        <v>597</v>
      </c>
      <c r="D13" s="757">
        <f>'数据-汇总表'!E6</f>
        <v>29867</v>
      </c>
      <c r="E13" s="756">
        <f>'数据-取费表'!B28</f>
        <v>200</v>
      </c>
      <c r="F13" s="754"/>
      <c r="G13" s="758"/>
    </row>
    <row r="14" spans="1:25" s="2166" customFormat="1" ht="13.5" customHeight="1">
      <c r="A14" s="2431" t="s">
        <v>2439</v>
      </c>
      <c r="B14" s="2437" t="s">
        <v>2442</v>
      </c>
      <c r="C14" s="2435"/>
      <c r="D14" s="757"/>
      <c r="E14" s="756"/>
      <c r="F14" s="2436"/>
      <c r="G14" s="2439" t="s">
        <v>2447</v>
      </c>
    </row>
    <row r="15" spans="1:25" s="2166" customFormat="1" ht="13.5" customHeight="1">
      <c r="A15" s="2431" t="s">
        <v>2444</v>
      </c>
      <c r="B15" s="2437" t="s">
        <v>2443</v>
      </c>
      <c r="C15" s="2435"/>
      <c r="D15" s="757"/>
      <c r="E15" s="756"/>
      <c r="F15" s="2436"/>
      <c r="G15" s="2439" t="s">
        <v>2448</v>
      </c>
    </row>
    <row r="16" spans="1:25" s="2167" customFormat="1" ht="48">
      <c r="A16" s="2431">
        <v>3</v>
      </c>
      <c r="B16" s="747" t="s">
        <v>615</v>
      </c>
      <c r="C16" s="2435"/>
      <c r="D16" s="759"/>
      <c r="E16" s="748"/>
      <c r="F16" s="760"/>
      <c r="G16" s="758"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0.17</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2"/>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0.92</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M44" sqref="M44"/>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5" t="s">
        <v>719</v>
      </c>
      <c r="C1" s="2586" t="s">
        <v>720</v>
      </c>
      <c r="D1" s="2587" t="s">
        <v>3015</v>
      </c>
      <c r="E1" s="2588"/>
      <c r="F1" s="2760" t="s">
        <v>3176</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467</v>
      </c>
      <c r="B2" s="2584">
        <f>ROUND(B3*D3/10000,0)</f>
        <v>263103</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519</v>
      </c>
      <c r="B3" s="850">
        <f>C49</f>
        <v>39165</v>
      </c>
      <c r="C3" s="851" t="s">
        <v>722</v>
      </c>
      <c r="D3" s="850">
        <f>SUMIF('数据-汇总表'!$C19:$C33,D1,'数据-汇总表'!$E19:$E33)</f>
        <v>67178</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426" t="s">
        <v>522</v>
      </c>
      <c r="D4" s="3427"/>
      <c r="E4" s="3460" t="s">
        <v>523</v>
      </c>
      <c r="F4" s="3461"/>
      <c r="G4" s="3426" t="s">
        <v>524</v>
      </c>
      <c r="H4" s="3427"/>
      <c r="I4" s="3426" t="s">
        <v>525</v>
      </c>
      <c r="J4" s="3427"/>
      <c r="K4" s="852" t="s">
        <v>526</v>
      </c>
      <c r="L4" s="2116"/>
      <c r="M4" s="2117"/>
      <c r="N4" s="2117"/>
      <c r="O4" s="2117"/>
      <c r="P4" s="3428" t="s">
        <v>527</v>
      </c>
      <c r="Q4" s="3429"/>
      <c r="R4" s="3434" t="s">
        <v>523</v>
      </c>
      <c r="S4" s="3435"/>
      <c r="T4" s="3434" t="s">
        <v>524</v>
      </c>
      <c r="U4" s="3435"/>
      <c r="V4" s="3421" t="s">
        <v>525</v>
      </c>
      <c r="W4" s="3421"/>
      <c r="X4" s="1551"/>
      <c r="Y4" s="3434" t="s">
        <v>527</v>
      </c>
      <c r="Z4" s="3435"/>
      <c r="AA4" s="3423" t="s">
        <v>523</v>
      </c>
      <c r="AB4" s="3423" t="s">
        <v>524</v>
      </c>
      <c r="AC4" s="3423" t="s">
        <v>525</v>
      </c>
    </row>
    <row r="5" spans="1:29" ht="29.25" customHeight="1">
      <c r="A5" s="514"/>
      <c r="B5" s="515"/>
      <c r="C5" s="3442" t="s">
        <v>2927</v>
      </c>
      <c r="D5" s="3443"/>
      <c r="E5" s="3540" t="s">
        <v>3168</v>
      </c>
      <c r="F5" s="3541"/>
      <c r="G5" s="3539" t="s">
        <v>3171</v>
      </c>
      <c r="H5" s="3443"/>
      <c r="I5" s="3442" t="s">
        <v>3172</v>
      </c>
      <c r="J5" s="3443"/>
      <c r="K5" s="853"/>
      <c r="L5" s="2116"/>
      <c r="M5" s="2117"/>
      <c r="N5" s="2117"/>
      <c r="O5" s="2117"/>
      <c r="P5" s="3430"/>
      <c r="Q5" s="3431"/>
      <c r="R5" s="3436"/>
      <c r="S5" s="3437"/>
      <c r="T5" s="3436"/>
      <c r="U5" s="3437"/>
      <c r="V5" s="3421"/>
      <c r="W5" s="3421"/>
      <c r="X5" s="1551"/>
      <c r="Y5" s="3436"/>
      <c r="Z5" s="3437"/>
      <c r="AA5" s="3424"/>
      <c r="AB5" s="3424"/>
      <c r="AC5" s="3424"/>
    </row>
    <row r="6" spans="1:29" ht="15.75" thickBot="1">
      <c r="A6" s="516"/>
      <c r="B6" s="517"/>
      <c r="C6" s="3440" t="s">
        <v>2931</v>
      </c>
      <c r="D6" s="3441"/>
      <c r="E6" s="3458" t="s">
        <v>2931</v>
      </c>
      <c r="F6" s="3459"/>
      <c r="G6" s="3440" t="s">
        <v>2931</v>
      </c>
      <c r="H6" s="3441"/>
      <c r="I6" s="3440" t="s">
        <v>2931</v>
      </c>
      <c r="J6" s="3441"/>
      <c r="K6" s="853" t="s">
        <v>528</v>
      </c>
      <c r="L6" s="2116"/>
      <c r="M6" s="2117"/>
      <c r="N6" s="2117"/>
      <c r="O6" s="2117"/>
      <c r="P6" s="3432"/>
      <c r="Q6" s="3433"/>
      <c r="R6" s="3436"/>
      <c r="S6" s="3437"/>
      <c r="T6" s="3438"/>
      <c r="U6" s="3439"/>
      <c r="V6" s="3421"/>
      <c r="W6" s="3421"/>
      <c r="X6" s="1551"/>
      <c r="Y6" s="3438"/>
      <c r="Z6" s="3439"/>
      <c r="AA6" s="3425"/>
      <c r="AB6" s="3425"/>
      <c r="AC6" s="3425"/>
    </row>
    <row r="7" spans="1:29" s="1213" customFormat="1" ht="15.75" thickBot="1">
      <c r="A7" s="2864"/>
      <c r="B7" s="2871" t="s">
        <v>529</v>
      </c>
      <c r="C7" s="518">
        <f>'数据-取费表'!B2</f>
        <v>43920</v>
      </c>
      <c r="D7" s="519">
        <v>100</v>
      </c>
      <c r="E7" s="3184">
        <v>43862</v>
      </c>
      <c r="F7" s="521">
        <f>SUMIF(58:58,YEAR(E7)&amp;"-"&amp;MONTH(E7),59:59)</f>
        <v>100</v>
      </c>
      <c r="G7" s="3207">
        <v>43831</v>
      </c>
      <c r="H7" s="519">
        <f>SUMIF(58:58,YEAR(G7)&amp;"-"&amp;MONTH(G7),59:59)</f>
        <v>100</v>
      </c>
      <c r="I7" s="3229">
        <v>43862</v>
      </c>
      <c r="J7" s="519">
        <f>SUMIF(58:58,YEAR(I7)&amp;"-"&amp;MONTH(I7),59:59)</f>
        <v>100</v>
      </c>
      <c r="K7" s="854"/>
      <c r="L7" s="2118"/>
      <c r="M7" s="2119"/>
      <c r="N7" s="2119"/>
      <c r="O7" s="2119"/>
      <c r="P7" s="3451" t="s">
        <v>530</v>
      </c>
      <c r="Q7" s="3453"/>
      <c r="R7" s="1552" t="s">
        <v>13</v>
      </c>
      <c r="S7" s="1553">
        <f t="shared" ref="S7:S15" si="0">F7</f>
        <v>100</v>
      </c>
      <c r="T7" s="1552" t="s">
        <v>13</v>
      </c>
      <c r="U7" s="1553">
        <f t="shared" ref="U7:U15" si="1">H7</f>
        <v>100</v>
      </c>
      <c r="V7" s="1552" t="s">
        <v>13</v>
      </c>
      <c r="W7" s="1553">
        <f t="shared" ref="W7:W15" si="2">J7</f>
        <v>100</v>
      </c>
      <c r="X7" s="1554"/>
      <c r="Y7" s="3451" t="s">
        <v>530</v>
      </c>
      <c r="Z7" s="3452"/>
      <c r="AA7" s="1555">
        <f>D7/F7</f>
        <v>1</v>
      </c>
      <c r="AB7" s="1555">
        <f>D7/H7</f>
        <v>1</v>
      </c>
      <c r="AC7" s="1555">
        <f>D7/J7</f>
        <v>1</v>
      </c>
    </row>
    <row r="8" spans="1:29" s="1213" customFormat="1" ht="15.75" thickBot="1">
      <c r="A8" s="2865"/>
      <c r="B8" s="2872" t="s">
        <v>531</v>
      </c>
      <c r="C8" s="524" t="s">
        <v>576</v>
      </c>
      <c r="D8" s="519">
        <v>100</v>
      </c>
      <c r="E8" s="3196" t="s">
        <v>3158</v>
      </c>
      <c r="F8" s="521">
        <f>SUMIF(61:61,E8,62:62)-SUMIF(61:61,C8,62:62)+100</f>
        <v>100</v>
      </c>
      <c r="G8" s="3219" t="s">
        <v>3158</v>
      </c>
      <c r="H8" s="519">
        <f>SUMIF(61:61,G8,62:62)-SUMIF(61:61,C8,62:62)+100</f>
        <v>100</v>
      </c>
      <c r="I8" s="3240" t="s">
        <v>3158</v>
      </c>
      <c r="J8" s="519">
        <f>SUMIF(61:61,I8,62:62)-SUMIF(61:61,C8,62:62)+100</f>
        <v>100</v>
      </c>
      <c r="K8" s="854"/>
      <c r="L8" s="2118"/>
      <c r="M8" s="2119"/>
      <c r="N8" s="2119"/>
      <c r="O8" s="2119"/>
      <c r="P8" s="3451" t="s">
        <v>533</v>
      </c>
      <c r="Q8" s="3452"/>
      <c r="R8" s="1552" t="s">
        <v>13</v>
      </c>
      <c r="S8" s="1553">
        <f t="shared" si="0"/>
        <v>100</v>
      </c>
      <c r="T8" s="1552" t="s">
        <v>13</v>
      </c>
      <c r="U8" s="1553">
        <f t="shared" si="1"/>
        <v>100</v>
      </c>
      <c r="V8" s="1552" t="s">
        <v>13</v>
      </c>
      <c r="W8" s="1553">
        <f t="shared" si="2"/>
        <v>100</v>
      </c>
      <c r="X8" s="1554"/>
      <c r="Y8" s="3451" t="s">
        <v>533</v>
      </c>
      <c r="Z8" s="3452"/>
      <c r="AA8" s="1555">
        <f t="shared" ref="AA8:AA46" si="3">D8/F8</f>
        <v>1</v>
      </c>
      <c r="AB8" s="1555">
        <f t="shared" ref="AB8:AB46" si="4">D8/H8</f>
        <v>1</v>
      </c>
      <c r="AC8" s="1555">
        <f t="shared" ref="AC8:AC46" si="5">D8/J8</f>
        <v>1</v>
      </c>
    </row>
    <row r="9" spans="1:29" s="1213" customFormat="1" ht="15">
      <c r="A9" s="2866"/>
      <c r="B9" s="2873" t="s">
        <v>2753</v>
      </c>
      <c r="C9" s="3206" t="s">
        <v>3175</v>
      </c>
      <c r="D9" s="253">
        <v>100</v>
      </c>
      <c r="E9" s="3197" t="s">
        <v>923</v>
      </c>
      <c r="F9" s="858">
        <f>SUMIF(63:63,E9,64:64)-SUMIF(63:63,C9,64:64)+100</f>
        <v>100</v>
      </c>
      <c r="G9" s="3220" t="s">
        <v>923</v>
      </c>
      <c r="H9" s="253">
        <f>SUMIF(63:63,G9,64:64)-SUMIF(63:63,C9,64:64)+100</f>
        <v>100</v>
      </c>
      <c r="I9" s="3241" t="s">
        <v>923</v>
      </c>
      <c r="J9" s="253">
        <f>SUMIF(63:63,I9,64:64)-SUMIF(63:63,C9,64:64)+100</f>
        <v>100</v>
      </c>
      <c r="K9" s="854"/>
      <c r="L9" s="2118"/>
      <c r="M9" s="2119"/>
      <c r="N9" s="2119"/>
      <c r="O9" s="2120"/>
      <c r="P9" s="3420" t="s">
        <v>535</v>
      </c>
      <c r="Q9" s="1144" t="str">
        <f t="shared" ref="Q9:Q15" si="6">B9</f>
        <v>用途</v>
      </c>
      <c r="R9" s="1552" t="s">
        <v>8</v>
      </c>
      <c r="S9" s="1553">
        <f t="shared" si="0"/>
        <v>100</v>
      </c>
      <c r="T9" s="1552" t="s">
        <v>8</v>
      </c>
      <c r="U9" s="1553">
        <f t="shared" si="1"/>
        <v>100</v>
      </c>
      <c r="V9" s="1552" t="s">
        <v>8</v>
      </c>
      <c r="W9" s="1553">
        <f t="shared" si="2"/>
        <v>100</v>
      </c>
      <c r="X9" s="1554"/>
      <c r="Y9" s="3366" t="s">
        <v>536</v>
      </c>
      <c r="Z9" s="1143" t="str">
        <f t="shared" ref="Z9:Z15" si="7">Q9</f>
        <v>用途</v>
      </c>
      <c r="AA9" s="1555">
        <f t="shared" si="3"/>
        <v>1</v>
      </c>
      <c r="AB9" s="1555">
        <f t="shared" si="4"/>
        <v>1</v>
      </c>
      <c r="AC9" s="1555">
        <f t="shared" si="5"/>
        <v>1</v>
      </c>
    </row>
    <row r="10" spans="1:29" s="1331" customFormat="1" ht="27">
      <c r="A10" s="2867"/>
      <c r="B10" s="2872" t="s">
        <v>2754</v>
      </c>
      <c r="C10" s="860" t="s">
        <v>3160</v>
      </c>
      <c r="D10" s="254">
        <v>100</v>
      </c>
      <c r="E10" s="3198" t="s">
        <v>3160</v>
      </c>
      <c r="F10" s="862">
        <f>SUMIF(65:65,E10,66:66)-SUMIF(65:65,C10,66:66)+100</f>
        <v>100</v>
      </c>
      <c r="G10" s="3221" t="s">
        <v>3160</v>
      </c>
      <c r="H10" s="254">
        <f>SUMIF(65:65,G10,66:66)-SUMIF(65:65,C10,66:66)+100</f>
        <v>100</v>
      </c>
      <c r="I10" s="3242" t="s">
        <v>3160</v>
      </c>
      <c r="J10" s="254">
        <f>SUMIF(65:65,I10,66:66)-SUMIF(65:65,C10,66:66)+100</f>
        <v>100</v>
      </c>
      <c r="K10" s="863"/>
      <c r="L10" s="2121"/>
      <c r="M10" s="2161"/>
      <c r="N10" s="2161"/>
      <c r="O10" s="2122"/>
      <c r="P10" s="3420"/>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8"/>
      <c r="B11" s="2872" t="s">
        <v>2755</v>
      </c>
      <c r="C11" s="532">
        <v>1.5</v>
      </c>
      <c r="D11" s="254">
        <v>100</v>
      </c>
      <c r="E11" s="3187">
        <v>2.4700000000000002</v>
      </c>
      <c r="F11" s="862">
        <f>LOOKUP(E11,68:68,69:69)-LOOKUP(C11,68:68,69:69)+100</f>
        <v>99</v>
      </c>
      <c r="G11" s="3210">
        <v>1.2</v>
      </c>
      <c r="H11" s="254">
        <f>LOOKUP(G11,68:68,69:69)-LOOKUP(C11,68:68,69:69)+100</f>
        <v>100</v>
      </c>
      <c r="I11" s="3232">
        <v>2.6</v>
      </c>
      <c r="J11" s="254">
        <f>LOOKUP(I11,68:68,69:69)-LOOKUP(C11,68:68,69:69)+100</f>
        <v>99</v>
      </c>
      <c r="K11" s="863">
        <v>1</v>
      </c>
      <c r="L11" s="2123"/>
      <c r="M11" s="2117"/>
      <c r="N11" s="2117"/>
      <c r="O11" s="2124"/>
      <c r="P11" s="3420"/>
      <c r="Q11" s="1144" t="str">
        <f t="shared" si="6"/>
        <v>容积率</v>
      </c>
      <c r="R11" s="1552" t="s">
        <v>11</v>
      </c>
      <c r="S11" s="1553">
        <f t="shared" si="0"/>
        <v>99</v>
      </c>
      <c r="T11" s="1552" t="s">
        <v>11</v>
      </c>
      <c r="U11" s="1553">
        <f t="shared" si="1"/>
        <v>100</v>
      </c>
      <c r="V11" s="1552" t="s">
        <v>11</v>
      </c>
      <c r="W11" s="1553">
        <f t="shared" si="2"/>
        <v>99</v>
      </c>
      <c r="X11" s="1554"/>
      <c r="Y11" s="3366"/>
      <c r="Z11" s="1143" t="str">
        <f t="shared" si="7"/>
        <v>容积率</v>
      </c>
      <c r="AA11" s="1555">
        <f t="shared" si="3"/>
        <v>1.0101010101010102</v>
      </c>
      <c r="AB11" s="1555">
        <f t="shared" si="4"/>
        <v>1</v>
      </c>
      <c r="AC11" s="1555">
        <f t="shared" si="5"/>
        <v>1.0101010101010102</v>
      </c>
    </row>
    <row r="12" spans="1:29" s="1213" customFormat="1" ht="15">
      <c r="A12" s="2869"/>
      <c r="B12" s="2875">
        <v>111</v>
      </c>
      <c r="C12" s="527"/>
      <c r="D12" s="537">
        <v>100</v>
      </c>
      <c r="E12" s="3185"/>
      <c r="F12" s="862">
        <f>SUMIF(70:70,E12,71:71)-SUMIF(70:70,C12,71:71)+100</f>
        <v>100</v>
      </c>
      <c r="G12" s="3208"/>
      <c r="H12" s="254">
        <f>SUMIF(70:70,G12,71:71)-SUMIF(70:70,C12,71:71)+100</f>
        <v>100</v>
      </c>
      <c r="I12" s="3230"/>
      <c r="J12" s="254">
        <f>SUMIF(70:70,I12,71:71)-SUMIF(70:70,C12,71:71)+100</f>
        <v>100</v>
      </c>
      <c r="K12" s="864"/>
      <c r="L12" s="2118"/>
      <c r="M12" s="2119"/>
      <c r="N12" s="2119"/>
      <c r="O12" s="2120"/>
      <c r="P12" s="3420"/>
      <c r="Q12" s="1144">
        <f t="shared" si="6"/>
        <v>111</v>
      </c>
      <c r="R12" s="1552" t="s">
        <v>11</v>
      </c>
      <c r="S12" s="1553">
        <f t="shared" si="0"/>
        <v>100</v>
      </c>
      <c r="T12" s="1552" t="s">
        <v>11</v>
      </c>
      <c r="U12" s="1553">
        <f t="shared" si="1"/>
        <v>100</v>
      </c>
      <c r="V12" s="1552" t="s">
        <v>11</v>
      </c>
      <c r="W12" s="1553">
        <f t="shared" si="2"/>
        <v>100</v>
      </c>
      <c r="X12" s="1554"/>
      <c r="Y12" s="3366"/>
      <c r="Z12" s="1143">
        <f t="shared" si="7"/>
        <v>111</v>
      </c>
      <c r="AA12" s="1555">
        <f>D12/F12</f>
        <v>1</v>
      </c>
      <c r="AB12" s="1555">
        <f>D12/H12</f>
        <v>1</v>
      </c>
      <c r="AC12" s="1555">
        <f>D12/J12</f>
        <v>1</v>
      </c>
    </row>
    <row r="13" spans="1:29" ht="15">
      <c r="A13" s="2869"/>
      <c r="B13" s="2875">
        <v>111</v>
      </c>
      <c r="C13" s="538"/>
      <c r="D13" s="539">
        <v>100</v>
      </c>
      <c r="E13" s="3188"/>
      <c r="F13" s="862">
        <f>SUMIF(72:72,E13,73:73)-SUMIF(72:72,C13,73:73)+100</f>
        <v>100</v>
      </c>
      <c r="G13" s="3211"/>
      <c r="H13" s="539">
        <f>SUMIF(72:72,G13,73:73)-SUMIF(72:72,C13,73:73)+100</f>
        <v>100</v>
      </c>
      <c r="I13" s="3233"/>
      <c r="J13" s="539">
        <f>SUMIF(72:72,I13,73:73)-SUMIF(72:72,C13,73:73)+100</f>
        <v>100</v>
      </c>
      <c r="K13" s="864"/>
      <c r="L13" s="2125"/>
      <c r="M13" s="2117"/>
      <c r="N13" s="2117"/>
      <c r="O13" s="2124"/>
      <c r="P13" s="3420"/>
      <c r="Q13" s="1144">
        <f t="shared" si="6"/>
        <v>111</v>
      </c>
      <c r="R13" s="1552" t="s">
        <v>11</v>
      </c>
      <c r="S13" s="1553">
        <f t="shared" si="0"/>
        <v>100</v>
      </c>
      <c r="T13" s="1552" t="s">
        <v>11</v>
      </c>
      <c r="U13" s="1553">
        <f t="shared" si="1"/>
        <v>100</v>
      </c>
      <c r="V13" s="1552" t="s">
        <v>11</v>
      </c>
      <c r="W13" s="1553">
        <f t="shared" si="2"/>
        <v>100</v>
      </c>
      <c r="X13" s="1554"/>
      <c r="Y13" s="3366"/>
      <c r="Z13" s="1143">
        <f t="shared" si="7"/>
        <v>111</v>
      </c>
      <c r="AA13" s="1555">
        <f t="shared" si="3"/>
        <v>1</v>
      </c>
      <c r="AB13" s="1555">
        <f t="shared" si="4"/>
        <v>1</v>
      </c>
      <c r="AC13" s="1555">
        <f t="shared" si="5"/>
        <v>1</v>
      </c>
    </row>
    <row r="14" spans="1:29" ht="15.75" thickBot="1">
      <c r="A14" s="2870"/>
      <c r="B14" s="2876">
        <v>111</v>
      </c>
      <c r="C14" s="544"/>
      <c r="D14" s="545">
        <v>100</v>
      </c>
      <c r="E14" s="3189"/>
      <c r="F14" s="865">
        <f>SUMIF(74:74,E14,75:75)-SUMIF(74:74,C14,75:75)+100</f>
        <v>100</v>
      </c>
      <c r="G14" s="3212"/>
      <c r="H14" s="545">
        <f>SUMIF(74:74,G14,75:75)-SUMIF(74:74,C14,75:75)+100</f>
        <v>100</v>
      </c>
      <c r="I14" s="3234"/>
      <c r="J14" s="545">
        <f>SUMIF(74:74,I14,75:75)-SUMIF(74:74,C14,75:75)+100</f>
        <v>100</v>
      </c>
      <c r="K14" s="864"/>
      <c r="L14" s="2125"/>
      <c r="M14" s="2117"/>
      <c r="N14" s="2117"/>
      <c r="O14" s="2124"/>
      <c r="P14" s="3420"/>
      <c r="Q14" s="1144">
        <f t="shared" si="6"/>
        <v>111</v>
      </c>
      <c r="R14" s="1552" t="s">
        <v>11</v>
      </c>
      <c r="S14" s="1553">
        <f t="shared" si="0"/>
        <v>100</v>
      </c>
      <c r="T14" s="1552" t="s">
        <v>11</v>
      </c>
      <c r="U14" s="1553">
        <f t="shared" si="1"/>
        <v>100</v>
      </c>
      <c r="V14" s="1552" t="s">
        <v>11</v>
      </c>
      <c r="W14" s="1553">
        <f t="shared" si="2"/>
        <v>100</v>
      </c>
      <c r="X14" s="1554"/>
      <c r="Y14" s="3366"/>
      <c r="Z14" s="1143">
        <f t="shared" si="7"/>
        <v>111</v>
      </c>
      <c r="AA14" s="1555">
        <f t="shared" si="3"/>
        <v>1</v>
      </c>
      <c r="AB14" s="1555">
        <f t="shared" si="4"/>
        <v>1</v>
      </c>
      <c r="AC14" s="1555">
        <f t="shared" si="5"/>
        <v>1</v>
      </c>
    </row>
    <row r="15" spans="1:29" ht="99.75">
      <c r="A15" s="2862" t="s">
        <v>2751</v>
      </c>
      <c r="B15" s="166" t="s">
        <v>295</v>
      </c>
      <c r="C15" s="866" t="str">
        <f>估价对象房地状况!C3</f>
        <v>估价对象周边居住用地比例、居住小区规模和社区发展完善程度，综合评价居住社区成熟度一般</v>
      </c>
      <c r="D15" s="548">
        <v>100</v>
      </c>
      <c r="E15" s="3190"/>
      <c r="F15" s="550">
        <f>SUMIF(76:76,E16,77:77)-SUMIF(76:76,C16,77:77)+100</f>
        <v>105</v>
      </c>
      <c r="G15" s="3213"/>
      <c r="H15" s="548">
        <f>SUMIF(76:76,G16,77:77)-SUMIF(76:76,C16,77:77)+100</f>
        <v>100</v>
      </c>
      <c r="I15" s="3235"/>
      <c r="J15" s="548">
        <f>SUMIF(76:76,I16,77:77)-SUMIF(76:76,C16,77:77)+100</f>
        <v>105</v>
      </c>
      <c r="K15" s="867">
        <v>5</v>
      </c>
      <c r="L15" s="2125"/>
      <c r="M15" s="2117"/>
      <c r="N15" s="2117"/>
      <c r="O15" s="2124"/>
      <c r="P15" s="3454" t="s">
        <v>540</v>
      </c>
      <c r="Q15" s="1556" t="str">
        <f t="shared" si="6"/>
        <v>居住社区成熟度</v>
      </c>
      <c r="R15" s="1557" t="s">
        <v>11</v>
      </c>
      <c r="S15" s="1558">
        <f t="shared" si="0"/>
        <v>105</v>
      </c>
      <c r="T15" s="1557" t="s">
        <v>11</v>
      </c>
      <c r="U15" s="1558">
        <f t="shared" si="1"/>
        <v>100</v>
      </c>
      <c r="V15" s="1557" t="s">
        <v>11</v>
      </c>
      <c r="W15" s="1558">
        <f t="shared" si="2"/>
        <v>105</v>
      </c>
      <c r="X15" s="1551"/>
      <c r="Y15" s="3454" t="s">
        <v>540</v>
      </c>
      <c r="Z15" s="1559" t="str">
        <f t="shared" si="7"/>
        <v>居住社区成熟度</v>
      </c>
      <c r="AA15" s="1560">
        <f t="shared" si="3"/>
        <v>0.95238095238095233</v>
      </c>
      <c r="AB15" s="1560">
        <f t="shared" si="4"/>
        <v>1</v>
      </c>
      <c r="AC15" s="1560">
        <f t="shared" si="5"/>
        <v>0.95238095238095233</v>
      </c>
    </row>
    <row r="16" spans="1:29" ht="15">
      <c r="A16" s="531"/>
      <c r="B16" s="868"/>
      <c r="C16" s="575" t="s">
        <v>3169</v>
      </c>
      <c r="D16" s="554"/>
      <c r="E16" s="3194" t="s">
        <v>3161</v>
      </c>
      <c r="F16" s="556"/>
      <c r="G16" s="3214" t="s">
        <v>3169</v>
      </c>
      <c r="H16" s="558"/>
      <c r="I16" s="3238" t="s">
        <v>3161</v>
      </c>
      <c r="J16" s="554"/>
      <c r="K16" s="869"/>
      <c r="L16" s="2125"/>
      <c r="M16" s="2117"/>
      <c r="N16" s="2117"/>
      <c r="O16" s="2124"/>
      <c r="P16" s="3455"/>
      <c r="Q16" s="1556"/>
      <c r="R16" s="1557"/>
      <c r="S16" s="1558"/>
      <c r="T16" s="1557"/>
      <c r="U16" s="1558"/>
      <c r="V16" s="1557"/>
      <c r="W16" s="1558"/>
      <c r="X16" s="1551"/>
      <c r="Y16" s="3455"/>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3191"/>
      <c r="F17" s="562">
        <f>SUMIF(78:78,E18,79:79)-SUMIF(78:78,C18,79:79)+100</f>
        <v>102</v>
      </c>
      <c r="G17" s="3215"/>
      <c r="H17" s="564">
        <f>SUMIF(78:78,G18,79:79)-SUMIF(78:78,C18,79:79)+100</f>
        <v>100</v>
      </c>
      <c r="I17" s="3236"/>
      <c r="J17" s="564">
        <f>SUMIF(78:78,I18,79:79)-SUMIF(78:78,C18,79:79)+100</f>
        <v>102</v>
      </c>
      <c r="K17" s="867">
        <v>2</v>
      </c>
      <c r="L17" s="2125"/>
      <c r="M17" s="2117"/>
      <c r="N17" s="2117"/>
      <c r="O17" s="2124"/>
      <c r="P17" s="3455"/>
      <c r="Q17" s="1556" t="str">
        <f>B17</f>
        <v>交通便捷度</v>
      </c>
      <c r="R17" s="1557" t="s">
        <v>11</v>
      </c>
      <c r="S17" s="1558">
        <f>F17</f>
        <v>102</v>
      </c>
      <c r="T17" s="1557" t="s">
        <v>11</v>
      </c>
      <c r="U17" s="1558">
        <f>H17</f>
        <v>100</v>
      </c>
      <c r="V17" s="1557" t="s">
        <v>11</v>
      </c>
      <c r="W17" s="1558">
        <f>J17</f>
        <v>102</v>
      </c>
      <c r="X17" s="1551"/>
      <c r="Y17" s="3455"/>
      <c r="Z17" s="1559" t="str">
        <f>Q17</f>
        <v>交通便捷度</v>
      </c>
      <c r="AA17" s="1560">
        <f t="shared" si="3"/>
        <v>0.98039215686274506</v>
      </c>
      <c r="AB17" s="1560">
        <f t="shared" si="4"/>
        <v>1</v>
      </c>
      <c r="AC17" s="1560">
        <f t="shared" si="5"/>
        <v>0.98039215686274506</v>
      </c>
    </row>
    <row r="18" spans="1:29" ht="15">
      <c r="A18" s="531"/>
      <c r="B18" s="594"/>
      <c r="C18" s="872" t="s">
        <v>3169</v>
      </c>
      <c r="D18" s="558"/>
      <c r="E18" s="3199" t="s">
        <v>3161</v>
      </c>
      <c r="F18" s="562"/>
      <c r="G18" s="3216" t="s">
        <v>3169</v>
      </c>
      <c r="H18" s="554"/>
      <c r="I18" s="3238" t="s">
        <v>3161</v>
      </c>
      <c r="J18" s="554"/>
      <c r="K18" s="869"/>
      <c r="L18" s="2125"/>
      <c r="M18" s="2117"/>
      <c r="N18" s="2117"/>
      <c r="O18" s="2124"/>
      <c r="P18" s="3455"/>
      <c r="Q18" s="1556"/>
      <c r="R18" s="1557"/>
      <c r="S18" s="1558"/>
      <c r="T18" s="1557"/>
      <c r="U18" s="1558"/>
      <c r="V18" s="1557"/>
      <c r="W18" s="1558"/>
      <c r="X18" s="1551"/>
      <c r="Y18" s="3455"/>
      <c r="Z18" s="1559"/>
      <c r="AA18" s="1560">
        <v>1</v>
      </c>
      <c r="AB18" s="1560">
        <v>1</v>
      </c>
      <c r="AC18" s="1560">
        <v>1</v>
      </c>
    </row>
    <row r="19" spans="1:29" ht="42.75">
      <c r="A19" s="531"/>
      <c r="B19" s="2562" t="s">
        <v>2544</v>
      </c>
      <c r="C19" s="871" t="str">
        <f>估价对象房地状况!C7</f>
        <v>估价对象所在区域公共配套设施齐备情况</v>
      </c>
      <c r="D19" s="564">
        <v>100</v>
      </c>
      <c r="E19" s="3192"/>
      <c r="F19" s="570">
        <f>SUMIF(80:80,E20,81:81)-SUMIF(80:80,C20,81:81)+100</f>
        <v>102</v>
      </c>
      <c r="G19" s="3217"/>
      <c r="H19" s="558">
        <f>SUMIF(80:80,G20,81:81)-SUMIF(80:80,C20,81:81)+100</f>
        <v>100</v>
      </c>
      <c r="I19" s="3237"/>
      <c r="J19" s="558">
        <f>SUMIF(80:80,I20,81:81)-SUMIF(80:80,C20,81:81)+100</f>
        <v>102</v>
      </c>
      <c r="K19" s="867">
        <v>2</v>
      </c>
      <c r="L19" s="2125"/>
      <c r="M19" s="2117"/>
      <c r="N19" s="2117"/>
      <c r="O19" s="2124"/>
      <c r="P19" s="3455"/>
      <c r="Q19" s="1556" t="str">
        <f>B19</f>
        <v>公共配套设施</v>
      </c>
      <c r="R19" s="1557" t="s">
        <v>11</v>
      </c>
      <c r="S19" s="1558">
        <f>F19</f>
        <v>102</v>
      </c>
      <c r="T19" s="1557" t="s">
        <v>11</v>
      </c>
      <c r="U19" s="1558">
        <f>H19</f>
        <v>100</v>
      </c>
      <c r="V19" s="1557" t="s">
        <v>11</v>
      </c>
      <c r="W19" s="1558">
        <f>J19</f>
        <v>102</v>
      </c>
      <c r="X19" s="1551"/>
      <c r="Y19" s="3455"/>
      <c r="Z19" s="1559" t="str">
        <f>Q19</f>
        <v>公共配套设施</v>
      </c>
      <c r="AA19" s="1560">
        <f t="shared" si="3"/>
        <v>0.98039215686274506</v>
      </c>
      <c r="AB19" s="1560">
        <f t="shared" si="4"/>
        <v>1</v>
      </c>
      <c r="AC19" s="1560">
        <f t="shared" si="5"/>
        <v>0.98039215686274506</v>
      </c>
    </row>
    <row r="20" spans="1:29" ht="15">
      <c r="A20" s="531"/>
      <c r="B20" s="594"/>
      <c r="C20" s="575" t="s">
        <v>3169</v>
      </c>
      <c r="D20" s="554"/>
      <c r="E20" s="3199" t="s">
        <v>3161</v>
      </c>
      <c r="F20" s="556"/>
      <c r="G20" s="3214" t="s">
        <v>3169</v>
      </c>
      <c r="H20" s="554"/>
      <c r="I20" s="3238" t="s">
        <v>3161</v>
      </c>
      <c r="J20" s="554"/>
      <c r="K20" s="869"/>
      <c r="L20" s="2125"/>
      <c r="M20" s="2117"/>
      <c r="N20" s="2117"/>
      <c r="O20" s="2124"/>
      <c r="P20" s="3455"/>
      <c r="Q20" s="1556"/>
      <c r="R20" s="1557"/>
      <c r="S20" s="1558"/>
      <c r="T20" s="1557"/>
      <c r="U20" s="1558"/>
      <c r="V20" s="1557"/>
      <c r="W20" s="1558"/>
      <c r="X20" s="1551"/>
      <c r="Y20" s="3455"/>
      <c r="Z20" s="1559"/>
      <c r="AA20" s="1560">
        <v>1</v>
      </c>
      <c r="AB20" s="1560">
        <v>1</v>
      </c>
      <c r="AC20" s="1560">
        <v>1</v>
      </c>
    </row>
    <row r="21" spans="1:29" ht="28.5">
      <c r="A21" s="531"/>
      <c r="B21" s="2555" t="s">
        <v>2556</v>
      </c>
      <c r="C21" s="871" t="str">
        <f>估价对象房地状况!C8</f>
        <v>估价对象所在区域基础设施水平</v>
      </c>
      <c r="D21" s="564">
        <v>100</v>
      </c>
      <c r="E21" s="3193"/>
      <c r="F21" s="570">
        <f>SUMIF(82:82,E22,83:83)-SUMIF(82:82,C22,83:83)+100</f>
        <v>100</v>
      </c>
      <c r="G21" s="3217"/>
      <c r="H21" s="564">
        <f>SUMIF(82:82,G22,83:83)-SUMIF(82:82,C22,83:83)+100</f>
        <v>100</v>
      </c>
      <c r="I21" s="3237"/>
      <c r="J21" s="564">
        <f>SUMIF(82:82,I22,83:83)-SUMIF(82:82,C22,83:83)+100</f>
        <v>100</v>
      </c>
      <c r="K21" s="867">
        <v>2</v>
      </c>
      <c r="L21" s="2125"/>
      <c r="M21" s="2117"/>
      <c r="N21" s="2117"/>
      <c r="O21" s="2124"/>
      <c r="P21" s="3455"/>
      <c r="Q21" s="2541" t="str">
        <f>B21</f>
        <v>基础设施水平</v>
      </c>
      <c r="R21" s="1557" t="s">
        <v>11</v>
      </c>
      <c r="S21" s="1558">
        <f>F21</f>
        <v>100</v>
      </c>
      <c r="T21" s="1557" t="s">
        <v>11</v>
      </c>
      <c r="U21" s="1558">
        <f>H21</f>
        <v>100</v>
      </c>
      <c r="V21" s="1557" t="s">
        <v>11</v>
      </c>
      <c r="W21" s="1558">
        <f>J21</f>
        <v>100</v>
      </c>
      <c r="X21" s="2543"/>
      <c r="Y21" s="3455"/>
      <c r="Z21" s="2542" t="str">
        <f>Q21</f>
        <v>基础设施水平</v>
      </c>
      <c r="AA21" s="1560">
        <f t="shared" ref="AA21" si="8">D21/F21</f>
        <v>1</v>
      </c>
      <c r="AB21" s="1560">
        <f t="shared" ref="AB21" si="9">D21/H21</f>
        <v>1</v>
      </c>
      <c r="AC21" s="1560">
        <f t="shared" ref="AC21" si="10">D21/J21</f>
        <v>1</v>
      </c>
    </row>
    <row r="22" spans="1:29" ht="15">
      <c r="A22" s="531"/>
      <c r="B22" s="919"/>
      <c r="C22" s="872" t="s">
        <v>3162</v>
      </c>
      <c r="D22" s="554"/>
      <c r="E22" s="3199" t="s">
        <v>3162</v>
      </c>
      <c r="F22" s="556"/>
      <c r="G22" s="3222" t="s">
        <v>3162</v>
      </c>
      <c r="H22" s="554"/>
      <c r="I22" s="3243" t="s">
        <v>3162</v>
      </c>
      <c r="J22" s="554"/>
      <c r="K22" s="2561"/>
      <c r="L22" s="2125"/>
      <c r="M22" s="2117"/>
      <c r="N22" s="2117"/>
      <c r="O22" s="2124"/>
      <c r="P22" s="3455"/>
      <c r="Q22" s="2541"/>
      <c r="R22" s="1557"/>
      <c r="S22" s="1558"/>
      <c r="T22" s="1557"/>
      <c r="U22" s="1558"/>
      <c r="V22" s="1557"/>
      <c r="W22" s="1558"/>
      <c r="X22" s="2543"/>
      <c r="Y22" s="3455"/>
      <c r="Z22" s="2542"/>
      <c r="AA22" s="1560">
        <v>1</v>
      </c>
      <c r="AB22" s="1560">
        <v>1</v>
      </c>
      <c r="AC22" s="1560">
        <v>1</v>
      </c>
    </row>
    <row r="23" spans="1:29" ht="57">
      <c r="A23" s="531"/>
      <c r="B23" s="870" t="s">
        <v>297</v>
      </c>
      <c r="C23" s="871" t="str">
        <f>估价对象房地状况!C9</f>
        <v>区域自然环境：；人文环境；综合评价环境状况一般</v>
      </c>
      <c r="D23" s="558">
        <v>100</v>
      </c>
      <c r="E23" s="3191"/>
      <c r="F23" s="562">
        <f>SUMIF(84:84,E24,85:85)-SUMIF(84:84,C24,85:85)+100</f>
        <v>100</v>
      </c>
      <c r="G23" s="3215"/>
      <c r="H23" s="558">
        <f>SUMIF(84:84,G24,85:85)-SUMIF(84:84,C24,85:85)+100</f>
        <v>100</v>
      </c>
      <c r="I23" s="3236"/>
      <c r="J23" s="558">
        <f>SUMIF(84:84,I24,85:85)-SUMIF(84:84,C24,85:85)+100</f>
        <v>100</v>
      </c>
      <c r="K23" s="867">
        <v>3</v>
      </c>
      <c r="L23" s="2125"/>
      <c r="M23" s="2117"/>
      <c r="N23" s="2117"/>
      <c r="O23" s="2124"/>
      <c r="P23" s="3455"/>
      <c r="Q23" s="1556" t="str">
        <f>B23</f>
        <v>自然及人文环境</v>
      </c>
      <c r="R23" s="1557" t="s">
        <v>11</v>
      </c>
      <c r="S23" s="1558">
        <f>F23</f>
        <v>100</v>
      </c>
      <c r="T23" s="1557" t="s">
        <v>11</v>
      </c>
      <c r="U23" s="1558">
        <f>H23</f>
        <v>100</v>
      </c>
      <c r="V23" s="1557" t="s">
        <v>11</v>
      </c>
      <c r="W23" s="1558">
        <f>J23</f>
        <v>100</v>
      </c>
      <c r="X23" s="1551"/>
      <c r="Y23" s="3455"/>
      <c r="Z23" s="1559" t="str">
        <f>Q23</f>
        <v>自然及人文环境</v>
      </c>
      <c r="AA23" s="1560">
        <f t="shared" si="3"/>
        <v>1</v>
      </c>
      <c r="AB23" s="1560">
        <f t="shared" si="4"/>
        <v>1</v>
      </c>
      <c r="AC23" s="1560">
        <f t="shared" si="5"/>
        <v>1</v>
      </c>
    </row>
    <row r="24" spans="1:29" ht="15">
      <c r="A24" s="531"/>
      <c r="B24" s="594"/>
      <c r="C24" s="575" t="s">
        <v>3161</v>
      </c>
      <c r="D24" s="554"/>
      <c r="E24" s="3194" t="s">
        <v>3161</v>
      </c>
      <c r="F24" s="556"/>
      <c r="G24" s="3214" t="s">
        <v>3161</v>
      </c>
      <c r="H24" s="554"/>
      <c r="I24" s="3238" t="s">
        <v>3161</v>
      </c>
      <c r="J24" s="554"/>
      <c r="K24" s="869"/>
      <c r="L24" s="2125"/>
      <c r="M24" s="2117"/>
      <c r="N24" s="2117"/>
      <c r="O24" s="2124"/>
      <c r="P24" s="3455"/>
      <c r="Q24" s="1556"/>
      <c r="R24" s="1557"/>
      <c r="S24" s="1558"/>
      <c r="T24" s="1557"/>
      <c r="U24" s="1558"/>
      <c r="V24" s="1557"/>
      <c r="W24" s="1558"/>
      <c r="X24" s="1551"/>
      <c r="Y24" s="3455"/>
      <c r="Z24" s="1559"/>
      <c r="AA24" s="1560">
        <v>1</v>
      </c>
      <c r="AB24" s="1560">
        <v>1</v>
      </c>
      <c r="AC24" s="1560">
        <v>1</v>
      </c>
    </row>
    <row r="25" spans="1:29" ht="15">
      <c r="A25" s="531"/>
      <c r="B25" s="1878" t="s">
        <v>2254</v>
      </c>
      <c r="C25" s="573"/>
      <c r="D25" s="539">
        <v>100</v>
      </c>
      <c r="E25" s="3200"/>
      <c r="F25" s="574">
        <f>SUMIF(86:86,E25,87:87)-SUMIF(86:86,C25,87:87)+100</f>
        <v>100</v>
      </c>
      <c r="G25" s="3223"/>
      <c r="H25" s="539">
        <f>SUMIF(86:86,G25,87:87)-SUMIF(86:86,C25,87:87)+100</f>
        <v>100</v>
      </c>
      <c r="I25" s="3239"/>
      <c r="J25" s="539">
        <f>SUMIF(86:86,I25,87:87)-SUMIF(86:86,C25,87:87)+100</f>
        <v>100</v>
      </c>
      <c r="K25" s="863"/>
      <c r="L25" s="2125"/>
      <c r="M25" s="2117"/>
      <c r="N25" s="2117"/>
      <c r="O25" s="2124"/>
      <c r="P25" s="3455"/>
      <c r="Q25" s="1556" t="str">
        <f t="shared" ref="Q25:Q46" si="11">B25</f>
        <v>楼层-1</v>
      </c>
      <c r="R25" s="1557" t="s">
        <v>11</v>
      </c>
      <c r="S25" s="1558">
        <f>F25</f>
        <v>100</v>
      </c>
      <c r="T25" s="1557" t="s">
        <v>11</v>
      </c>
      <c r="U25" s="1558">
        <f>H25</f>
        <v>100</v>
      </c>
      <c r="V25" s="1557" t="s">
        <v>11</v>
      </c>
      <c r="W25" s="1558">
        <f>J25</f>
        <v>100</v>
      </c>
      <c r="X25" s="1551"/>
      <c r="Y25" s="3455"/>
      <c r="Z25" s="1559" t="str">
        <f>Q25</f>
        <v>楼层-1</v>
      </c>
      <c r="AA25" s="1560">
        <f t="shared" si="3"/>
        <v>1</v>
      </c>
      <c r="AB25" s="1560">
        <f t="shared" si="4"/>
        <v>1</v>
      </c>
      <c r="AC25" s="1560">
        <f t="shared" si="5"/>
        <v>1</v>
      </c>
    </row>
    <row r="26" spans="1:29" ht="15">
      <c r="A26" s="531"/>
      <c r="B26" s="526" t="s">
        <v>723</v>
      </c>
      <c r="C26" s="573"/>
      <c r="D26" s="539">
        <v>100</v>
      </c>
      <c r="E26" s="3200"/>
      <c r="F26" s="574">
        <f>SUMIF(88:88,E26,89:89)-SUMIF(88:88,C26,89:89)+100</f>
        <v>100</v>
      </c>
      <c r="G26" s="3223"/>
      <c r="H26" s="539">
        <f>SUMIF(88:88,G26,89:89)-SUMIF(88:88,C26,89:89)+100</f>
        <v>100</v>
      </c>
      <c r="I26" s="3239"/>
      <c r="J26" s="539">
        <f>SUMIF(88:88,I26,89:89)-SUMIF(88:88,C26,89:89)+100</f>
        <v>100</v>
      </c>
      <c r="K26" s="863"/>
      <c r="L26" s="2125"/>
      <c r="M26" s="2117"/>
      <c r="N26" s="2117"/>
      <c r="O26" s="2124"/>
      <c r="P26" s="3455"/>
      <c r="Q26" s="1556" t="str">
        <f t="shared" si="11"/>
        <v>朝向</v>
      </c>
      <c r="R26" s="1557" t="s">
        <v>11</v>
      </c>
      <c r="S26" s="1558">
        <f>F26</f>
        <v>100</v>
      </c>
      <c r="T26" s="1557" t="s">
        <v>11</v>
      </c>
      <c r="U26" s="1558">
        <f>H26</f>
        <v>100</v>
      </c>
      <c r="V26" s="1557" t="s">
        <v>11</v>
      </c>
      <c r="W26" s="1558">
        <f>J26</f>
        <v>100</v>
      </c>
      <c r="X26" s="1551"/>
      <c r="Y26" s="3455"/>
      <c r="Z26" s="1559" t="str">
        <f>Q26</f>
        <v>朝向</v>
      </c>
      <c r="AA26" s="1560">
        <f t="shared" si="3"/>
        <v>1</v>
      </c>
      <c r="AB26" s="1560">
        <f t="shared" si="4"/>
        <v>1</v>
      </c>
      <c r="AC26" s="1560">
        <f t="shared" si="5"/>
        <v>1</v>
      </c>
    </row>
    <row r="27" spans="1:29" s="1213" customFormat="1" ht="15">
      <c r="A27" s="535"/>
      <c r="B27" s="536" t="s">
        <v>724</v>
      </c>
      <c r="C27" s="527"/>
      <c r="D27" s="873">
        <v>100</v>
      </c>
      <c r="E27" s="3186"/>
      <c r="F27" s="874">
        <f>SUMIF(90:90,E27,91:91)-SUMIF(90:90,C27,91:91)+100</f>
        <v>100</v>
      </c>
      <c r="G27" s="3209"/>
      <c r="H27" s="873">
        <f>SUMIF(90:90,G27,91:91)-SUMIF(90:90,C27,91:91)+100</f>
        <v>100</v>
      </c>
      <c r="I27" s="3231"/>
      <c r="J27" s="873">
        <f>SUMIF(90:90,I27,91:91)-SUMIF(90:90,C27,91:91)+100</f>
        <v>100</v>
      </c>
      <c r="K27" s="864"/>
      <c r="L27" s="2118"/>
      <c r="M27" s="2119"/>
      <c r="N27" s="2119"/>
      <c r="O27" s="2120"/>
      <c r="P27" s="3455"/>
      <c r="Q27" s="1144" t="str">
        <f t="shared" si="11"/>
        <v>道路级别</v>
      </c>
      <c r="R27" s="1552" t="s">
        <v>11</v>
      </c>
      <c r="S27" s="1553">
        <f>F27</f>
        <v>100</v>
      </c>
      <c r="T27" s="1552" t="s">
        <v>11</v>
      </c>
      <c r="U27" s="1553">
        <f>H27</f>
        <v>100</v>
      </c>
      <c r="V27" s="1552" t="s">
        <v>11</v>
      </c>
      <c r="W27" s="1553">
        <f>J27</f>
        <v>100</v>
      </c>
      <c r="X27" s="1554"/>
      <c r="Y27" s="3455"/>
      <c r="Z27" s="1143" t="str">
        <f>Q27</f>
        <v>道路级别</v>
      </c>
      <c r="AA27" s="1560">
        <f>D27/F27</f>
        <v>1</v>
      </c>
      <c r="AB27" s="1560">
        <f>D27/H27</f>
        <v>1</v>
      </c>
      <c r="AC27" s="1560">
        <f>D27/J27</f>
        <v>1</v>
      </c>
    </row>
    <row r="28" spans="1:29" ht="15">
      <c r="A28" s="531"/>
      <c r="B28" s="875">
        <v>111</v>
      </c>
      <c r="C28" s="538"/>
      <c r="D28" s="539">
        <v>100</v>
      </c>
      <c r="E28" s="3188"/>
      <c r="F28" s="574">
        <f>SUMIF(92:92,E28,93:93)-SUMIF(92:92,C28,93:93)+100</f>
        <v>100</v>
      </c>
      <c r="G28" s="3211"/>
      <c r="H28" s="539">
        <f>SUMIF(92:92,G28,93:93)-SUMIF(92:92,C28,93:93)+100</f>
        <v>100</v>
      </c>
      <c r="I28" s="3233"/>
      <c r="J28" s="539">
        <f>SUMIF(92:92,I28,93:93)-SUMIF(92:92,C28,93:93)+100</f>
        <v>100</v>
      </c>
      <c r="K28" s="864"/>
      <c r="L28" s="2125"/>
      <c r="M28" s="2117"/>
      <c r="N28" s="2117"/>
      <c r="O28" s="2124"/>
      <c r="P28" s="3455"/>
      <c r="Q28" s="1556">
        <f t="shared" si="11"/>
        <v>111</v>
      </c>
      <c r="R28" s="1557" t="s">
        <v>11</v>
      </c>
      <c r="S28" s="1558">
        <f t="shared" ref="S28:S46" si="12">F28</f>
        <v>100</v>
      </c>
      <c r="T28" s="1557" t="s">
        <v>11</v>
      </c>
      <c r="U28" s="1558">
        <f t="shared" ref="U28:U46" si="13">H28</f>
        <v>100</v>
      </c>
      <c r="V28" s="1557" t="s">
        <v>11</v>
      </c>
      <c r="W28" s="1558">
        <f t="shared" ref="W28:W46" si="14">J28</f>
        <v>100</v>
      </c>
      <c r="X28" s="1551"/>
      <c r="Y28" s="3455"/>
      <c r="Z28" s="1559">
        <f t="shared" ref="Z28:Z46" si="15">Q28</f>
        <v>111</v>
      </c>
      <c r="AA28" s="1560">
        <f t="shared" si="3"/>
        <v>1</v>
      </c>
      <c r="AB28" s="1560">
        <f t="shared" si="4"/>
        <v>1</v>
      </c>
      <c r="AC28" s="1560">
        <f t="shared" si="5"/>
        <v>1</v>
      </c>
    </row>
    <row r="29" spans="1:29" ht="15">
      <c r="A29" s="531"/>
      <c r="B29" s="875">
        <v>111</v>
      </c>
      <c r="C29" s="538"/>
      <c r="D29" s="539">
        <v>100</v>
      </c>
      <c r="E29" s="3188"/>
      <c r="F29" s="574">
        <f>SUMIF(94:94,E29,95:95)-SUMIF(94:94,C29,95:95)+100</f>
        <v>100</v>
      </c>
      <c r="G29" s="3211"/>
      <c r="H29" s="539">
        <f>SUMIF(94:94,G29,95:95)-SUMIF(94:94,C29,95:95)+100</f>
        <v>100</v>
      </c>
      <c r="I29" s="3233"/>
      <c r="J29" s="539">
        <f>SUMIF(94:94,I29,95:95)-SUMIF(94:94,C29,95:95)+100</f>
        <v>100</v>
      </c>
      <c r="K29" s="864"/>
      <c r="L29" s="2125"/>
      <c r="M29" s="2117"/>
      <c r="N29" s="2117"/>
      <c r="O29" s="2124"/>
      <c r="P29" s="3455"/>
      <c r="Q29" s="1556">
        <f t="shared" si="11"/>
        <v>111</v>
      </c>
      <c r="R29" s="1557" t="s">
        <v>11</v>
      </c>
      <c r="S29" s="1558">
        <f t="shared" si="12"/>
        <v>100</v>
      </c>
      <c r="T29" s="1557" t="s">
        <v>11</v>
      </c>
      <c r="U29" s="1558">
        <f t="shared" si="13"/>
        <v>100</v>
      </c>
      <c r="V29" s="1557" t="s">
        <v>11</v>
      </c>
      <c r="W29" s="1558">
        <f t="shared" si="14"/>
        <v>100</v>
      </c>
      <c r="X29" s="1551"/>
      <c r="Y29" s="3455"/>
      <c r="Z29" s="1559">
        <f t="shared" si="15"/>
        <v>111</v>
      </c>
      <c r="AA29" s="1560">
        <f t="shared" si="3"/>
        <v>1</v>
      </c>
      <c r="AB29" s="1560">
        <f t="shared" si="4"/>
        <v>1</v>
      </c>
      <c r="AC29" s="1560">
        <f t="shared" si="5"/>
        <v>1</v>
      </c>
    </row>
    <row r="30" spans="1:29" ht="15">
      <c r="A30" s="531"/>
      <c r="B30" s="875">
        <v>111</v>
      </c>
      <c r="C30" s="538"/>
      <c r="D30" s="539">
        <v>100</v>
      </c>
      <c r="E30" s="3188"/>
      <c r="F30" s="574">
        <f>SUMIF(96:96,E30,97:97)-SUMIF(96:96,C30,97:97)+100</f>
        <v>100</v>
      </c>
      <c r="G30" s="3211"/>
      <c r="H30" s="539">
        <f>SUMIF(96:96,G30,97:97)-SUMIF(96:96,C30,97:97)+100</f>
        <v>100</v>
      </c>
      <c r="I30" s="3233"/>
      <c r="J30" s="539">
        <f>SUMIF(96:96,I30,97:97)-SUMIF(96:96,C30,97:97)+100</f>
        <v>100</v>
      </c>
      <c r="K30" s="864"/>
      <c r="L30" s="2125"/>
      <c r="M30" s="2117"/>
      <c r="N30" s="2117"/>
      <c r="O30" s="2124"/>
      <c r="P30" s="3455"/>
      <c r="Q30" s="1556">
        <f t="shared" si="11"/>
        <v>111</v>
      </c>
      <c r="R30" s="1557" t="s">
        <v>11</v>
      </c>
      <c r="S30" s="1558">
        <f t="shared" si="12"/>
        <v>100</v>
      </c>
      <c r="T30" s="1557" t="s">
        <v>11</v>
      </c>
      <c r="U30" s="1558">
        <f t="shared" si="13"/>
        <v>100</v>
      </c>
      <c r="V30" s="1557" t="s">
        <v>11</v>
      </c>
      <c r="W30" s="1558">
        <f t="shared" si="14"/>
        <v>100</v>
      </c>
      <c r="X30" s="1551"/>
      <c r="Y30" s="3455"/>
      <c r="Z30" s="1559">
        <f t="shared" si="15"/>
        <v>111</v>
      </c>
      <c r="AA30" s="1560">
        <f t="shared" si="3"/>
        <v>1</v>
      </c>
      <c r="AB30" s="1560">
        <f t="shared" si="4"/>
        <v>1</v>
      </c>
      <c r="AC30" s="1560">
        <f t="shared" si="5"/>
        <v>1</v>
      </c>
    </row>
    <row r="31" spans="1:29" ht="15.75" thickBot="1">
      <c r="A31" s="542"/>
      <c r="B31" s="875">
        <v>111</v>
      </c>
      <c r="C31" s="544"/>
      <c r="D31" s="545">
        <v>100</v>
      </c>
      <c r="E31" s="3189"/>
      <c r="F31" s="865">
        <f>SUMIF(98:98,E31,99:99)-SUMIF(98:98,C31,99:99)+100</f>
        <v>100</v>
      </c>
      <c r="G31" s="3212"/>
      <c r="H31" s="545">
        <f>SUMIF(98:98,G31,99:99)-SUMIF(98:98,C31,99:99)+100</f>
        <v>100</v>
      </c>
      <c r="I31" s="3234"/>
      <c r="J31" s="545">
        <f>SUMIF(98:98,I31,99:99)-SUMIF(98:98,C31,99:99)+100</f>
        <v>100</v>
      </c>
      <c r="K31" s="864"/>
      <c r="L31" s="2125"/>
      <c r="M31" s="2117"/>
      <c r="N31" s="2117"/>
      <c r="O31" s="2124"/>
      <c r="P31" s="3455"/>
      <c r="Q31" s="1556">
        <f t="shared" si="11"/>
        <v>111</v>
      </c>
      <c r="R31" s="1557" t="s">
        <v>11</v>
      </c>
      <c r="S31" s="1558">
        <f t="shared" si="12"/>
        <v>100</v>
      </c>
      <c r="T31" s="1557" t="s">
        <v>11</v>
      </c>
      <c r="U31" s="1558">
        <f t="shared" si="13"/>
        <v>100</v>
      </c>
      <c r="V31" s="1557" t="s">
        <v>11</v>
      </c>
      <c r="W31" s="1558">
        <f t="shared" si="14"/>
        <v>100</v>
      </c>
      <c r="X31" s="1551"/>
      <c r="Y31" s="3455"/>
      <c r="Z31" s="1559">
        <f t="shared" si="15"/>
        <v>111</v>
      </c>
      <c r="AA31" s="1560">
        <f t="shared" si="3"/>
        <v>1</v>
      </c>
      <c r="AB31" s="1560">
        <f t="shared" si="4"/>
        <v>1</v>
      </c>
      <c r="AC31" s="1560">
        <f t="shared" si="5"/>
        <v>1</v>
      </c>
    </row>
    <row r="32" spans="1:29" ht="15">
      <c r="A32" s="2860" t="s">
        <v>2752</v>
      </c>
      <c r="B32" s="172" t="s">
        <v>725</v>
      </c>
      <c r="C32" s="3244" t="s">
        <v>3015</v>
      </c>
      <c r="D32" s="596">
        <v>100</v>
      </c>
      <c r="E32" s="3201" t="s">
        <v>3163</v>
      </c>
      <c r="F32" s="574">
        <f>SUMIF(100:100,E32,101:101)-SUMIF(100:100,C32,101:101)+100</f>
        <v>90</v>
      </c>
      <c r="G32" s="3224" t="s">
        <v>3163</v>
      </c>
      <c r="H32" s="596">
        <f>SUMIF(100:100,G32,101:101)-SUMIF(100:100,C32,101:101)+100</f>
        <v>90</v>
      </c>
      <c r="I32" s="3244" t="s">
        <v>3163</v>
      </c>
      <c r="J32" s="539">
        <f>SUMIF(100:100,I32,101:101)-SUMIF(100:100,C32,101:101)+100</f>
        <v>90</v>
      </c>
      <c r="K32" s="863">
        <v>10</v>
      </c>
      <c r="L32" s="2125"/>
      <c r="M32" s="2117"/>
      <c r="N32" s="2117"/>
      <c r="O32" s="2124"/>
      <c r="P32" s="3456" t="s">
        <v>550</v>
      </c>
      <c r="Q32" s="1556" t="str">
        <f t="shared" si="11"/>
        <v>建筑类型</v>
      </c>
      <c r="R32" s="1557" t="s">
        <v>11</v>
      </c>
      <c r="S32" s="1558">
        <f t="shared" si="12"/>
        <v>90</v>
      </c>
      <c r="T32" s="1557" t="s">
        <v>11</v>
      </c>
      <c r="U32" s="1558">
        <f t="shared" si="13"/>
        <v>90</v>
      </c>
      <c r="V32" s="1557" t="s">
        <v>11</v>
      </c>
      <c r="W32" s="1558">
        <f t="shared" si="14"/>
        <v>90</v>
      </c>
      <c r="X32" s="1551"/>
      <c r="Y32" s="3457" t="s">
        <v>550</v>
      </c>
      <c r="Z32" s="1559" t="str">
        <f t="shared" si="15"/>
        <v>建筑类型</v>
      </c>
      <c r="AA32" s="1560">
        <f t="shared" si="3"/>
        <v>1.1111111111111112</v>
      </c>
      <c r="AB32" s="1560">
        <f t="shared" si="4"/>
        <v>1.1111111111111112</v>
      </c>
      <c r="AC32" s="1560">
        <f t="shared" si="5"/>
        <v>1.1111111111111112</v>
      </c>
    </row>
    <row r="33" spans="1:29" s="1332" customFormat="1" ht="15">
      <c r="A33" s="602"/>
      <c r="B33" s="526" t="s">
        <v>726</v>
      </c>
      <c r="C33" s="3245">
        <v>100</v>
      </c>
      <c r="D33" s="254">
        <v>100</v>
      </c>
      <c r="E33" s="3202">
        <v>100</v>
      </c>
      <c r="F33" s="862">
        <f>LOOKUP(E33,103:103,104:104)-LOOKUP(C33,103:103,104:104)+100</f>
        <v>100</v>
      </c>
      <c r="G33" s="3225">
        <v>100</v>
      </c>
      <c r="H33" s="254">
        <f>LOOKUP(G33,103:103,104:104)-LOOKUP(C33,103:103,104:104)+100</f>
        <v>100</v>
      </c>
      <c r="I33" s="3245">
        <v>100</v>
      </c>
      <c r="J33" s="254">
        <f>LOOKUP(I33,103:103,104:104)-LOOKUP(C33,103:103,104:104)+100</f>
        <v>100</v>
      </c>
      <c r="K33" s="864"/>
      <c r="L33" s="2123"/>
      <c r="M33" s="2154"/>
      <c r="N33" s="2154"/>
      <c r="O33" s="2126"/>
      <c r="P33" s="3457"/>
      <c r="Q33" s="1588" t="str">
        <f t="shared" si="11"/>
        <v>项目建筑规模</v>
      </c>
      <c r="R33" s="1561" t="s">
        <v>11</v>
      </c>
      <c r="S33" s="1562">
        <f t="shared" si="12"/>
        <v>100</v>
      </c>
      <c r="T33" s="1561" t="s">
        <v>11</v>
      </c>
      <c r="U33" s="1562">
        <f t="shared" si="13"/>
        <v>100</v>
      </c>
      <c r="V33" s="1561" t="s">
        <v>11</v>
      </c>
      <c r="W33" s="1562">
        <f t="shared" si="14"/>
        <v>100</v>
      </c>
      <c r="X33" s="1563"/>
      <c r="Y33" s="3457"/>
      <c r="Z33" s="1564" t="str">
        <f t="shared" si="15"/>
        <v>项目建筑规模</v>
      </c>
      <c r="AA33" s="1560">
        <f t="shared" si="3"/>
        <v>1</v>
      </c>
      <c r="AB33" s="1560">
        <f t="shared" si="4"/>
        <v>1</v>
      </c>
      <c r="AC33" s="1560">
        <f t="shared" si="5"/>
        <v>1</v>
      </c>
    </row>
    <row r="34" spans="1:29" ht="15">
      <c r="A34" s="593"/>
      <c r="B34" s="526" t="s">
        <v>727</v>
      </c>
      <c r="C34" s="3246" t="s">
        <v>3164</v>
      </c>
      <c r="D34" s="539">
        <v>100</v>
      </c>
      <c r="E34" s="3203" t="s">
        <v>3164</v>
      </c>
      <c r="F34" s="574">
        <f>SUMIF(105:105,E34,106:106)-SUMIF(105:105,C34,106:106)+100</f>
        <v>100</v>
      </c>
      <c r="G34" s="3226" t="s">
        <v>3164</v>
      </c>
      <c r="H34" s="539">
        <f>SUMIF(105:105,G34,106:106)-SUMIF(105:105,C34,106:106)+100</f>
        <v>100</v>
      </c>
      <c r="I34" s="3246" t="s">
        <v>3164</v>
      </c>
      <c r="J34" s="539">
        <f>SUMIF(105:105,I34,106:106)-SUMIF(105:105,C34,106:106)+100</f>
        <v>100</v>
      </c>
      <c r="K34" s="863"/>
      <c r="L34" s="2125"/>
      <c r="M34" s="2117"/>
      <c r="N34" s="2117"/>
      <c r="O34" s="2124"/>
      <c r="P34" s="3457"/>
      <c r="Q34" s="1556" t="str">
        <f t="shared" si="11"/>
        <v>建筑结构</v>
      </c>
      <c r="R34" s="1557" t="s">
        <v>11</v>
      </c>
      <c r="S34" s="1558">
        <f t="shared" si="12"/>
        <v>100</v>
      </c>
      <c r="T34" s="1557" t="s">
        <v>11</v>
      </c>
      <c r="U34" s="1558">
        <f t="shared" si="13"/>
        <v>100</v>
      </c>
      <c r="V34" s="1557" t="s">
        <v>11</v>
      </c>
      <c r="W34" s="1558">
        <f t="shared" si="14"/>
        <v>100</v>
      </c>
      <c r="X34" s="1551"/>
      <c r="Y34" s="3457"/>
      <c r="Z34" s="1559" t="str">
        <f t="shared" si="15"/>
        <v>建筑结构</v>
      </c>
      <c r="AA34" s="1560">
        <f t="shared" si="3"/>
        <v>1</v>
      </c>
      <c r="AB34" s="1560">
        <f t="shared" si="4"/>
        <v>1</v>
      </c>
      <c r="AC34" s="1560">
        <f t="shared" si="5"/>
        <v>1</v>
      </c>
    </row>
    <row r="35" spans="1:29" ht="15">
      <c r="A35" s="593"/>
      <c r="B35" s="526" t="s">
        <v>728</v>
      </c>
      <c r="C35" s="3239" t="s">
        <v>3165</v>
      </c>
      <c r="D35" s="539">
        <v>100</v>
      </c>
      <c r="E35" s="3195" t="s">
        <v>3165</v>
      </c>
      <c r="F35" s="574">
        <f>SUMIF(107:107,E35,108:108)-SUMIF(107:107,C35,108:108)+100</f>
        <v>100</v>
      </c>
      <c r="G35" s="3218" t="s">
        <v>3165</v>
      </c>
      <c r="H35" s="539">
        <f>SUMIF(107:107,G35,108:108)-SUMIF(107:107,C35,108:108)+100</f>
        <v>100</v>
      </c>
      <c r="I35" s="3239" t="s">
        <v>3165</v>
      </c>
      <c r="J35" s="539">
        <f>SUMIF(107:107,I35,108:108)-SUMIF(107:107,C35,108:108)+100</f>
        <v>100</v>
      </c>
      <c r="K35" s="863"/>
      <c r="L35" s="2125"/>
      <c r="M35" s="2117"/>
      <c r="N35" s="2117"/>
      <c r="O35" s="2124"/>
      <c r="P35" s="3457"/>
      <c r="Q35" s="1556" t="str">
        <f t="shared" si="11"/>
        <v>建筑品质</v>
      </c>
      <c r="R35" s="1557" t="s">
        <v>11</v>
      </c>
      <c r="S35" s="1558">
        <f t="shared" si="12"/>
        <v>100</v>
      </c>
      <c r="T35" s="1557" t="s">
        <v>11</v>
      </c>
      <c r="U35" s="1558">
        <f t="shared" si="13"/>
        <v>100</v>
      </c>
      <c r="V35" s="1557" t="s">
        <v>11</v>
      </c>
      <c r="W35" s="1558">
        <f t="shared" si="14"/>
        <v>100</v>
      </c>
      <c r="X35" s="1551"/>
      <c r="Y35" s="3457"/>
      <c r="Z35" s="1559" t="str">
        <f t="shared" si="15"/>
        <v>建筑品质</v>
      </c>
      <c r="AA35" s="1560">
        <f t="shared" si="3"/>
        <v>1</v>
      </c>
      <c r="AB35" s="1560">
        <f t="shared" si="4"/>
        <v>1</v>
      </c>
      <c r="AC35" s="1560">
        <f t="shared" si="5"/>
        <v>1</v>
      </c>
    </row>
    <row r="36" spans="1:29" ht="15">
      <c r="A36" s="593"/>
      <c r="B36" s="526" t="s">
        <v>729</v>
      </c>
      <c r="C36" s="3239" t="s">
        <v>3166</v>
      </c>
      <c r="D36" s="539">
        <v>100</v>
      </c>
      <c r="E36" s="3195" t="s">
        <v>3166</v>
      </c>
      <c r="F36" s="574">
        <f>SUMIF(109:109,E36,110:110)-SUMIF(109:109,C36,110:110)+100</f>
        <v>100</v>
      </c>
      <c r="G36" s="3218" t="s">
        <v>3166</v>
      </c>
      <c r="H36" s="539">
        <f>SUMIF(109:109,G36,110:110)-SUMIF(109:109,C36,110:110)+100</f>
        <v>100</v>
      </c>
      <c r="I36" s="3239" t="s">
        <v>3166</v>
      </c>
      <c r="J36" s="539">
        <f>SUMIF(109:109,I36,110:110)-SUMIF(109:109,C36,110:110)+100</f>
        <v>100</v>
      </c>
      <c r="K36" s="863"/>
      <c r="L36" s="2125"/>
      <c r="M36" s="2117"/>
      <c r="N36" s="2117"/>
      <c r="O36" s="2124"/>
      <c r="P36" s="3457"/>
      <c r="Q36" s="1556" t="str">
        <f t="shared" si="11"/>
        <v>公共部分装修</v>
      </c>
      <c r="R36" s="1557" t="s">
        <v>11</v>
      </c>
      <c r="S36" s="1558">
        <f t="shared" si="12"/>
        <v>100</v>
      </c>
      <c r="T36" s="1557" t="s">
        <v>11</v>
      </c>
      <c r="U36" s="1558">
        <f t="shared" si="13"/>
        <v>100</v>
      </c>
      <c r="V36" s="1557" t="s">
        <v>11</v>
      </c>
      <c r="W36" s="1558">
        <f t="shared" si="14"/>
        <v>100</v>
      </c>
      <c r="X36" s="1551"/>
      <c r="Y36" s="3457"/>
      <c r="Z36" s="1559" t="str">
        <f t="shared" si="15"/>
        <v>公共部分装修</v>
      </c>
      <c r="AA36" s="1560">
        <f t="shared" si="3"/>
        <v>1</v>
      </c>
      <c r="AB36" s="1560">
        <f t="shared" si="4"/>
        <v>1</v>
      </c>
      <c r="AC36" s="1560">
        <f t="shared" si="5"/>
        <v>1</v>
      </c>
    </row>
    <row r="37" spans="1:29" s="1213" customFormat="1" ht="15">
      <c r="A37" s="599"/>
      <c r="B37" s="526" t="s">
        <v>730</v>
      </c>
      <c r="C37" s="3247">
        <v>1</v>
      </c>
      <c r="D37" s="254">
        <v>100</v>
      </c>
      <c r="E37" s="3204">
        <v>0.88</v>
      </c>
      <c r="F37" s="862">
        <f>LOOKUP(E37,112:112,113:113)-LOOKUP(C37,112:112,113:113)+100</f>
        <v>100</v>
      </c>
      <c r="G37" s="3227">
        <v>1</v>
      </c>
      <c r="H37" s="254">
        <f>LOOKUP(G37,112:112,113:113)-LOOKUP(C37,112:112,113:113)+100</f>
        <v>100</v>
      </c>
      <c r="I37" s="3247">
        <v>0.9</v>
      </c>
      <c r="J37" s="254">
        <f>LOOKUP(I37,112:112,113:113)-LOOKUP(C37,112:112,113:113)+100</f>
        <v>100</v>
      </c>
      <c r="K37" s="863"/>
      <c r="L37" s="2118"/>
      <c r="M37" s="2119"/>
      <c r="N37" s="2119"/>
      <c r="O37" s="2120"/>
      <c r="P37" s="3457"/>
      <c r="Q37" s="1144" t="str">
        <f t="shared" si="11"/>
        <v>成新度</v>
      </c>
      <c r="R37" s="1552" t="s">
        <v>11</v>
      </c>
      <c r="S37" s="1553">
        <f t="shared" si="12"/>
        <v>100</v>
      </c>
      <c r="T37" s="1552" t="s">
        <v>11</v>
      </c>
      <c r="U37" s="1553">
        <f t="shared" si="13"/>
        <v>100</v>
      </c>
      <c r="V37" s="1552" t="s">
        <v>11</v>
      </c>
      <c r="W37" s="1553">
        <f t="shared" si="14"/>
        <v>100</v>
      </c>
      <c r="X37" s="1554"/>
      <c r="Y37" s="3457"/>
      <c r="Z37" s="1143" t="str">
        <f t="shared" si="15"/>
        <v>成新度</v>
      </c>
      <c r="AA37" s="1555">
        <f t="shared" si="3"/>
        <v>1</v>
      </c>
      <c r="AB37" s="1555">
        <f t="shared" si="4"/>
        <v>1</v>
      </c>
      <c r="AC37" s="1555">
        <f t="shared" si="5"/>
        <v>1</v>
      </c>
    </row>
    <row r="38" spans="1:29" ht="15">
      <c r="A38" s="593"/>
      <c r="B38" s="526" t="s">
        <v>731</v>
      </c>
      <c r="C38" s="3239" t="s">
        <v>3167</v>
      </c>
      <c r="D38" s="539">
        <v>100</v>
      </c>
      <c r="E38" s="3195" t="s">
        <v>3167</v>
      </c>
      <c r="F38" s="574">
        <f>SUMIF(114:114,E38,115:115)-SUMIF(114:114,C38,115:115)+100</f>
        <v>100</v>
      </c>
      <c r="G38" s="3218" t="s">
        <v>3167</v>
      </c>
      <c r="H38" s="539">
        <f>SUMIF(114:114,G38,115:115)-SUMIF(114:114,C38,115:115)+100</f>
        <v>100</v>
      </c>
      <c r="I38" s="3239" t="s">
        <v>3167</v>
      </c>
      <c r="J38" s="539">
        <f>SUMIF(114:114,I38,115:115)-SUMIF(114:114,C38,115:115)+100</f>
        <v>100</v>
      </c>
      <c r="K38" s="863"/>
      <c r="L38" s="2125"/>
      <c r="M38" s="2117"/>
      <c r="N38" s="2117"/>
      <c r="O38" s="2124"/>
      <c r="P38" s="3457" t="s">
        <v>550</v>
      </c>
      <c r="Q38" s="1556" t="str">
        <f t="shared" si="11"/>
        <v>物业管理</v>
      </c>
      <c r="R38" s="1557" t="s">
        <v>11</v>
      </c>
      <c r="S38" s="1558">
        <f t="shared" si="12"/>
        <v>100</v>
      </c>
      <c r="T38" s="1557" t="s">
        <v>11</v>
      </c>
      <c r="U38" s="1558">
        <f t="shared" si="13"/>
        <v>100</v>
      </c>
      <c r="V38" s="1557" t="s">
        <v>11</v>
      </c>
      <c r="W38" s="1558">
        <f t="shared" si="14"/>
        <v>100</v>
      </c>
      <c r="X38" s="1551"/>
      <c r="Y38" s="3457" t="s">
        <v>550</v>
      </c>
      <c r="Z38" s="1559" t="str">
        <f t="shared" si="15"/>
        <v>物业管理</v>
      </c>
      <c r="AA38" s="1560">
        <f t="shared" si="3"/>
        <v>1</v>
      </c>
      <c r="AB38" s="1560">
        <f t="shared" si="4"/>
        <v>1</v>
      </c>
      <c r="AC38" s="1560">
        <f t="shared" si="5"/>
        <v>1</v>
      </c>
    </row>
    <row r="39" spans="1:29" ht="15">
      <c r="A39" s="593"/>
      <c r="B39" s="1878" t="s">
        <v>2562</v>
      </c>
      <c r="C39" s="3239" t="s">
        <v>3162</v>
      </c>
      <c r="D39" s="539">
        <v>100</v>
      </c>
      <c r="E39" s="3195" t="s">
        <v>3162</v>
      </c>
      <c r="F39" s="574">
        <f>SUMIF(116:116,E39,117:117)-SUMIF(116:116,C39,117:117)+100</f>
        <v>100</v>
      </c>
      <c r="G39" s="3218" t="s">
        <v>3162</v>
      </c>
      <c r="H39" s="539">
        <f>SUMIF(116:116,G39,117:117)-SUMIF(116:116,C39,117:117)+100</f>
        <v>100</v>
      </c>
      <c r="I39" s="3239" t="s">
        <v>3162</v>
      </c>
      <c r="J39" s="539">
        <f>SUMIF(116:116,I39,117:117)-SUMIF(116:116,C39,117:117)+100</f>
        <v>100</v>
      </c>
      <c r="K39" s="863"/>
      <c r="L39" s="2125"/>
      <c r="M39" s="2117"/>
      <c r="N39" s="2117"/>
      <c r="O39" s="2124"/>
      <c r="P39" s="3457"/>
      <c r="Q39" s="1556" t="str">
        <f t="shared" si="11"/>
        <v>市政基础设施</v>
      </c>
      <c r="R39" s="1557" t="s">
        <v>11</v>
      </c>
      <c r="S39" s="1558">
        <f t="shared" si="12"/>
        <v>100</v>
      </c>
      <c r="T39" s="1557" t="s">
        <v>11</v>
      </c>
      <c r="U39" s="1558">
        <f t="shared" si="13"/>
        <v>100</v>
      </c>
      <c r="V39" s="1557" t="s">
        <v>11</v>
      </c>
      <c r="W39" s="1558">
        <f t="shared" si="14"/>
        <v>100</v>
      </c>
      <c r="X39" s="1551"/>
      <c r="Y39" s="3457"/>
      <c r="Z39" s="1559" t="str">
        <f t="shared" si="15"/>
        <v>市政基础设施</v>
      </c>
      <c r="AA39" s="1560">
        <f t="shared" si="3"/>
        <v>1</v>
      </c>
      <c r="AB39" s="1560">
        <f t="shared" si="4"/>
        <v>1</v>
      </c>
      <c r="AC39" s="1560">
        <f t="shared" si="5"/>
        <v>1</v>
      </c>
    </row>
    <row r="40" spans="1:29" ht="15">
      <c r="A40" s="593"/>
      <c r="B40" s="526" t="s">
        <v>732</v>
      </c>
      <c r="C40" s="3239"/>
      <c r="D40" s="539">
        <v>100</v>
      </c>
      <c r="E40" s="3195"/>
      <c r="F40" s="574">
        <f>SUMIF(118:118,E40,119:119)-SUMIF(118:118,C40,119:119)+100</f>
        <v>100</v>
      </c>
      <c r="G40" s="3218"/>
      <c r="H40" s="539">
        <f>SUMIF(118:118,G40,119:119)-SUMIF(118:118,C40,119:119)+100</f>
        <v>100</v>
      </c>
      <c r="I40" s="3239"/>
      <c r="J40" s="539">
        <f>SUMIF(118:118,I40,119:119)-SUMIF(118:118,C40,119:119)+100</f>
        <v>100</v>
      </c>
      <c r="K40" s="863"/>
      <c r="L40" s="2125"/>
      <c r="M40" s="2117"/>
      <c r="N40" s="2117"/>
      <c r="O40" s="2124"/>
      <c r="P40" s="3457"/>
      <c r="Q40" s="1556" t="str">
        <f t="shared" si="11"/>
        <v>房型</v>
      </c>
      <c r="R40" s="1557" t="s">
        <v>11</v>
      </c>
      <c r="S40" s="1558">
        <f t="shared" si="12"/>
        <v>100</v>
      </c>
      <c r="T40" s="1557" t="s">
        <v>11</v>
      </c>
      <c r="U40" s="1558">
        <f t="shared" si="13"/>
        <v>100</v>
      </c>
      <c r="V40" s="1557" t="s">
        <v>11</v>
      </c>
      <c r="W40" s="1558">
        <f t="shared" si="14"/>
        <v>100</v>
      </c>
      <c r="X40" s="1551"/>
      <c r="Y40" s="3457"/>
      <c r="Z40" s="1559" t="str">
        <f t="shared" si="15"/>
        <v>房型</v>
      </c>
      <c r="AA40" s="1560">
        <f t="shared" si="3"/>
        <v>1</v>
      </c>
      <c r="AB40" s="1560">
        <f t="shared" si="4"/>
        <v>1</v>
      </c>
      <c r="AC40" s="1560">
        <f t="shared" si="5"/>
        <v>1</v>
      </c>
    </row>
    <row r="41" spans="1:29" s="1332" customFormat="1" ht="28.5">
      <c r="A41" s="602"/>
      <c r="B41" s="526" t="s">
        <v>733</v>
      </c>
      <c r="C41" s="3245"/>
      <c r="D41" s="254">
        <v>100</v>
      </c>
      <c r="E41" s="3202"/>
      <c r="F41" s="862">
        <f>SUMIF(120:120,E41,121:121)-SUMIF(120:120,C41,121:121)+100</f>
        <v>100</v>
      </c>
      <c r="G41" s="3225"/>
      <c r="H41" s="254">
        <f>SUMIF(120:120,G41,121:121)-SUMIF(120:120,C41,121:121)+100</f>
        <v>100</v>
      </c>
      <c r="I41" s="3245"/>
      <c r="J41" s="539">
        <f>SUMIF(120:120,I41,121:121)-SUMIF(120:120,C41,121:121)+100</f>
        <v>100</v>
      </c>
      <c r="K41" s="864"/>
      <c r="L41" s="2123"/>
      <c r="M41" s="2154"/>
      <c r="N41" s="2154"/>
      <c r="O41" s="2126"/>
      <c r="P41" s="3457"/>
      <c r="Q41" s="1588" t="str">
        <f t="shared" si="11"/>
        <v>单套/主力户型建筑面积</v>
      </c>
      <c r="R41" s="1561" t="s">
        <v>11</v>
      </c>
      <c r="S41" s="1562">
        <f t="shared" si="12"/>
        <v>100</v>
      </c>
      <c r="T41" s="1561" t="s">
        <v>11</v>
      </c>
      <c r="U41" s="1562">
        <f t="shared" si="13"/>
        <v>100</v>
      </c>
      <c r="V41" s="1561" t="s">
        <v>11</v>
      </c>
      <c r="W41" s="1562">
        <f t="shared" si="14"/>
        <v>100</v>
      </c>
      <c r="X41" s="1563"/>
      <c r="Y41" s="3457"/>
      <c r="Z41" s="1564" t="str">
        <f t="shared" si="15"/>
        <v>单套/主力户型建筑面积</v>
      </c>
      <c r="AA41" s="1560">
        <f t="shared" si="3"/>
        <v>1</v>
      </c>
      <c r="AB41" s="1560">
        <f t="shared" si="4"/>
        <v>1</v>
      </c>
      <c r="AC41" s="1560">
        <f t="shared" si="5"/>
        <v>1</v>
      </c>
    </row>
    <row r="42" spans="1:29" ht="15">
      <c r="A42" s="593"/>
      <c r="B42" s="526" t="s">
        <v>734</v>
      </c>
      <c r="C42" s="3239" t="s">
        <v>3170</v>
      </c>
      <c r="D42" s="539">
        <v>100</v>
      </c>
      <c r="E42" s="3195" t="s">
        <v>3166</v>
      </c>
      <c r="F42" s="574">
        <f>SUMIF(122:122,E42,123:123)-SUMIF(122:122,C42,123:123)+100</f>
        <v>103</v>
      </c>
      <c r="G42" s="3218" t="s">
        <v>3170</v>
      </c>
      <c r="H42" s="539">
        <f>SUMIF(122:122,G42,123:123)-SUMIF(122:122,C42,123:123)+100</f>
        <v>100</v>
      </c>
      <c r="I42" s="3239" t="s">
        <v>3166</v>
      </c>
      <c r="J42" s="539">
        <f>SUMIF(122:122,I42,123:123)-SUMIF(122:122,C42,123:123)+100</f>
        <v>103</v>
      </c>
      <c r="K42" s="3564">
        <v>3</v>
      </c>
      <c r="L42" s="2125"/>
      <c r="M42" s="2117"/>
      <c r="N42" s="2117"/>
      <c r="O42" s="2124"/>
      <c r="P42" s="3457"/>
      <c r="Q42" s="1556" t="str">
        <f t="shared" si="11"/>
        <v>内部装修</v>
      </c>
      <c r="R42" s="1557" t="s">
        <v>11</v>
      </c>
      <c r="S42" s="1558">
        <f t="shared" si="12"/>
        <v>103</v>
      </c>
      <c r="T42" s="1557" t="s">
        <v>11</v>
      </c>
      <c r="U42" s="1558">
        <f t="shared" si="13"/>
        <v>100</v>
      </c>
      <c r="V42" s="1557" t="s">
        <v>11</v>
      </c>
      <c r="W42" s="1558">
        <f t="shared" si="14"/>
        <v>103</v>
      </c>
      <c r="X42" s="1551"/>
      <c r="Y42" s="3457"/>
      <c r="Z42" s="1559" t="str">
        <f t="shared" si="15"/>
        <v>内部装修</v>
      </c>
      <c r="AA42" s="1560">
        <f t="shared" si="3"/>
        <v>0.970873786407767</v>
      </c>
      <c r="AB42" s="1560">
        <f t="shared" si="4"/>
        <v>1</v>
      </c>
      <c r="AC42" s="1560">
        <f t="shared" si="5"/>
        <v>0.970873786407767</v>
      </c>
    </row>
    <row r="43" spans="1:29" ht="27">
      <c r="A43" s="593"/>
      <c r="B43" s="526" t="s">
        <v>735</v>
      </c>
      <c r="C43" s="3239" t="s">
        <v>3161</v>
      </c>
      <c r="D43" s="539">
        <v>100</v>
      </c>
      <c r="E43" s="3195" t="s">
        <v>3161</v>
      </c>
      <c r="F43" s="574">
        <f>SUMIF(124:124,E43,125:125)-SUMIF(124:124,C43,125:125)+100</f>
        <v>100</v>
      </c>
      <c r="G43" s="3218" t="s">
        <v>3161</v>
      </c>
      <c r="H43" s="539">
        <f>SUMIF(124:124,G43,125:125)-SUMIF(124:124,C43,125:125)+100</f>
        <v>100</v>
      </c>
      <c r="I43" s="3239" t="s">
        <v>3161</v>
      </c>
      <c r="J43" s="539">
        <f>SUMIF(124:124,I43,125:125)-SUMIF(124:124,C43,125:125)+100</f>
        <v>100</v>
      </c>
      <c r="K43" s="863"/>
      <c r="L43" s="2125"/>
      <c r="M43" s="2117"/>
      <c r="N43" s="2117"/>
      <c r="O43" s="2124"/>
      <c r="P43" s="3457"/>
      <c r="Q43" s="1556" t="str">
        <f t="shared" si="11"/>
        <v>内部装修维护情况</v>
      </c>
      <c r="R43" s="1557" t="s">
        <v>11</v>
      </c>
      <c r="S43" s="1558">
        <f t="shared" si="12"/>
        <v>100</v>
      </c>
      <c r="T43" s="1557" t="s">
        <v>11</v>
      </c>
      <c r="U43" s="1558">
        <f t="shared" si="13"/>
        <v>100</v>
      </c>
      <c r="V43" s="1557" t="s">
        <v>11</v>
      </c>
      <c r="W43" s="1558">
        <f t="shared" si="14"/>
        <v>100</v>
      </c>
      <c r="X43" s="1551"/>
      <c r="Y43" s="3457"/>
      <c r="Z43" s="1559" t="str">
        <f t="shared" si="15"/>
        <v>内部装修维护情况</v>
      </c>
      <c r="AA43" s="1560">
        <f t="shared" si="3"/>
        <v>1</v>
      </c>
      <c r="AB43" s="1560">
        <f t="shared" si="4"/>
        <v>1</v>
      </c>
      <c r="AC43" s="1560">
        <f t="shared" si="5"/>
        <v>1</v>
      </c>
    </row>
    <row r="44" spans="1:29" s="1213" customFormat="1" ht="15">
      <c r="A44" s="599"/>
      <c r="B44" s="875">
        <v>111</v>
      </c>
      <c r="C44" s="3245"/>
      <c r="D44" s="254">
        <v>100</v>
      </c>
      <c r="E44" s="3202"/>
      <c r="F44" s="862">
        <f>SUMIF(126:126,E44,127:127)-SUMIF(126:126,C44,127:127)+100</f>
        <v>100</v>
      </c>
      <c r="G44" s="3225"/>
      <c r="H44" s="254">
        <f>SUMIF(126:126,G44,127:127)-SUMIF(126:126,C44,127:127)+100</f>
        <v>100</v>
      </c>
      <c r="I44" s="3245"/>
      <c r="J44" s="254">
        <f>SUMIF(126:126,I44,127:127)-SUMIF(126:126,C44,127:127)+100</f>
        <v>100</v>
      </c>
      <c r="K44" s="864"/>
      <c r="L44" s="2118"/>
      <c r="M44" s="2119"/>
      <c r="N44" s="2119"/>
      <c r="O44" s="2120"/>
      <c r="P44" s="3457"/>
      <c r="Q44" s="1144">
        <f t="shared" si="11"/>
        <v>111</v>
      </c>
      <c r="R44" s="1552" t="s">
        <v>11</v>
      </c>
      <c r="S44" s="1553">
        <f t="shared" si="12"/>
        <v>100</v>
      </c>
      <c r="T44" s="1552" t="s">
        <v>11</v>
      </c>
      <c r="U44" s="1553">
        <f t="shared" si="13"/>
        <v>100</v>
      </c>
      <c r="V44" s="1552" t="s">
        <v>11</v>
      </c>
      <c r="W44" s="1553">
        <f t="shared" si="14"/>
        <v>100</v>
      </c>
      <c r="X44" s="1554"/>
      <c r="Y44" s="3457"/>
      <c r="Z44" s="1143">
        <f t="shared" si="15"/>
        <v>111</v>
      </c>
      <c r="AA44" s="1555">
        <f t="shared" si="3"/>
        <v>1</v>
      </c>
      <c r="AB44" s="1555">
        <f t="shared" si="4"/>
        <v>1</v>
      </c>
      <c r="AC44" s="1555">
        <f t="shared" si="5"/>
        <v>1</v>
      </c>
    </row>
    <row r="45" spans="1:29" ht="15">
      <c r="A45" s="593"/>
      <c r="B45" s="875">
        <v>111</v>
      </c>
      <c r="C45" s="3233"/>
      <c r="D45" s="539">
        <v>100</v>
      </c>
      <c r="E45" s="3188"/>
      <c r="F45" s="574">
        <f>SUMIF(128:128,E45,129:129)-SUMIF(128:128,C45,129:129)+100</f>
        <v>100</v>
      </c>
      <c r="G45" s="3211"/>
      <c r="H45" s="539">
        <f>SUMIF(128:128,G45,129:129)-SUMIF(128:128,C45,129:129)+100</f>
        <v>100</v>
      </c>
      <c r="I45" s="3233"/>
      <c r="J45" s="539">
        <f>SUMIF(128:128,I45,129:129)-SUMIF(128:128,C45,129:129)+100</f>
        <v>100</v>
      </c>
      <c r="K45" s="864"/>
      <c r="L45" s="2125"/>
      <c r="M45" s="2117"/>
      <c r="N45" s="2117"/>
      <c r="O45" s="2124"/>
      <c r="P45" s="3457"/>
      <c r="Q45" s="1556">
        <f t="shared" si="11"/>
        <v>111</v>
      </c>
      <c r="R45" s="1557" t="s">
        <v>11</v>
      </c>
      <c r="S45" s="1558">
        <f t="shared" si="12"/>
        <v>100</v>
      </c>
      <c r="T45" s="1557" t="s">
        <v>11</v>
      </c>
      <c r="U45" s="1558">
        <f t="shared" si="13"/>
        <v>100</v>
      </c>
      <c r="V45" s="1557" t="s">
        <v>11</v>
      </c>
      <c r="W45" s="1558">
        <f t="shared" si="14"/>
        <v>100</v>
      </c>
      <c r="X45" s="1551"/>
      <c r="Y45" s="3457"/>
      <c r="Z45" s="1559">
        <f t="shared" si="15"/>
        <v>111</v>
      </c>
      <c r="AA45" s="1560">
        <f t="shared" si="3"/>
        <v>1</v>
      </c>
      <c r="AB45" s="1560">
        <f t="shared" si="4"/>
        <v>1</v>
      </c>
      <c r="AC45" s="1560">
        <f t="shared" si="5"/>
        <v>1</v>
      </c>
    </row>
    <row r="46" spans="1:29" ht="15.75" thickBot="1">
      <c r="A46" s="883"/>
      <c r="B46" s="543">
        <v>111</v>
      </c>
      <c r="C46" s="544"/>
      <c r="D46" s="545">
        <v>100</v>
      </c>
      <c r="E46" s="3189"/>
      <c r="F46" s="865">
        <f>SUMIF(130:130,E46,131:131)-SUMIF(130:130,C46,131:131)+100</f>
        <v>100</v>
      </c>
      <c r="G46" s="3212"/>
      <c r="H46" s="545">
        <f>SUMIF(130:130,G46,131:131)-SUMIF(130:130,C46,131:131)+100</f>
        <v>100</v>
      </c>
      <c r="I46" s="3234"/>
      <c r="J46" s="545">
        <f>SUMIF(130:130,I46,131:131)-SUMIF(130:130,C46,131:131)+100</f>
        <v>100</v>
      </c>
      <c r="K46" s="864"/>
      <c r="L46" s="2125"/>
      <c r="M46" s="2117"/>
      <c r="N46" s="2117"/>
      <c r="O46" s="2124"/>
      <c r="P46" s="3538"/>
      <c r="Q46" s="1556">
        <f t="shared" si="11"/>
        <v>111</v>
      </c>
      <c r="R46" s="1557" t="s">
        <v>10</v>
      </c>
      <c r="S46" s="1558">
        <f t="shared" si="12"/>
        <v>100</v>
      </c>
      <c r="T46" s="1557" t="s">
        <v>10</v>
      </c>
      <c r="U46" s="1558">
        <f t="shared" si="13"/>
        <v>100</v>
      </c>
      <c r="V46" s="1557" t="s">
        <v>10</v>
      </c>
      <c r="W46" s="1558">
        <f t="shared" si="14"/>
        <v>100</v>
      </c>
      <c r="X46" s="1551"/>
      <c r="Y46" s="3538"/>
      <c r="Z46" s="1559">
        <f t="shared" si="15"/>
        <v>111</v>
      </c>
      <c r="AA46" s="1560">
        <f t="shared" si="3"/>
        <v>1</v>
      </c>
      <c r="AB46" s="1560">
        <f t="shared" si="4"/>
        <v>1</v>
      </c>
      <c r="AC46" s="1560">
        <f t="shared" si="5"/>
        <v>1</v>
      </c>
    </row>
    <row r="47" spans="1:29" ht="15">
      <c r="A47" s="606" t="s">
        <v>736</v>
      </c>
      <c r="B47" s="884"/>
      <c r="C47" s="2589" t="s">
        <v>9</v>
      </c>
      <c r="D47" s="2590"/>
      <c r="E47" s="3205">
        <v>40110</v>
      </c>
      <c r="F47" s="2592"/>
      <c r="G47" s="3228">
        <v>36682</v>
      </c>
      <c r="H47" s="2594"/>
      <c r="I47" s="3248">
        <v>36823</v>
      </c>
      <c r="J47" s="2594"/>
      <c r="K47" s="1589"/>
      <c r="L47" s="2127"/>
      <c r="M47" s="2128"/>
      <c r="N47" s="2117"/>
      <c r="O47" s="2128"/>
      <c r="P47" s="3420" t="str">
        <f>A47</f>
        <v>成交单价（元/平方米）</v>
      </c>
      <c r="Q47" s="3420"/>
      <c r="R47" s="3537">
        <f>E47</f>
        <v>40110</v>
      </c>
      <c r="S47" s="3537"/>
      <c r="T47" s="3537">
        <f>G47</f>
        <v>36682</v>
      </c>
      <c r="U47" s="3537"/>
      <c r="V47" s="3537">
        <f>I47</f>
        <v>36823</v>
      </c>
      <c r="W47" s="3537"/>
      <c r="X47" s="1543"/>
      <c r="Y47" s="1565"/>
      <c r="Z47" s="1543"/>
      <c r="AA47" s="1543"/>
      <c r="AB47" s="1543"/>
      <c r="AC47" s="1543"/>
    </row>
    <row r="48" spans="1:29" ht="15.75" thickBot="1">
      <c r="A48" s="614" t="s">
        <v>2757</v>
      </c>
      <c r="B48" s="885"/>
      <c r="C48" s="2595">
        <f>R49</f>
        <v>39165</v>
      </c>
      <c r="D48" s="2596"/>
      <c r="E48" s="2597">
        <f>R48</f>
        <v>40008</v>
      </c>
      <c r="F48" s="2597"/>
      <c r="G48" s="2595">
        <f>T48</f>
        <v>40758</v>
      </c>
      <c r="H48" s="2596"/>
      <c r="I48" s="2597">
        <f>V48</f>
        <v>36729</v>
      </c>
      <c r="J48" s="2596"/>
      <c r="K48" s="1590"/>
      <c r="L48" s="2127"/>
      <c r="M48" s="2128"/>
      <c r="N48" s="2128"/>
      <c r="O48" s="2128"/>
      <c r="P48" s="3420" t="str">
        <f>A48</f>
        <v>比较价格（元/平方米）</v>
      </c>
      <c r="Q48" s="3420"/>
      <c r="R48" s="3537">
        <f>IF(F1="售价",ROUND(PRODUCT(R47,AA7:AA46),0),ROUND(PRODUCT(R47,AA7:AA46),1))</f>
        <v>40008</v>
      </c>
      <c r="S48" s="3537"/>
      <c r="T48" s="3537">
        <f>IF(F1="售价",ROUND(PRODUCT(T47,AB7:AB46),0),ROUND(PRODUCT(T47,AB7:AB46),1))</f>
        <v>40758</v>
      </c>
      <c r="U48" s="3537"/>
      <c r="V48" s="3537">
        <f>IF(F1="售价",ROUND(PRODUCT(V47,AC7:AC46),0),ROUND(PRODUCT(V47,AC7:AC46),1))</f>
        <v>36729</v>
      </c>
      <c r="W48" s="3537"/>
      <c r="X48" s="1543"/>
      <c r="Y48" s="1543"/>
      <c r="Z48" s="1543"/>
      <c r="AA48" s="1543"/>
      <c r="AB48" s="1543"/>
      <c r="AC48" s="1543"/>
    </row>
    <row r="49" spans="1:29" ht="15.75" thickBot="1">
      <c r="A49" s="620" t="s">
        <v>2933</v>
      </c>
      <c r="B49" s="621"/>
      <c r="C49" s="2598">
        <f>R49</f>
        <v>39165</v>
      </c>
      <c r="D49" s="2598"/>
      <c r="E49" s="2598"/>
      <c r="F49" s="2598"/>
      <c r="G49" s="2598"/>
      <c r="H49" s="2598"/>
      <c r="I49" s="2598"/>
      <c r="J49" s="2598"/>
      <c r="K49" s="1591"/>
      <c r="L49" s="2127"/>
      <c r="M49" s="2128"/>
      <c r="N49" s="2128"/>
      <c r="O49" s="2128"/>
      <c r="P49" s="3417" t="str">
        <f>A49</f>
        <v>估价对象XX用房的比较价格（楼面单价，元/平方米）</v>
      </c>
      <c r="Q49" s="3418"/>
      <c r="R49" s="3536">
        <f>IF(F1="售价",ROUND(AVERAGE(R48:V48),0),ROUND(AVERAGE(R48:V48),1))</f>
        <v>39165</v>
      </c>
      <c r="S49" s="3536"/>
      <c r="T49" s="3536"/>
      <c r="U49" s="3536"/>
      <c r="V49" s="3536"/>
      <c r="W49" s="3536"/>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2.549490101979579E-3</v>
      </c>
      <c r="F52" s="626" t="str">
        <f>IF(OR(E52&gt;=0.3,E52&lt;=-0.3),"超过30%","")</f>
        <v/>
      </c>
      <c r="G52" s="625">
        <f>IF(G47&lt;G48,G48/G47-1,G47/G48-1)</f>
        <v>0.11111716918379577</v>
      </c>
      <c r="H52" s="626" t="str">
        <f>IF(OR(G52&gt;=0.3,G52&lt;=-0.3),"超过30%","")</f>
        <v/>
      </c>
      <c r="I52" s="625">
        <f>IF(I47&lt;I48,I48/I47-1,I47/I48-1)</f>
        <v>2.5592855781535473E-3</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1.8746250749849924E-2</v>
      </c>
      <c r="F53" s="626" t="str">
        <f>IF(OR(E53&gt;=0.2,E53&lt;=-0.2),"超过20%","")</f>
        <v/>
      </c>
      <c r="G53" s="625">
        <f>IF(G48&lt;I48,I48/G48-1,G48/I48-1)</f>
        <v>0.10969533611043047</v>
      </c>
      <c r="H53" s="626" t="str">
        <f>IF(OR(G53&gt;=0.2,G53&lt;=-0.2),"超过20%","")</f>
        <v/>
      </c>
      <c r="I53" s="625">
        <f>IF(I48&lt;E48,E48/I48-1,I48/E48-1)</f>
        <v>8.9275504369843883E-2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f>IF(E47&lt;G47,G47/E47-1,E47/G47-1)</f>
        <v>9.3451829235047246E-2</v>
      </c>
      <c r="F54" s="626" t="str">
        <f>IF(OR(E54&gt;=0.3,E54&lt;=-0.3),"超过30%","")</f>
        <v/>
      </c>
      <c r="G54" s="625">
        <f>IF(G47&lt;I47,I47/G47-1,G47/I47-1)</f>
        <v>3.8438471184776279E-3</v>
      </c>
      <c r="H54" s="626" t="str">
        <f>IF(OR(G54&gt;=0.3,G54&lt;=-0.3),"超过30%","")</f>
        <v/>
      </c>
      <c r="I54" s="625">
        <f>IF(I47&lt;E47,E47/I47-1,I47/E47-1)</f>
        <v>8.9264861635390824E-2</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7"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f>C59</f>
        <v>100</v>
      </c>
      <c r="E59" s="649">
        <f>D59</f>
        <v>100</v>
      </c>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6">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95</v>
      </c>
      <c r="E77" s="678">
        <f>D77-$K15</f>
        <v>90</v>
      </c>
      <c r="F77" s="678">
        <f>E77-$K15</f>
        <v>85</v>
      </c>
      <c r="G77" s="678">
        <f>F77-$K15</f>
        <v>80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97</v>
      </c>
      <c r="E85" s="678">
        <f>D85-$K23</f>
        <v>94</v>
      </c>
      <c r="F85" s="678">
        <f>E85-$K23</f>
        <v>91</v>
      </c>
      <c r="G85" s="678">
        <f>F85-$K23</f>
        <v>88</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1879" t="s">
        <v>2255</v>
      </c>
      <c r="C86" s="687"/>
      <c r="D86" s="687"/>
      <c r="E86" s="687"/>
      <c r="F86" s="687"/>
      <c r="G86" s="687"/>
      <c r="H86" s="687"/>
      <c r="I86" s="687"/>
      <c r="J86" s="687"/>
      <c r="K86" s="687"/>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
        <v>746</v>
      </c>
      <c r="C88" s="687"/>
      <c r="D88" s="687"/>
      <c r="E88" s="687"/>
      <c r="F88" s="889"/>
      <c r="G88" s="687"/>
      <c r="H88" s="687"/>
      <c r="I88" s="687"/>
      <c r="J88" s="687"/>
      <c r="K88" s="687"/>
      <c r="L88" s="687"/>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0"/>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183" t="s">
        <v>3173</v>
      </c>
      <c r="D100" s="3183" t="s">
        <v>3174</v>
      </c>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v>0</v>
      </c>
      <c r="D103" s="729">
        <v>100</v>
      </c>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7"/>
      <c r="B112" s="680"/>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7"/>
      <c r="B120" s="672" t="s">
        <v>733</v>
      </c>
      <c r="C120" s="687"/>
      <c r="D120" s="687"/>
      <c r="E120" s="687"/>
      <c r="F120" s="687"/>
      <c r="G120" s="687"/>
      <c r="H120" s="687"/>
      <c r="I120" s="687"/>
      <c r="J120" s="687"/>
      <c r="K120" s="687"/>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563" t="s">
        <v>3190</v>
      </c>
      <c r="D122" s="3563" t="s">
        <v>3191</v>
      </c>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C5:D5"/>
    <mergeCell ref="C6:D6"/>
    <mergeCell ref="I5:J5"/>
    <mergeCell ref="E6:F6"/>
    <mergeCell ref="G6:H6"/>
    <mergeCell ref="E5:F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426" t="s">
        <v>522</v>
      </c>
      <c r="D4" s="3427"/>
      <c r="E4" s="3460" t="s">
        <v>523</v>
      </c>
      <c r="F4" s="3461"/>
      <c r="G4" s="3426" t="s">
        <v>524</v>
      </c>
      <c r="H4" s="3427"/>
      <c r="I4" s="3426" t="s">
        <v>525</v>
      </c>
      <c r="J4" s="3427"/>
      <c r="K4" s="513" t="s">
        <v>526</v>
      </c>
      <c r="L4" s="2116"/>
      <c r="M4" s="2117"/>
      <c r="N4" s="2117"/>
      <c r="O4" s="2117"/>
      <c r="P4" s="3428" t="s">
        <v>527</v>
      </c>
      <c r="Q4" s="3429"/>
      <c r="R4" s="3434" t="s">
        <v>523</v>
      </c>
      <c r="S4" s="3435"/>
      <c r="T4" s="3434" t="s">
        <v>524</v>
      </c>
      <c r="U4" s="3435"/>
      <c r="V4" s="3421" t="s">
        <v>525</v>
      </c>
      <c r="W4" s="3421"/>
      <c r="X4" s="1551"/>
      <c r="Y4" s="3434" t="s">
        <v>527</v>
      </c>
      <c r="Z4" s="3435"/>
      <c r="AA4" s="3423" t="s">
        <v>523</v>
      </c>
      <c r="AB4" s="3421" t="s">
        <v>524</v>
      </c>
      <c r="AC4" s="3423" t="s">
        <v>525</v>
      </c>
    </row>
    <row r="5" spans="1:29" ht="15">
      <c r="A5" s="514"/>
      <c r="B5" s="515"/>
      <c r="C5" s="3442" t="s">
        <v>2927</v>
      </c>
      <c r="D5" s="3443"/>
      <c r="E5" s="3462" t="s">
        <v>2928</v>
      </c>
      <c r="F5" s="3463"/>
      <c r="G5" s="3442" t="s">
        <v>2929</v>
      </c>
      <c r="H5" s="3443"/>
      <c r="I5" s="3442" t="s">
        <v>2930</v>
      </c>
      <c r="J5" s="3443"/>
      <c r="K5" s="513"/>
      <c r="L5" s="2116"/>
      <c r="M5" s="2117"/>
      <c r="N5" s="2117"/>
      <c r="O5" s="2117"/>
      <c r="P5" s="3430"/>
      <c r="Q5" s="3431"/>
      <c r="R5" s="3436"/>
      <c r="S5" s="3437"/>
      <c r="T5" s="3436"/>
      <c r="U5" s="3437"/>
      <c r="V5" s="3421"/>
      <c r="W5" s="3421"/>
      <c r="X5" s="1551"/>
      <c r="Y5" s="3436"/>
      <c r="Z5" s="3437"/>
      <c r="AA5" s="3424"/>
      <c r="AB5" s="3421"/>
      <c r="AC5" s="3424"/>
    </row>
    <row r="6" spans="1:29" ht="15.75" thickBot="1">
      <c r="A6" s="516"/>
      <c r="B6" s="517"/>
      <c r="C6" s="3440" t="s">
        <v>2931</v>
      </c>
      <c r="D6" s="3441"/>
      <c r="E6" s="3458" t="s">
        <v>2931</v>
      </c>
      <c r="F6" s="3459"/>
      <c r="G6" s="3440" t="s">
        <v>2931</v>
      </c>
      <c r="H6" s="3441"/>
      <c r="I6" s="3440" t="s">
        <v>2931</v>
      </c>
      <c r="J6" s="3441"/>
      <c r="K6" s="513" t="s">
        <v>528</v>
      </c>
      <c r="L6" s="2116"/>
      <c r="M6" s="2117"/>
      <c r="N6" s="2117"/>
      <c r="O6" s="2117"/>
      <c r="P6" s="3432"/>
      <c r="Q6" s="3433"/>
      <c r="R6" s="3436"/>
      <c r="S6" s="3437"/>
      <c r="T6" s="3438"/>
      <c r="U6" s="3439"/>
      <c r="V6" s="3421"/>
      <c r="W6" s="3421"/>
      <c r="X6" s="1551"/>
      <c r="Y6" s="3438"/>
      <c r="Z6" s="3439"/>
      <c r="AA6" s="3425"/>
      <c r="AB6" s="3421"/>
      <c r="AC6" s="3425"/>
    </row>
    <row r="7" spans="1:29" s="1213" customFormat="1" ht="15.75" thickBot="1">
      <c r="A7" s="2864"/>
      <c r="B7" s="2871" t="s">
        <v>529</v>
      </c>
      <c r="C7" s="518">
        <f>'数据-取费表'!B2</f>
        <v>43920</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51" t="s">
        <v>530</v>
      </c>
      <c r="Q7" s="3453"/>
      <c r="R7" s="1552" t="s">
        <v>8</v>
      </c>
      <c r="S7" s="1553">
        <f t="shared" ref="S7:S15" si="0">F7</f>
        <v>0</v>
      </c>
      <c r="T7" s="1552" t="s">
        <v>8</v>
      </c>
      <c r="U7" s="1553">
        <f t="shared" ref="U7:U15" si="1">H7</f>
        <v>0</v>
      </c>
      <c r="V7" s="1552" t="s">
        <v>8</v>
      </c>
      <c r="W7" s="1553">
        <f t="shared" ref="W7:W15" si="2">J7</f>
        <v>0</v>
      </c>
      <c r="X7" s="1554"/>
      <c r="Y7" s="3451" t="s">
        <v>530</v>
      </c>
      <c r="Z7" s="3452"/>
      <c r="AA7" s="1555" t="e">
        <f>D7/F7</f>
        <v>#DIV/0!</v>
      </c>
      <c r="AB7" s="1555" t="e">
        <f>D7/H7</f>
        <v>#DIV/0!</v>
      </c>
      <c r="AC7" s="1555" t="e">
        <f>D7/J7</f>
        <v>#DIV/0!</v>
      </c>
    </row>
    <row r="8" spans="1:29" s="1213"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51" t="s">
        <v>533</v>
      </c>
      <c r="Q8" s="3452"/>
      <c r="R8" s="1552" t="s">
        <v>8</v>
      </c>
      <c r="S8" s="1553">
        <f t="shared" si="0"/>
        <v>0</v>
      </c>
      <c r="T8" s="1552" t="s">
        <v>8</v>
      </c>
      <c r="U8" s="1553">
        <f t="shared" si="1"/>
        <v>0</v>
      </c>
      <c r="V8" s="1552" t="s">
        <v>8</v>
      </c>
      <c r="W8" s="1553">
        <f t="shared" si="2"/>
        <v>0</v>
      </c>
      <c r="X8" s="1554"/>
      <c r="Y8" s="3451" t="s">
        <v>533</v>
      </c>
      <c r="Z8" s="3452"/>
      <c r="AA8" s="1555" t="e">
        <f t="shared" ref="AA8:AA46" si="3">D8/F8</f>
        <v>#DIV/0!</v>
      </c>
      <c r="AB8" s="1555" t="e">
        <f t="shared" ref="AB8:AB46" si="4">D8/H8</f>
        <v>#DIV/0!</v>
      </c>
      <c r="AC8" s="1555" t="e">
        <f t="shared" ref="AC8:AC46" si="5">D8/J8</f>
        <v>#DIV/0!</v>
      </c>
    </row>
    <row r="9" spans="1:29" s="1213" customFormat="1" ht="15">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20" t="s">
        <v>535</v>
      </c>
      <c r="Q9" s="1144" t="str">
        <f t="shared" ref="Q9:Q15" si="6">B9</f>
        <v>用途</v>
      </c>
      <c r="R9" s="1552" t="s">
        <v>8</v>
      </c>
      <c r="S9" s="1553">
        <f t="shared" si="0"/>
        <v>100</v>
      </c>
      <c r="T9" s="1552" t="s">
        <v>8</v>
      </c>
      <c r="U9" s="1553">
        <f t="shared" si="1"/>
        <v>100</v>
      </c>
      <c r="V9" s="1552" t="s">
        <v>8</v>
      </c>
      <c r="W9" s="1553">
        <f t="shared" si="2"/>
        <v>100</v>
      </c>
      <c r="X9" s="1554"/>
      <c r="Y9" s="3366" t="s">
        <v>536</v>
      </c>
      <c r="Z9" s="1143" t="str">
        <f t="shared" ref="Z9:Z15" si="7">Q9</f>
        <v>用途</v>
      </c>
      <c r="AA9" s="1555">
        <f t="shared" si="3"/>
        <v>1</v>
      </c>
      <c r="AB9" s="1555">
        <f t="shared" si="4"/>
        <v>1</v>
      </c>
      <c r="AC9" s="1555">
        <f t="shared" si="5"/>
        <v>1</v>
      </c>
    </row>
    <row r="10" spans="1:29" s="1331" customFormat="1" ht="27">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20"/>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20"/>
      <c r="Q11" s="1144" t="str">
        <f t="shared" si="6"/>
        <v>容积率</v>
      </c>
      <c r="R11" s="1552" t="s">
        <v>8</v>
      </c>
      <c r="S11" s="1553" t="e">
        <f t="shared" si="0"/>
        <v>#N/A</v>
      </c>
      <c r="T11" s="1552" t="s">
        <v>8</v>
      </c>
      <c r="U11" s="1553" t="e">
        <f t="shared" si="1"/>
        <v>#N/A</v>
      </c>
      <c r="V11" s="1552" t="s">
        <v>8</v>
      </c>
      <c r="W11" s="1553" t="e">
        <f t="shared" si="2"/>
        <v>#N/A</v>
      </c>
      <c r="X11" s="1554"/>
      <c r="Y11" s="3366"/>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38"/>
      <c r="F12" s="254">
        <f>SUMIF(70:70,E12,71:71)-SUMIF(70:70,C12,71:71)+100</f>
        <v>100</v>
      </c>
      <c r="G12" s="909"/>
      <c r="H12" s="254">
        <f>SUMIF(70:70,G12,71:71)-SUMIF(70:70,C12,71:71)+100</f>
        <v>100</v>
      </c>
      <c r="I12" s="538"/>
      <c r="J12" s="254">
        <f>SUMIF(70:70,I12,71:71)-SUMIF(70:70,C12,71:71)+100</f>
        <v>100</v>
      </c>
      <c r="K12" s="580"/>
      <c r="L12" s="2118"/>
      <c r="M12" s="2119"/>
      <c r="N12" s="2119"/>
      <c r="O12" s="2120"/>
      <c r="P12" s="3420"/>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
      <c r="A13" s="2869"/>
      <c r="B13" s="2875">
        <v>111</v>
      </c>
      <c r="C13" s="538"/>
      <c r="D13" s="539">
        <v>100</v>
      </c>
      <c r="E13" s="538"/>
      <c r="F13" s="254">
        <f>SUMIF(72:72,E13,73:73)-SUMIF(72:72,C13,73:73)+100</f>
        <v>100</v>
      </c>
      <c r="G13" s="909"/>
      <c r="H13" s="539">
        <f>SUMIF(72:72,G13,73:73)-SUMIF(72:72,C13,73:73)+100</f>
        <v>100</v>
      </c>
      <c r="I13" s="538"/>
      <c r="J13" s="539">
        <f>SUMIF(72:72,I13,73:73)-SUMIF(72:72,C13,73:73)+100</f>
        <v>100</v>
      </c>
      <c r="K13" s="580"/>
      <c r="L13" s="2125"/>
      <c r="M13" s="2117"/>
      <c r="N13" s="2117"/>
      <c r="O13" s="2124"/>
      <c r="P13" s="3420"/>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15.75" thickBot="1">
      <c r="A14" s="2870"/>
      <c r="B14" s="2876">
        <v>111</v>
      </c>
      <c r="C14" s="544"/>
      <c r="D14" s="545">
        <v>100</v>
      </c>
      <c r="E14" s="544"/>
      <c r="F14" s="545">
        <f>SUMIF(74:74,E14,75:75)-SUMIF(74:74,C14,75:75)+100</f>
        <v>100</v>
      </c>
      <c r="G14" s="909"/>
      <c r="H14" s="545">
        <f>SUMIF(74:74,G14,75:75)-SUMIF(74:74,C14,75:75)+100</f>
        <v>100</v>
      </c>
      <c r="I14" s="538"/>
      <c r="J14" s="545">
        <f>SUMIF(74:74,I14,75:75)-SUMIF(74:74,C14,75:75)+100</f>
        <v>100</v>
      </c>
      <c r="K14" s="580"/>
      <c r="L14" s="2125"/>
      <c r="M14" s="2117"/>
      <c r="N14" s="2117"/>
      <c r="O14" s="2124"/>
      <c r="P14" s="3420"/>
      <c r="Q14" s="1144">
        <f t="shared" si="6"/>
        <v>111</v>
      </c>
      <c r="R14" s="1552" t="s">
        <v>8</v>
      </c>
      <c r="S14" s="1553">
        <f t="shared" si="0"/>
        <v>100</v>
      </c>
      <c r="T14" s="1552" t="s">
        <v>8</v>
      </c>
      <c r="U14" s="1553">
        <f t="shared" si="1"/>
        <v>100</v>
      </c>
      <c r="V14" s="1552" t="s">
        <v>8</v>
      </c>
      <c r="W14" s="1553">
        <f t="shared" si="2"/>
        <v>100</v>
      </c>
      <c r="X14" s="1554"/>
      <c r="Y14" s="3366"/>
      <c r="Z14" s="1143">
        <f t="shared" si="7"/>
        <v>111</v>
      </c>
      <c r="AA14" s="1555">
        <f t="shared" si="3"/>
        <v>1</v>
      </c>
      <c r="AB14" s="1555">
        <f t="shared" si="4"/>
        <v>1</v>
      </c>
      <c r="AC14" s="1555">
        <f t="shared" si="5"/>
        <v>1</v>
      </c>
    </row>
    <row r="15" spans="1:29" ht="71.25">
      <c r="A15" s="2862"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5"/>
      <c r="L15" s="2125"/>
      <c r="M15" s="2117"/>
      <c r="N15" s="2117"/>
      <c r="O15" s="2124"/>
      <c r="P15" s="3454" t="s">
        <v>540</v>
      </c>
      <c r="Q15" s="1556" t="str">
        <f t="shared" si="6"/>
        <v>商业繁华度</v>
      </c>
      <c r="R15" s="1557" t="s">
        <v>8</v>
      </c>
      <c r="S15" s="1558">
        <f t="shared" si="0"/>
        <v>100</v>
      </c>
      <c r="T15" s="1557" t="s">
        <v>8</v>
      </c>
      <c r="U15" s="1558">
        <f t="shared" si="1"/>
        <v>100</v>
      </c>
      <c r="V15" s="1557" t="s">
        <v>8</v>
      </c>
      <c r="W15" s="1558">
        <f t="shared" si="2"/>
        <v>100</v>
      </c>
      <c r="X15" s="1551"/>
      <c r="Y15" s="3454"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6"/>
      <c r="L16" s="2125"/>
      <c r="M16" s="2117"/>
      <c r="N16" s="2117"/>
      <c r="O16" s="2124"/>
      <c r="P16" s="3455"/>
      <c r="Q16" s="1556"/>
      <c r="R16" s="1557"/>
      <c r="S16" s="1558"/>
      <c r="T16" s="1557"/>
      <c r="U16" s="1558"/>
      <c r="V16" s="1557"/>
      <c r="W16" s="1558"/>
      <c r="X16" s="1551"/>
      <c r="Y16" s="3455"/>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25"/>
      <c r="M17" s="2117"/>
      <c r="N17" s="2117"/>
      <c r="O17" s="2124"/>
      <c r="P17" s="3455"/>
      <c r="Q17" s="1556" t="str">
        <f>B17</f>
        <v>交通便捷度</v>
      </c>
      <c r="R17" s="1557" t="s">
        <v>8</v>
      </c>
      <c r="S17" s="1558">
        <f>F17</f>
        <v>100</v>
      </c>
      <c r="T17" s="1557" t="s">
        <v>8</v>
      </c>
      <c r="U17" s="1558">
        <f>H17</f>
        <v>100</v>
      </c>
      <c r="V17" s="1557" t="s">
        <v>8</v>
      </c>
      <c r="W17" s="1558">
        <f>J17</f>
        <v>100</v>
      </c>
      <c r="X17" s="1551"/>
      <c r="Y17" s="3455"/>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6"/>
      <c r="L18" s="2125"/>
      <c r="M18" s="2117"/>
      <c r="N18" s="2117"/>
      <c r="O18" s="2124"/>
      <c r="P18" s="3455"/>
      <c r="Q18" s="1556"/>
      <c r="R18" s="1557"/>
      <c r="S18" s="1558"/>
      <c r="T18" s="1557"/>
      <c r="U18" s="1558"/>
      <c r="V18" s="1557"/>
      <c r="W18" s="1558"/>
      <c r="X18" s="1551"/>
      <c r="Y18" s="3455"/>
      <c r="Z18" s="1559"/>
      <c r="AA18" s="1560">
        <v>1</v>
      </c>
      <c r="AB18" s="1560">
        <v>1</v>
      </c>
      <c r="AC18" s="1560">
        <v>1</v>
      </c>
    </row>
    <row r="19" spans="1:29" ht="42.75">
      <c r="A19" s="531"/>
      <c r="B19" s="2562"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c r="L19" s="2125"/>
      <c r="M19" s="2117"/>
      <c r="N19" s="2117"/>
      <c r="O19" s="2124"/>
      <c r="P19" s="3455"/>
      <c r="Q19" s="1556" t="str">
        <f>B19</f>
        <v>公共配套设施</v>
      </c>
      <c r="R19" s="1557" t="s">
        <v>8</v>
      </c>
      <c r="S19" s="1558">
        <f>F19</f>
        <v>100</v>
      </c>
      <c r="T19" s="1557" t="s">
        <v>8</v>
      </c>
      <c r="U19" s="1558">
        <f>H19</f>
        <v>100</v>
      </c>
      <c r="V19" s="1557" t="s">
        <v>8</v>
      </c>
      <c r="W19" s="1558">
        <f>J19</f>
        <v>100</v>
      </c>
      <c r="X19" s="1551"/>
      <c r="Y19" s="3455"/>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6"/>
      <c r="L20" s="2125"/>
      <c r="M20" s="2117"/>
      <c r="N20" s="2117"/>
      <c r="O20" s="2124"/>
      <c r="P20" s="3455"/>
      <c r="Q20" s="1556"/>
      <c r="R20" s="1557"/>
      <c r="S20" s="1558"/>
      <c r="T20" s="1557"/>
      <c r="U20" s="1558"/>
      <c r="V20" s="1557"/>
      <c r="W20" s="1558"/>
      <c r="X20" s="1551"/>
      <c r="Y20" s="3455"/>
      <c r="Z20" s="1559"/>
      <c r="AA20" s="1560">
        <v>1</v>
      </c>
      <c r="AB20" s="1560">
        <v>1</v>
      </c>
      <c r="AC20" s="1560">
        <v>1</v>
      </c>
    </row>
    <row r="21" spans="1:29" ht="28.5">
      <c r="A21" s="531"/>
      <c r="B21" s="2555"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c r="L21" s="2125"/>
      <c r="M21" s="2117"/>
      <c r="N21" s="2117"/>
      <c r="O21" s="2124"/>
      <c r="P21" s="3455"/>
      <c r="Q21" s="2541" t="str">
        <f>B21</f>
        <v>基础设施水平</v>
      </c>
      <c r="R21" s="1557" t="s">
        <v>8</v>
      </c>
      <c r="S21" s="1558">
        <f>F21</f>
        <v>100</v>
      </c>
      <c r="T21" s="1557" t="s">
        <v>8</v>
      </c>
      <c r="U21" s="1558">
        <f>H21</f>
        <v>100</v>
      </c>
      <c r="V21" s="1557" t="s">
        <v>8</v>
      </c>
      <c r="W21" s="1558">
        <f>J21</f>
        <v>100</v>
      </c>
      <c r="X21" s="2543"/>
      <c r="Y21" s="3455"/>
      <c r="Z21" s="2542" t="str">
        <f>Q21</f>
        <v>基础设施水平</v>
      </c>
      <c r="AA21" s="1560">
        <f t="shared" ref="AA21" si="8">D21/F21</f>
        <v>1</v>
      </c>
      <c r="AB21" s="1560">
        <f t="shared" ref="AB21" si="9">D21/H21</f>
        <v>1</v>
      </c>
      <c r="AC21" s="1560">
        <f t="shared" ref="AC21" si="10">D21/J21</f>
        <v>1</v>
      </c>
    </row>
    <row r="22" spans="1:29" ht="15">
      <c r="A22" s="531"/>
      <c r="B22" s="919"/>
      <c r="C22" s="872"/>
      <c r="D22" s="554"/>
      <c r="E22" s="575"/>
      <c r="F22" s="556"/>
      <c r="G22" s="575"/>
      <c r="H22" s="554"/>
      <c r="I22" s="575"/>
      <c r="J22" s="554"/>
      <c r="K22" s="2564"/>
      <c r="L22" s="2125"/>
      <c r="M22" s="2117"/>
      <c r="N22" s="2117"/>
      <c r="O22" s="2124"/>
      <c r="P22" s="3455"/>
      <c r="Q22" s="2541"/>
      <c r="R22" s="1557"/>
      <c r="S22" s="1558"/>
      <c r="T22" s="1557"/>
      <c r="U22" s="1558"/>
      <c r="V22" s="1557"/>
      <c r="W22" s="1558"/>
      <c r="X22" s="2543"/>
      <c r="Y22" s="3455"/>
      <c r="Z22" s="2542"/>
      <c r="AA22" s="1560">
        <v>1</v>
      </c>
      <c r="AB22" s="1560">
        <v>1</v>
      </c>
      <c r="AC22" s="1560">
        <v>1</v>
      </c>
    </row>
    <row r="23" spans="1:29" ht="57">
      <c r="A23" s="531"/>
      <c r="B23" s="870" t="s">
        <v>297</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c r="L23" s="2125"/>
      <c r="M23" s="2117"/>
      <c r="N23" s="2117"/>
      <c r="O23" s="2124"/>
      <c r="P23" s="3455"/>
      <c r="Q23" s="1556" t="str">
        <f>B23</f>
        <v>自然及人文环境</v>
      </c>
      <c r="R23" s="1557" t="s">
        <v>8</v>
      </c>
      <c r="S23" s="1558">
        <f>F23</f>
        <v>100</v>
      </c>
      <c r="T23" s="1557" t="s">
        <v>8</v>
      </c>
      <c r="U23" s="1558">
        <f>H23</f>
        <v>100</v>
      </c>
      <c r="V23" s="1557" t="s">
        <v>8</v>
      </c>
      <c r="W23" s="1558">
        <f>J23</f>
        <v>100</v>
      </c>
      <c r="X23" s="1551"/>
      <c r="Y23" s="3455"/>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6"/>
      <c r="L24" s="2125"/>
      <c r="M24" s="2117"/>
      <c r="N24" s="2117"/>
      <c r="O24" s="2124"/>
      <c r="P24" s="3455"/>
      <c r="Q24" s="1556"/>
      <c r="R24" s="1557"/>
      <c r="S24" s="1558"/>
      <c r="T24" s="1557"/>
      <c r="U24" s="1558"/>
      <c r="V24" s="1557"/>
      <c r="W24" s="1558"/>
      <c r="X24" s="1551"/>
      <c r="Y24" s="3455"/>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55"/>
      <c r="Q25" s="1556" t="str">
        <f t="shared" ref="Q25:Q46" si="11">B25</f>
        <v>临街状况</v>
      </c>
      <c r="R25" s="1557" t="s">
        <v>8</v>
      </c>
      <c r="S25" s="1558">
        <f>F25</f>
        <v>100</v>
      </c>
      <c r="T25" s="1557" t="s">
        <v>8</v>
      </c>
      <c r="U25" s="1558">
        <f>H25</f>
        <v>100</v>
      </c>
      <c r="V25" s="1557" t="s">
        <v>8</v>
      </c>
      <c r="W25" s="1558">
        <f>J25</f>
        <v>100</v>
      </c>
      <c r="X25" s="1551"/>
      <c r="Y25" s="3455"/>
      <c r="Z25" s="1559" t="str">
        <f>Q25</f>
        <v>临街状况</v>
      </c>
      <c r="AA25" s="1560">
        <f t="shared" si="3"/>
        <v>1</v>
      </c>
      <c r="AB25" s="1560">
        <f t="shared" si="4"/>
        <v>1</v>
      </c>
      <c r="AC25" s="1560">
        <f t="shared" si="5"/>
        <v>1</v>
      </c>
    </row>
    <row r="26" spans="1:29" ht="15">
      <c r="A26" s="531"/>
      <c r="B26" s="875"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55"/>
      <c r="Q26" s="1556" t="str">
        <f t="shared" si="11"/>
        <v>平面位置/可视性</v>
      </c>
      <c r="R26" s="1557" t="s">
        <v>8</v>
      </c>
      <c r="S26" s="1558">
        <f>F26</f>
        <v>100</v>
      </c>
      <c r="T26" s="1557" t="s">
        <v>8</v>
      </c>
      <c r="U26" s="1558">
        <f>H26</f>
        <v>100</v>
      </c>
      <c r="V26" s="1557" t="s">
        <v>8</v>
      </c>
      <c r="W26" s="1558">
        <f>J26</f>
        <v>100</v>
      </c>
      <c r="X26" s="1551"/>
      <c r="Y26" s="3455"/>
      <c r="Z26" s="1559" t="str">
        <f>Q26</f>
        <v>平面位置/可视性</v>
      </c>
      <c r="AA26" s="1560">
        <f t="shared" si="3"/>
        <v>1</v>
      </c>
      <c r="AB26" s="1560">
        <f t="shared" si="4"/>
        <v>1</v>
      </c>
      <c r="AC26" s="1560">
        <f t="shared" si="5"/>
        <v>1</v>
      </c>
    </row>
    <row r="27" spans="1:29" s="1213" customFormat="1" ht="15">
      <c r="A27" s="535"/>
      <c r="B27" s="870" t="s">
        <v>759</v>
      </c>
      <c r="C27" s="898"/>
      <c r="D27" s="873">
        <v>100</v>
      </c>
      <c r="E27" s="898"/>
      <c r="F27" s="874">
        <f>SUMIF(90:90,E27,91:91)-SUMIF(90:90,C27,91:91)+100</f>
        <v>100</v>
      </c>
      <c r="G27" s="898"/>
      <c r="H27" s="873">
        <f>SUMIF(90:90,G27,91:91)-SUMIF(90:90,C27,91:91)+100</f>
        <v>100</v>
      </c>
      <c r="I27" s="898"/>
      <c r="J27" s="873">
        <f>SUMIF(90:90,I27,91:91)-SUMIF(90:90,C27,91:91)+100</f>
        <v>100</v>
      </c>
      <c r="K27" s="583"/>
      <c r="L27" s="2118"/>
      <c r="M27" s="2119"/>
      <c r="N27" s="2119"/>
      <c r="O27" s="2120"/>
      <c r="P27" s="3455"/>
      <c r="Q27" s="1144" t="str">
        <f t="shared" si="11"/>
        <v>人流量</v>
      </c>
      <c r="R27" s="1552" t="s">
        <v>8</v>
      </c>
      <c r="S27" s="1553">
        <f>F27</f>
        <v>100</v>
      </c>
      <c r="T27" s="1552" t="s">
        <v>8</v>
      </c>
      <c r="U27" s="1553">
        <f>H27</f>
        <v>100</v>
      </c>
      <c r="V27" s="1552" t="s">
        <v>8</v>
      </c>
      <c r="W27" s="1553">
        <f>J27</f>
        <v>100</v>
      </c>
      <c r="X27" s="1554"/>
      <c r="Y27" s="3455"/>
      <c r="Z27" s="1143"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55"/>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55"/>
      <c r="Z28" s="1559" t="str">
        <f t="shared" ref="Z28:Z46" si="15">Q28</f>
        <v>楼层</v>
      </c>
      <c r="AA28" s="1560">
        <f t="shared" si="3"/>
        <v>1</v>
      </c>
      <c r="AB28" s="1560">
        <f t="shared" si="4"/>
        <v>1</v>
      </c>
      <c r="AC28" s="1560">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55"/>
      <c r="Q29" s="1556">
        <f t="shared" si="11"/>
        <v>111</v>
      </c>
      <c r="R29" s="1557" t="s">
        <v>8</v>
      </c>
      <c r="S29" s="1558">
        <f t="shared" si="12"/>
        <v>100</v>
      </c>
      <c r="T29" s="1557" t="s">
        <v>8</v>
      </c>
      <c r="U29" s="1558">
        <f t="shared" si="13"/>
        <v>100</v>
      </c>
      <c r="V29" s="1557" t="s">
        <v>8</v>
      </c>
      <c r="W29" s="1558">
        <f t="shared" si="14"/>
        <v>100</v>
      </c>
      <c r="X29" s="1551"/>
      <c r="Y29" s="3455"/>
      <c r="Z29" s="1559">
        <f t="shared" si="15"/>
        <v>111</v>
      </c>
      <c r="AA29" s="1560">
        <f t="shared" si="3"/>
        <v>1</v>
      </c>
      <c r="AB29" s="1560">
        <f t="shared" si="4"/>
        <v>1</v>
      </c>
      <c r="AC29" s="1560">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55"/>
      <c r="Q30" s="1556">
        <f t="shared" si="11"/>
        <v>111</v>
      </c>
      <c r="R30" s="1557" t="s">
        <v>8</v>
      </c>
      <c r="S30" s="1558">
        <f t="shared" si="12"/>
        <v>100</v>
      </c>
      <c r="T30" s="1557" t="s">
        <v>8</v>
      </c>
      <c r="U30" s="1558">
        <f t="shared" si="13"/>
        <v>100</v>
      </c>
      <c r="V30" s="1557" t="s">
        <v>8</v>
      </c>
      <c r="W30" s="1558">
        <f t="shared" si="14"/>
        <v>100</v>
      </c>
      <c r="X30" s="1551"/>
      <c r="Y30" s="3455"/>
      <c r="Z30" s="1559">
        <f t="shared" si="15"/>
        <v>111</v>
      </c>
      <c r="AA30" s="1560">
        <f t="shared" si="3"/>
        <v>1</v>
      </c>
      <c r="AB30" s="1560">
        <f t="shared" si="4"/>
        <v>1</v>
      </c>
      <c r="AC30" s="1560">
        <f t="shared" si="5"/>
        <v>1</v>
      </c>
    </row>
    <row r="31" spans="1:29" ht="15.75" thickBot="1">
      <c r="A31" s="542"/>
      <c r="B31" s="875">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55"/>
      <c r="Q31" s="1556">
        <f t="shared" si="11"/>
        <v>111</v>
      </c>
      <c r="R31" s="1557" t="s">
        <v>8</v>
      </c>
      <c r="S31" s="1558">
        <f t="shared" si="12"/>
        <v>100</v>
      </c>
      <c r="T31" s="1557" t="s">
        <v>8</v>
      </c>
      <c r="U31" s="1558">
        <f t="shared" si="13"/>
        <v>100</v>
      </c>
      <c r="V31" s="1557" t="s">
        <v>8</v>
      </c>
      <c r="W31" s="1558">
        <f t="shared" si="14"/>
        <v>100</v>
      </c>
      <c r="X31" s="1551"/>
      <c r="Y31" s="3455"/>
      <c r="Z31" s="1559">
        <f t="shared" si="15"/>
        <v>111</v>
      </c>
      <c r="AA31" s="1560">
        <f t="shared" si="3"/>
        <v>1</v>
      </c>
      <c r="AB31" s="1560">
        <f t="shared" si="4"/>
        <v>1</v>
      </c>
      <c r="AC31" s="1560">
        <f t="shared" si="5"/>
        <v>1</v>
      </c>
    </row>
    <row r="32" spans="1:29" ht="15">
      <c r="A32" s="2860" t="s">
        <v>2752</v>
      </c>
      <c r="B32" s="172" t="s">
        <v>762</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25"/>
      <c r="M32" s="2117"/>
      <c r="N32" s="2117"/>
      <c r="O32" s="2124"/>
      <c r="P32" s="3456" t="s">
        <v>550</v>
      </c>
      <c r="Q32" s="1556" t="str">
        <f t="shared" si="11"/>
        <v>商业类型</v>
      </c>
      <c r="R32" s="1557" t="s">
        <v>8</v>
      </c>
      <c r="S32" s="1558">
        <f t="shared" si="12"/>
        <v>100</v>
      </c>
      <c r="T32" s="1557" t="s">
        <v>8</v>
      </c>
      <c r="U32" s="1558">
        <f t="shared" si="13"/>
        <v>100</v>
      </c>
      <c r="V32" s="1557" t="s">
        <v>8</v>
      </c>
      <c r="W32" s="1558">
        <f t="shared" si="14"/>
        <v>100</v>
      </c>
      <c r="X32" s="1551"/>
      <c r="Y32" s="3457" t="s">
        <v>550</v>
      </c>
      <c r="Z32" s="1559" t="str">
        <f t="shared" si="15"/>
        <v>商业类型</v>
      </c>
      <c r="AA32" s="1560">
        <f t="shared" si="3"/>
        <v>1</v>
      </c>
      <c r="AB32" s="1560">
        <f t="shared" si="4"/>
        <v>1</v>
      </c>
      <c r="AC32" s="1560">
        <f t="shared" si="5"/>
        <v>1</v>
      </c>
    </row>
    <row r="33" spans="1:29" s="1332" customFormat="1" ht="15">
      <c r="A33" s="602"/>
      <c r="B33" s="526" t="s">
        <v>726</v>
      </c>
      <c r="C33" s="877"/>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57"/>
      <c r="Q33" s="1588" t="str">
        <f t="shared" si="11"/>
        <v>项目建筑规模</v>
      </c>
      <c r="R33" s="1561" t="s">
        <v>8</v>
      </c>
      <c r="S33" s="1562" t="e">
        <f t="shared" si="12"/>
        <v>#N/A</v>
      </c>
      <c r="T33" s="1561" t="s">
        <v>8</v>
      </c>
      <c r="U33" s="1562" t="e">
        <f t="shared" si="13"/>
        <v>#N/A</v>
      </c>
      <c r="V33" s="1561" t="s">
        <v>8</v>
      </c>
      <c r="W33" s="1562" t="e">
        <f t="shared" si="14"/>
        <v>#N/A</v>
      </c>
      <c r="X33" s="1563"/>
      <c r="Y33" s="3457"/>
      <c r="Z33" s="1564" t="str">
        <f t="shared" si="15"/>
        <v>项目建筑规模</v>
      </c>
      <c r="AA33" s="1560" t="e">
        <f t="shared" si="3"/>
        <v>#N/A</v>
      </c>
      <c r="AB33" s="1560" t="e">
        <f t="shared" si="4"/>
        <v>#N/A</v>
      </c>
      <c r="AC33" s="1560" t="e">
        <f t="shared" si="5"/>
        <v>#N/A</v>
      </c>
    </row>
    <row r="34" spans="1:29" ht="15">
      <c r="A34" s="593"/>
      <c r="B34" s="526" t="s">
        <v>727</v>
      </c>
      <c r="C34" s="878"/>
      <c r="D34" s="539">
        <v>100</v>
      </c>
      <c r="E34" s="879"/>
      <c r="F34" s="574">
        <f>SUMIF(105:105,E34,106:106)-SUMIF(105:105,C34,106:106)+100</f>
        <v>100</v>
      </c>
      <c r="G34" s="878"/>
      <c r="H34" s="539">
        <f>SUMIF(105:105,G34,106:106)-SUMIF(105:105,C34,106:106)+100</f>
        <v>100</v>
      </c>
      <c r="I34" s="878"/>
      <c r="J34" s="539">
        <f>SUMIF(105:105,I34,106:106)-SUMIF(105:105,C34,106:106)+100</f>
        <v>100</v>
      </c>
      <c r="K34" s="583"/>
      <c r="L34" s="2125"/>
      <c r="M34" s="2117"/>
      <c r="N34" s="2117"/>
      <c r="O34" s="2124"/>
      <c r="P34" s="3457"/>
      <c r="Q34" s="1556" t="str">
        <f t="shared" si="11"/>
        <v>建筑结构</v>
      </c>
      <c r="R34" s="1557" t="s">
        <v>8</v>
      </c>
      <c r="S34" s="1558">
        <f t="shared" si="12"/>
        <v>100</v>
      </c>
      <c r="T34" s="1557" t="s">
        <v>8</v>
      </c>
      <c r="U34" s="1558">
        <f t="shared" si="13"/>
        <v>100</v>
      </c>
      <c r="V34" s="1557" t="s">
        <v>8</v>
      </c>
      <c r="W34" s="1558">
        <f t="shared" si="14"/>
        <v>100</v>
      </c>
      <c r="X34" s="1551"/>
      <c r="Y34" s="3457"/>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57"/>
      <c r="Q35" s="1556" t="str">
        <f t="shared" si="11"/>
        <v>公共部分装修</v>
      </c>
      <c r="R35" s="1557" t="s">
        <v>8</v>
      </c>
      <c r="S35" s="1558">
        <f t="shared" si="12"/>
        <v>100</v>
      </c>
      <c r="T35" s="1557" t="s">
        <v>8</v>
      </c>
      <c r="U35" s="1558">
        <f t="shared" si="13"/>
        <v>100</v>
      </c>
      <c r="V35" s="1557" t="s">
        <v>8</v>
      </c>
      <c r="W35" s="1558">
        <f t="shared" si="14"/>
        <v>100</v>
      </c>
      <c r="X35" s="1551"/>
      <c r="Y35" s="3457"/>
      <c r="Z35" s="1559" t="str">
        <f t="shared" si="15"/>
        <v>公共部分装修</v>
      </c>
      <c r="AA35" s="1560">
        <f t="shared" si="3"/>
        <v>1</v>
      </c>
      <c r="AB35" s="1560">
        <f t="shared" si="4"/>
        <v>1</v>
      </c>
      <c r="AC35" s="1560">
        <f t="shared" si="5"/>
        <v>1</v>
      </c>
    </row>
    <row r="36" spans="1:29" ht="15">
      <c r="A36" s="593"/>
      <c r="B36" s="526" t="s">
        <v>764</v>
      </c>
      <c r="C36" s="880"/>
      <c r="D36" s="539">
        <v>100</v>
      </c>
      <c r="E36" s="880"/>
      <c r="F36" s="574" t="e">
        <f>LOOKUP(E36,110:110,111:111)-LOOKUP(C36,110:110,111:111)+100</f>
        <v>#N/A</v>
      </c>
      <c r="G36" s="880"/>
      <c r="H36" s="574" t="e">
        <f>LOOKUP(G36,110:110,111:111)-LOOKUP(C36,110:110,111:111)+100</f>
        <v>#N/A</v>
      </c>
      <c r="I36" s="880"/>
      <c r="J36" s="539" t="e">
        <f>LOOKUP(I36,110:110,111:111)-LOOKUP(C36,110:110,111:111)+100</f>
        <v>#N/A</v>
      </c>
      <c r="K36" s="583"/>
      <c r="L36" s="2125"/>
      <c r="M36" s="2117"/>
      <c r="N36" s="2117"/>
      <c r="O36" s="2124"/>
      <c r="P36" s="3457"/>
      <c r="Q36" s="1556" t="str">
        <f t="shared" si="11"/>
        <v>成新度</v>
      </c>
      <c r="R36" s="1557" t="s">
        <v>8</v>
      </c>
      <c r="S36" s="1558" t="e">
        <f t="shared" si="12"/>
        <v>#N/A</v>
      </c>
      <c r="T36" s="1557" t="s">
        <v>8</v>
      </c>
      <c r="U36" s="1558" t="e">
        <f t="shared" si="13"/>
        <v>#N/A</v>
      </c>
      <c r="V36" s="1557" t="s">
        <v>8</v>
      </c>
      <c r="W36" s="1558" t="e">
        <f t="shared" si="14"/>
        <v>#N/A</v>
      </c>
      <c r="X36" s="1551"/>
      <c r="Y36" s="3457"/>
      <c r="Z36" s="1559" t="str">
        <f t="shared" si="15"/>
        <v>成新度</v>
      </c>
      <c r="AA36" s="1560" t="e">
        <f t="shared" si="3"/>
        <v>#N/A</v>
      </c>
      <c r="AB36" s="1560" t="e">
        <f t="shared" si="4"/>
        <v>#N/A</v>
      </c>
      <c r="AC36" s="1560" t="e">
        <f t="shared" si="5"/>
        <v>#N/A</v>
      </c>
    </row>
    <row r="37" spans="1:29" s="1213" customFormat="1" ht="15">
      <c r="A37" s="599"/>
      <c r="B37" s="1878"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57"/>
      <c r="Q37" s="1144" t="str">
        <f t="shared" si="11"/>
        <v>市政基础设施</v>
      </c>
      <c r="R37" s="1552" t="s">
        <v>8</v>
      </c>
      <c r="S37" s="1553">
        <f t="shared" si="12"/>
        <v>100</v>
      </c>
      <c r="T37" s="1552" t="s">
        <v>8</v>
      </c>
      <c r="U37" s="1553">
        <f t="shared" si="13"/>
        <v>100</v>
      </c>
      <c r="V37" s="1552" t="s">
        <v>8</v>
      </c>
      <c r="W37" s="1553">
        <f t="shared" si="14"/>
        <v>100</v>
      </c>
      <c r="X37" s="1554"/>
      <c r="Y37" s="3457"/>
      <c r="Z37" s="1143"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57" t="s">
        <v>766</v>
      </c>
      <c r="Q38" s="1556" t="str">
        <f t="shared" si="11"/>
        <v>业态</v>
      </c>
      <c r="R38" s="1557" t="s">
        <v>8</v>
      </c>
      <c r="S38" s="1558">
        <f t="shared" si="12"/>
        <v>100</v>
      </c>
      <c r="T38" s="1557" t="s">
        <v>8</v>
      </c>
      <c r="U38" s="1558">
        <f t="shared" si="13"/>
        <v>100</v>
      </c>
      <c r="V38" s="1557" t="s">
        <v>8</v>
      </c>
      <c r="W38" s="1558">
        <f t="shared" si="14"/>
        <v>100</v>
      </c>
      <c r="X38" s="1551"/>
      <c r="Y38" s="3457"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57"/>
      <c r="Q39" s="1556" t="str">
        <f t="shared" si="11"/>
        <v>层高</v>
      </c>
      <c r="R39" s="1557" t="s">
        <v>8</v>
      </c>
      <c r="S39" s="1558">
        <f t="shared" si="12"/>
        <v>100</v>
      </c>
      <c r="T39" s="1557" t="s">
        <v>8</v>
      </c>
      <c r="U39" s="1558">
        <f t="shared" si="13"/>
        <v>100</v>
      </c>
      <c r="V39" s="1557" t="s">
        <v>8</v>
      </c>
      <c r="W39" s="1558">
        <f t="shared" si="14"/>
        <v>100</v>
      </c>
      <c r="X39" s="1551"/>
      <c r="Y39" s="3457"/>
      <c r="Z39" s="1559" t="str">
        <f t="shared" si="15"/>
        <v>层高</v>
      </c>
      <c r="AA39" s="1560">
        <f t="shared" si="3"/>
        <v>1</v>
      </c>
      <c r="AB39" s="1560">
        <f t="shared" si="4"/>
        <v>1</v>
      </c>
      <c r="AC39" s="1560">
        <f t="shared" si="5"/>
        <v>1</v>
      </c>
    </row>
    <row r="40" spans="1:29" ht="15">
      <c r="A40" s="593"/>
      <c r="B40" s="526" t="s">
        <v>768</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25"/>
      <c r="M40" s="2117"/>
      <c r="N40" s="2117"/>
      <c r="O40" s="2124"/>
      <c r="P40" s="3457"/>
      <c r="Q40" s="1556" t="str">
        <f t="shared" si="11"/>
        <v>单套建筑面积</v>
      </c>
      <c r="R40" s="1557" t="s">
        <v>8</v>
      </c>
      <c r="S40" s="1558">
        <f t="shared" si="12"/>
        <v>100</v>
      </c>
      <c r="T40" s="1557" t="s">
        <v>8</v>
      </c>
      <c r="U40" s="1558">
        <f t="shared" si="13"/>
        <v>100</v>
      </c>
      <c r="V40" s="1557" t="s">
        <v>8</v>
      </c>
      <c r="W40" s="1558">
        <f t="shared" si="14"/>
        <v>100</v>
      </c>
      <c r="X40" s="1551"/>
      <c r="Y40" s="3457"/>
      <c r="Z40" s="1559" t="str">
        <f t="shared" si="15"/>
        <v>单套建筑面积</v>
      </c>
      <c r="AA40" s="1560">
        <f t="shared" si="3"/>
        <v>1</v>
      </c>
      <c r="AB40" s="1560">
        <f t="shared" si="4"/>
        <v>1</v>
      </c>
      <c r="AC40" s="1560">
        <f t="shared" si="5"/>
        <v>1</v>
      </c>
    </row>
    <row r="41" spans="1:29" s="1332" customFormat="1" ht="15">
      <c r="A41" s="602"/>
      <c r="B41" s="901"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57"/>
      <c r="Q41" s="1588" t="str">
        <f t="shared" si="11"/>
        <v>进深比</v>
      </c>
      <c r="R41" s="1561" t="s">
        <v>8</v>
      </c>
      <c r="S41" s="1562">
        <f t="shared" si="12"/>
        <v>100</v>
      </c>
      <c r="T41" s="1561" t="s">
        <v>8</v>
      </c>
      <c r="U41" s="1562">
        <f t="shared" si="13"/>
        <v>100</v>
      </c>
      <c r="V41" s="1561" t="s">
        <v>8</v>
      </c>
      <c r="W41" s="1562">
        <f t="shared" si="14"/>
        <v>100</v>
      </c>
      <c r="X41" s="1563"/>
      <c r="Y41" s="3457"/>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57"/>
      <c r="Q42" s="1556" t="str">
        <f t="shared" si="11"/>
        <v>内部装修</v>
      </c>
      <c r="R42" s="1557" t="s">
        <v>8</v>
      </c>
      <c r="S42" s="1558">
        <f t="shared" si="12"/>
        <v>100</v>
      </c>
      <c r="T42" s="1557" t="s">
        <v>8</v>
      </c>
      <c r="U42" s="1558">
        <f t="shared" si="13"/>
        <v>100</v>
      </c>
      <c r="V42" s="1557" t="s">
        <v>8</v>
      </c>
      <c r="W42" s="1558">
        <f t="shared" si="14"/>
        <v>100</v>
      </c>
      <c r="X42" s="1551"/>
      <c r="Y42" s="3457"/>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57"/>
      <c r="Q43" s="1556" t="str">
        <f t="shared" si="11"/>
        <v>内部装修维护情况</v>
      </c>
      <c r="R43" s="1557" t="s">
        <v>8</v>
      </c>
      <c r="S43" s="1558">
        <f t="shared" si="12"/>
        <v>100</v>
      </c>
      <c r="T43" s="1557" t="s">
        <v>8</v>
      </c>
      <c r="U43" s="1558">
        <f t="shared" si="13"/>
        <v>100</v>
      </c>
      <c r="V43" s="1557" t="s">
        <v>8</v>
      </c>
      <c r="W43" s="1558">
        <f t="shared" si="14"/>
        <v>100</v>
      </c>
      <c r="X43" s="1551"/>
      <c r="Y43" s="3457"/>
      <c r="Z43" s="1559" t="str">
        <f t="shared" si="15"/>
        <v>内部装修维护情况</v>
      </c>
      <c r="AA43" s="1560">
        <f t="shared" si="3"/>
        <v>1</v>
      </c>
      <c r="AB43" s="1560">
        <f t="shared" si="4"/>
        <v>1</v>
      </c>
      <c r="AC43" s="1560">
        <f t="shared" si="5"/>
        <v>1</v>
      </c>
    </row>
    <row r="44" spans="1:29" s="1213" customFormat="1" ht="15">
      <c r="A44" s="599"/>
      <c r="B44" s="875">
        <v>111</v>
      </c>
      <c r="C44" s="877"/>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57"/>
      <c r="Q44" s="1144">
        <f t="shared" si="11"/>
        <v>111</v>
      </c>
      <c r="R44" s="1552" t="s">
        <v>8</v>
      </c>
      <c r="S44" s="1553">
        <f t="shared" si="12"/>
        <v>100</v>
      </c>
      <c r="T44" s="1552" t="s">
        <v>8</v>
      </c>
      <c r="U44" s="1553">
        <f t="shared" si="13"/>
        <v>100</v>
      </c>
      <c r="V44" s="1552" t="s">
        <v>8</v>
      </c>
      <c r="W44" s="1553">
        <f t="shared" si="14"/>
        <v>100</v>
      </c>
      <c r="X44" s="1554"/>
      <c r="Y44" s="3457"/>
      <c r="Z44" s="1143">
        <f t="shared" si="15"/>
        <v>111</v>
      </c>
      <c r="AA44" s="1555">
        <f t="shared" si="3"/>
        <v>1</v>
      </c>
      <c r="AB44" s="1555">
        <f t="shared" si="4"/>
        <v>1</v>
      </c>
      <c r="AC44" s="1555">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57"/>
      <c r="Q45" s="1556">
        <f t="shared" si="11"/>
        <v>111</v>
      </c>
      <c r="R45" s="1557" t="s">
        <v>8</v>
      </c>
      <c r="S45" s="1558">
        <f t="shared" si="12"/>
        <v>100</v>
      </c>
      <c r="T45" s="1557" t="s">
        <v>8</v>
      </c>
      <c r="U45" s="1558">
        <f t="shared" si="13"/>
        <v>100</v>
      </c>
      <c r="V45" s="1557" t="s">
        <v>8</v>
      </c>
      <c r="W45" s="1558">
        <f t="shared" si="14"/>
        <v>100</v>
      </c>
      <c r="X45" s="1551"/>
      <c r="Y45" s="3457"/>
      <c r="Z45" s="1559">
        <f t="shared" si="15"/>
        <v>111</v>
      </c>
      <c r="AA45" s="1560">
        <f t="shared" si="3"/>
        <v>1</v>
      </c>
      <c r="AB45" s="1560">
        <f t="shared" si="4"/>
        <v>1</v>
      </c>
      <c r="AC45" s="1560">
        <f t="shared" si="5"/>
        <v>1</v>
      </c>
    </row>
    <row r="46" spans="1:29" ht="15.75"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38"/>
      <c r="Q46" s="1556">
        <f t="shared" si="11"/>
        <v>111</v>
      </c>
      <c r="R46" s="1557" t="s">
        <v>8</v>
      </c>
      <c r="S46" s="1558">
        <f t="shared" si="12"/>
        <v>100</v>
      </c>
      <c r="T46" s="1557" t="s">
        <v>8</v>
      </c>
      <c r="U46" s="1558">
        <f t="shared" si="13"/>
        <v>100</v>
      </c>
      <c r="V46" s="1557" t="s">
        <v>8</v>
      </c>
      <c r="W46" s="1558">
        <f t="shared" si="14"/>
        <v>100</v>
      </c>
      <c r="X46" s="1551"/>
      <c r="Y46" s="3538"/>
      <c r="Z46" s="1559">
        <f t="shared" si="15"/>
        <v>111</v>
      </c>
      <c r="AA46" s="1560">
        <f t="shared" si="3"/>
        <v>1</v>
      </c>
      <c r="AB46" s="1560">
        <f t="shared" si="4"/>
        <v>1</v>
      </c>
      <c r="AC46" s="1560">
        <f t="shared" si="5"/>
        <v>1</v>
      </c>
    </row>
    <row r="47" spans="1:29" ht="15">
      <c r="A47" s="606" t="s">
        <v>736</v>
      </c>
      <c r="B47" s="884"/>
      <c r="C47" s="2589" t="s">
        <v>1</v>
      </c>
      <c r="D47" s="2590"/>
      <c r="E47" s="2591"/>
      <c r="F47" s="2592"/>
      <c r="G47" s="2593"/>
      <c r="H47" s="2594"/>
      <c r="I47" s="2591"/>
      <c r="J47" s="2594"/>
      <c r="K47" s="1594"/>
      <c r="L47" s="2127"/>
      <c r="M47" s="2128"/>
      <c r="N47" s="2117"/>
      <c r="O47" s="2128"/>
      <c r="P47" s="3420" t="str">
        <f>A47</f>
        <v>成交单价（元/平方米）</v>
      </c>
      <c r="Q47" s="3420"/>
      <c r="R47" s="3537">
        <f>E47</f>
        <v>0</v>
      </c>
      <c r="S47" s="3537"/>
      <c r="T47" s="3537">
        <f>G47</f>
        <v>0</v>
      </c>
      <c r="U47" s="3537"/>
      <c r="V47" s="3537">
        <f>I47</f>
        <v>0</v>
      </c>
      <c r="W47" s="3537"/>
      <c r="X47" s="1543"/>
      <c r="Y47" s="1565"/>
      <c r="Z47" s="1543"/>
      <c r="AA47" s="1543"/>
      <c r="AB47" s="1543"/>
      <c r="AC47" s="1543"/>
    </row>
    <row r="48" spans="1:29" ht="15.75" thickBot="1">
      <c r="A48" s="614" t="s">
        <v>2757</v>
      </c>
      <c r="B48" s="885"/>
      <c r="C48" s="2595" t="e">
        <f>R49</f>
        <v>#DIV/0!</v>
      </c>
      <c r="D48" s="2596"/>
      <c r="E48" s="2597" t="e">
        <f>R48</f>
        <v>#DIV/0!</v>
      </c>
      <c r="F48" s="2597"/>
      <c r="G48" s="2595" t="e">
        <f>T48</f>
        <v>#DIV/0!</v>
      </c>
      <c r="H48" s="2596"/>
      <c r="I48" s="2597" t="e">
        <f>V48</f>
        <v>#DIV/0!</v>
      </c>
      <c r="J48" s="2596"/>
      <c r="K48" s="1595"/>
      <c r="L48" s="2127"/>
      <c r="M48" s="2128"/>
      <c r="N48" s="2117"/>
      <c r="O48" s="2128"/>
      <c r="P48" s="3420" t="str">
        <f>A48</f>
        <v>比较价格（元/平方米）</v>
      </c>
      <c r="Q48" s="3420"/>
      <c r="R48" s="3537" t="e">
        <f>IF(F1="售价",ROUND(PRODUCT(R47,AA7:AA46),0),ROUND(PRODUCT(R47,AA7:AA46),1))</f>
        <v>#DIV/0!</v>
      </c>
      <c r="S48" s="3537"/>
      <c r="T48" s="3537" t="e">
        <f>IF(F1="售价",ROUND(PRODUCT(T47,AB7:AB46),0),ROUND(PRODUCT(T47,AB7:AB46),1))</f>
        <v>#DIV/0!</v>
      </c>
      <c r="U48" s="3537"/>
      <c r="V48" s="3537" t="e">
        <f>IF(F1="售价",ROUND(PRODUCT(V47,AC7:AC46),0),ROUND(PRODUCT(V47,AC7:AC46),1))</f>
        <v>#DIV/0!</v>
      </c>
      <c r="W48" s="3537"/>
      <c r="X48" s="1543"/>
      <c r="Y48" s="1543"/>
      <c r="Z48" s="1543"/>
      <c r="AA48" s="1543"/>
      <c r="AB48" s="1543"/>
      <c r="AC48" s="1543"/>
    </row>
    <row r="49" spans="1:29" ht="15.75" thickBot="1">
      <c r="A49" s="620" t="s">
        <v>2933</v>
      </c>
      <c r="B49" s="621"/>
      <c r="C49" s="2598" t="e">
        <f>R49</f>
        <v>#DIV/0!</v>
      </c>
      <c r="D49" s="2598"/>
      <c r="E49" s="2598"/>
      <c r="F49" s="2598"/>
      <c r="G49" s="2598"/>
      <c r="H49" s="2598"/>
      <c r="I49" s="2598"/>
      <c r="J49" s="2598"/>
      <c r="K49" s="1596"/>
      <c r="L49" s="2127"/>
      <c r="M49" s="2128"/>
      <c r="N49" s="2117"/>
      <c r="O49" s="2128"/>
      <c r="P49" s="3417" t="str">
        <f>A49</f>
        <v>估价对象XX用房的比较价格（楼面单价，元/平方米）</v>
      </c>
      <c r="Q49" s="3418"/>
      <c r="R49" s="3536" t="e">
        <f>IF(F1="售价",ROUND(AVERAGE(R48:V48),0),ROUND(AVERAGE(R48:V48),1))</f>
        <v>#DIV/0!</v>
      </c>
      <c r="S49" s="3536"/>
      <c r="T49" s="3536"/>
      <c r="U49" s="3536"/>
      <c r="V49" s="3536"/>
      <c r="W49" s="3536"/>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5"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6">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8"/>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672" t="s">
        <v>771</v>
      </c>
      <c r="C86" s="687"/>
      <c r="D86" s="687"/>
      <c r="E86" s="687"/>
      <c r="F86" s="687"/>
      <c r="G86" s="687"/>
      <c r="H86" s="687"/>
      <c r="I86" s="687"/>
      <c r="J86" s="687"/>
      <c r="K86" s="687"/>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tr">
        <f>B26</f>
        <v>平面位置/可视性</v>
      </c>
      <c r="C88" s="687"/>
      <c r="D88" s="687"/>
      <c r="E88" s="687"/>
      <c r="F88" s="889"/>
      <c r="G88" s="687"/>
      <c r="H88" s="687"/>
      <c r="I88" s="687"/>
      <c r="J88" s="687"/>
      <c r="K88" s="687"/>
      <c r="L88" s="687"/>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0"/>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7"/>
      <c r="B112" s="1879" t="s">
        <v>2554</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6"/>
      <c r="D118" s="906"/>
      <c r="E118" s="906"/>
      <c r="F118" s="906"/>
      <c r="G118" s="906"/>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426" t="s">
        <v>522</v>
      </c>
      <c r="D4" s="3427"/>
      <c r="E4" s="3460" t="s">
        <v>523</v>
      </c>
      <c r="F4" s="3461"/>
      <c r="G4" s="3426" t="s">
        <v>524</v>
      </c>
      <c r="H4" s="3427"/>
      <c r="I4" s="3426" t="s">
        <v>525</v>
      </c>
      <c r="J4" s="3427"/>
      <c r="K4" s="513" t="s">
        <v>526</v>
      </c>
      <c r="L4" s="2116"/>
      <c r="M4" s="2117"/>
      <c r="N4" s="2117"/>
      <c r="O4" s="2117"/>
      <c r="P4" s="3543" t="s">
        <v>527</v>
      </c>
      <c r="Q4" s="3429"/>
      <c r="R4" s="3434" t="s">
        <v>523</v>
      </c>
      <c r="S4" s="3435"/>
      <c r="T4" s="3434" t="s">
        <v>524</v>
      </c>
      <c r="U4" s="3435"/>
      <c r="V4" s="3421" t="s">
        <v>525</v>
      </c>
      <c r="W4" s="3421"/>
      <c r="X4" s="1551"/>
      <c r="Y4" s="3434" t="s">
        <v>527</v>
      </c>
      <c r="Z4" s="3435"/>
      <c r="AA4" s="3423" t="s">
        <v>523</v>
      </c>
      <c r="AB4" s="3423" t="s">
        <v>524</v>
      </c>
      <c r="AC4" s="3423" t="s">
        <v>525</v>
      </c>
    </row>
    <row r="5" spans="1:29" ht="15">
      <c r="A5" s="514"/>
      <c r="B5" s="515"/>
      <c r="C5" s="3442" t="s">
        <v>2927</v>
      </c>
      <c r="D5" s="3443"/>
      <c r="E5" s="3462" t="s">
        <v>2928</v>
      </c>
      <c r="F5" s="3463"/>
      <c r="G5" s="3442" t="s">
        <v>2929</v>
      </c>
      <c r="H5" s="3443"/>
      <c r="I5" s="3442" t="s">
        <v>2930</v>
      </c>
      <c r="J5" s="3443"/>
      <c r="K5" s="513"/>
      <c r="L5" s="2116"/>
      <c r="M5" s="2117"/>
      <c r="N5" s="2117"/>
      <c r="O5" s="2117"/>
      <c r="P5" s="3544"/>
      <c r="Q5" s="3431"/>
      <c r="R5" s="3436"/>
      <c r="S5" s="3437"/>
      <c r="T5" s="3436"/>
      <c r="U5" s="3437"/>
      <c r="V5" s="3421"/>
      <c r="W5" s="3421"/>
      <c r="X5" s="1551"/>
      <c r="Y5" s="3436"/>
      <c r="Z5" s="3437"/>
      <c r="AA5" s="3424"/>
      <c r="AB5" s="3424"/>
      <c r="AC5" s="3424"/>
    </row>
    <row r="6" spans="1:29" ht="15.75" thickBot="1">
      <c r="A6" s="516"/>
      <c r="B6" s="517"/>
      <c r="C6" s="3440" t="s">
        <v>2931</v>
      </c>
      <c r="D6" s="3441"/>
      <c r="E6" s="3458" t="s">
        <v>2931</v>
      </c>
      <c r="F6" s="3459"/>
      <c r="G6" s="3440" t="s">
        <v>2931</v>
      </c>
      <c r="H6" s="3441"/>
      <c r="I6" s="3440" t="s">
        <v>2931</v>
      </c>
      <c r="J6" s="3441"/>
      <c r="K6" s="513" t="s">
        <v>528</v>
      </c>
      <c r="L6" s="2116"/>
      <c r="M6" s="2117"/>
      <c r="N6" s="2117"/>
      <c r="O6" s="2117"/>
      <c r="P6" s="3545"/>
      <c r="Q6" s="3433"/>
      <c r="R6" s="3436"/>
      <c r="S6" s="3437"/>
      <c r="T6" s="3438"/>
      <c r="U6" s="3439"/>
      <c r="V6" s="3421"/>
      <c r="W6" s="3421"/>
      <c r="X6" s="1551"/>
      <c r="Y6" s="3438"/>
      <c r="Z6" s="3439"/>
      <c r="AA6" s="3425"/>
      <c r="AB6" s="3425"/>
      <c r="AC6" s="3425"/>
    </row>
    <row r="7" spans="1:29" s="1213" customFormat="1" ht="15.75" thickBot="1">
      <c r="A7" s="2864"/>
      <c r="B7" s="2871" t="s">
        <v>529</v>
      </c>
      <c r="C7" s="518">
        <f>'数据-取费表'!B2</f>
        <v>43920</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53" t="s">
        <v>530</v>
      </c>
      <c r="Q7" s="3453"/>
      <c r="R7" s="1552" t="s">
        <v>8</v>
      </c>
      <c r="S7" s="1553">
        <f t="shared" ref="S7:S15" si="0">F7</f>
        <v>0</v>
      </c>
      <c r="T7" s="1552" t="s">
        <v>8</v>
      </c>
      <c r="U7" s="1553">
        <f t="shared" ref="U7:U15" si="1">H7</f>
        <v>0</v>
      </c>
      <c r="V7" s="1552" t="s">
        <v>8</v>
      </c>
      <c r="W7" s="1553">
        <f t="shared" ref="W7:W15" si="2">J7</f>
        <v>0</v>
      </c>
      <c r="X7" s="1554"/>
      <c r="Y7" s="3451" t="s">
        <v>530</v>
      </c>
      <c r="Z7" s="3452"/>
      <c r="AA7" s="1555" t="e">
        <f>D7/F7</f>
        <v>#DIV/0!</v>
      </c>
      <c r="AB7" s="1555" t="e">
        <f>D7/H7</f>
        <v>#DIV/0!</v>
      </c>
      <c r="AC7" s="1555" t="e">
        <f>D7/J7</f>
        <v>#DIV/0!</v>
      </c>
    </row>
    <row r="8" spans="1:29" s="1213"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53" t="s">
        <v>533</v>
      </c>
      <c r="Q8" s="3452"/>
      <c r="R8" s="1552" t="s">
        <v>8</v>
      </c>
      <c r="S8" s="1553">
        <f t="shared" si="0"/>
        <v>0</v>
      </c>
      <c r="T8" s="1552" t="s">
        <v>8</v>
      </c>
      <c r="U8" s="1553">
        <f t="shared" si="1"/>
        <v>0</v>
      </c>
      <c r="V8" s="1552" t="s">
        <v>8</v>
      </c>
      <c r="W8" s="1553">
        <f t="shared" si="2"/>
        <v>0</v>
      </c>
      <c r="X8" s="1554"/>
      <c r="Y8" s="3451" t="s">
        <v>533</v>
      </c>
      <c r="Z8" s="3452"/>
      <c r="AA8" s="1555" t="e">
        <f t="shared" ref="AA8:AA47" si="3">D8/F8</f>
        <v>#DIV/0!</v>
      </c>
      <c r="AB8" s="1555" t="e">
        <f t="shared" ref="AB8:AB47" si="4">D8/H8</f>
        <v>#DIV/0!</v>
      </c>
      <c r="AC8" s="1555" t="e">
        <f t="shared" ref="AC8:AC47" si="5">D8/J8</f>
        <v>#DIV/0!</v>
      </c>
    </row>
    <row r="9" spans="1:29" s="1213" customFormat="1" ht="15">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20" t="s">
        <v>535</v>
      </c>
      <c r="Q9" s="1144" t="str">
        <f t="shared" ref="Q9:Q15" si="6">B9</f>
        <v>用途</v>
      </c>
      <c r="R9" s="1552" t="s">
        <v>8</v>
      </c>
      <c r="S9" s="1553">
        <f t="shared" si="0"/>
        <v>100</v>
      </c>
      <c r="T9" s="1552" t="s">
        <v>8</v>
      </c>
      <c r="U9" s="1553">
        <f t="shared" si="1"/>
        <v>100</v>
      </c>
      <c r="V9" s="1552" t="s">
        <v>8</v>
      </c>
      <c r="W9" s="1553">
        <f t="shared" si="2"/>
        <v>100</v>
      </c>
      <c r="X9" s="1554"/>
      <c r="Y9" s="3366" t="s">
        <v>536</v>
      </c>
      <c r="Z9" s="1143" t="str">
        <f t="shared" ref="Z9:Z15" si="7">Q9</f>
        <v>用途</v>
      </c>
      <c r="AA9" s="1555">
        <f t="shared" si="3"/>
        <v>1</v>
      </c>
      <c r="AB9" s="1555">
        <f t="shared" si="4"/>
        <v>1</v>
      </c>
      <c r="AC9" s="1555">
        <f t="shared" si="5"/>
        <v>1</v>
      </c>
    </row>
    <row r="10" spans="1:29" s="1331" customFormat="1" ht="27">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20"/>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20"/>
      <c r="Q11" s="1144" t="str">
        <f t="shared" si="6"/>
        <v>容积率</v>
      </c>
      <c r="R11" s="1552" t="s">
        <v>8</v>
      </c>
      <c r="S11" s="1553" t="e">
        <f t="shared" si="0"/>
        <v>#N/A</v>
      </c>
      <c r="T11" s="1552" t="s">
        <v>8</v>
      </c>
      <c r="U11" s="1553" t="e">
        <f t="shared" si="1"/>
        <v>#N/A</v>
      </c>
      <c r="V11" s="1552" t="s">
        <v>8</v>
      </c>
      <c r="W11" s="1553" t="e">
        <f t="shared" si="2"/>
        <v>#N/A</v>
      </c>
      <c r="X11" s="1554"/>
      <c r="Y11" s="3366"/>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27"/>
      <c r="F12" s="254">
        <f>SUMIF(71:71,E12,72:72)-SUMIF(71:71,C12,72:72)+100</f>
        <v>100</v>
      </c>
      <c r="G12" s="907"/>
      <c r="H12" s="254">
        <f>SUMIF(71:71,G12,72:72)-SUMIF(71:71,C12,72:72)+100</f>
        <v>100</v>
      </c>
      <c r="I12" s="527"/>
      <c r="J12" s="254">
        <f>SUMIF(71:71,I12,72:72)-SUMIF(71:71,C12,72:72)+100</f>
        <v>100</v>
      </c>
      <c r="K12" s="580"/>
      <c r="L12" s="2118"/>
      <c r="M12" s="2119"/>
      <c r="N12" s="2119"/>
      <c r="O12" s="2119"/>
      <c r="P12" s="3420"/>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
      <c r="A13" s="2869"/>
      <c r="B13" s="2875">
        <v>111</v>
      </c>
      <c r="C13" s="538"/>
      <c r="D13" s="539">
        <v>100</v>
      </c>
      <c r="E13" s="527"/>
      <c r="F13" s="254">
        <f>SUMIF(73:73,E13,74:74)-SUMIF(73:73,C13,74:74)+100</f>
        <v>100</v>
      </c>
      <c r="G13" s="907"/>
      <c r="H13" s="539">
        <f>SUMIF(73:73,G13,74:74)-SUMIF(73:73,C13,74:74)+100</f>
        <v>100</v>
      </c>
      <c r="I13" s="527"/>
      <c r="J13" s="539">
        <f>SUMIF(73:73,I13,74:74)-SUMIF(73:73,C13,74:74)+100</f>
        <v>100</v>
      </c>
      <c r="K13" s="580"/>
      <c r="L13" s="2125"/>
      <c r="M13" s="2117"/>
      <c r="N13" s="2117"/>
      <c r="O13" s="2117"/>
      <c r="P13" s="3420"/>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15.75" thickBot="1">
      <c r="A14" s="2870"/>
      <c r="B14" s="2876">
        <v>111</v>
      </c>
      <c r="C14" s="544"/>
      <c r="D14" s="545">
        <v>100</v>
      </c>
      <c r="E14" s="908"/>
      <c r="F14" s="545">
        <f>SUMIF(75:75,E14,76:76)-SUMIF(75:75,C14,76:76)+100</f>
        <v>100</v>
      </c>
      <c r="G14" s="907"/>
      <c r="H14" s="545">
        <f>SUMIF(75:75,G14,76:76)-SUMIF(75:75,C14,76:76)+100</f>
        <v>100</v>
      </c>
      <c r="I14" s="527"/>
      <c r="J14" s="545">
        <f>SUMIF(75:75,I14,76:76)-SUMIF(75:75,C14,76:76)+100</f>
        <v>100</v>
      </c>
      <c r="K14" s="580"/>
      <c r="L14" s="2125"/>
      <c r="M14" s="2117"/>
      <c r="N14" s="2117"/>
      <c r="O14" s="2117"/>
      <c r="P14" s="3420"/>
      <c r="Q14" s="1144">
        <f t="shared" si="6"/>
        <v>111</v>
      </c>
      <c r="R14" s="1552" t="s">
        <v>8</v>
      </c>
      <c r="S14" s="1553">
        <f t="shared" si="0"/>
        <v>100</v>
      </c>
      <c r="T14" s="1552" t="s">
        <v>8</v>
      </c>
      <c r="U14" s="1553">
        <f t="shared" si="1"/>
        <v>100</v>
      </c>
      <c r="V14" s="1552" t="s">
        <v>8</v>
      </c>
      <c r="W14" s="1553">
        <f t="shared" si="2"/>
        <v>100</v>
      </c>
      <c r="X14" s="1554"/>
      <c r="Y14" s="3366"/>
      <c r="Z14" s="1143">
        <f t="shared" si="7"/>
        <v>111</v>
      </c>
      <c r="AA14" s="1555">
        <f t="shared" si="3"/>
        <v>1</v>
      </c>
      <c r="AB14" s="1555">
        <f t="shared" si="4"/>
        <v>1</v>
      </c>
      <c r="AC14" s="1555">
        <f t="shared" si="5"/>
        <v>1</v>
      </c>
    </row>
    <row r="15" spans="1:29" ht="71.25">
      <c r="A15" s="2862"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25"/>
      <c r="M15" s="2117"/>
      <c r="N15" s="2117"/>
      <c r="O15" s="2117"/>
      <c r="P15" s="3454" t="s">
        <v>540</v>
      </c>
      <c r="Q15" s="1556" t="str">
        <f t="shared" si="6"/>
        <v>办公集聚程度</v>
      </c>
      <c r="R15" s="1557" t="s">
        <v>8</v>
      </c>
      <c r="S15" s="1558">
        <f t="shared" si="0"/>
        <v>100</v>
      </c>
      <c r="T15" s="1557" t="s">
        <v>8</v>
      </c>
      <c r="U15" s="1558">
        <f t="shared" si="1"/>
        <v>100</v>
      </c>
      <c r="V15" s="1557" t="s">
        <v>8</v>
      </c>
      <c r="W15" s="1558">
        <f t="shared" si="2"/>
        <v>100</v>
      </c>
      <c r="X15" s="1551"/>
      <c r="Y15" s="3454"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6"/>
      <c r="L16" s="2125"/>
      <c r="M16" s="2117"/>
      <c r="N16" s="2117"/>
      <c r="O16" s="2117"/>
      <c r="P16" s="3455"/>
      <c r="Q16" s="1556"/>
      <c r="R16" s="1557"/>
      <c r="S16" s="1558"/>
      <c r="T16" s="1557"/>
      <c r="U16" s="1558"/>
      <c r="V16" s="1557"/>
      <c r="W16" s="1558"/>
      <c r="X16" s="1551"/>
      <c r="Y16" s="3455"/>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25"/>
      <c r="M17" s="2117"/>
      <c r="N17" s="2117"/>
      <c r="O17" s="2117"/>
      <c r="P17" s="3455"/>
      <c r="Q17" s="1556" t="str">
        <f>B17</f>
        <v>交通便捷度</v>
      </c>
      <c r="R17" s="1557" t="s">
        <v>8</v>
      </c>
      <c r="S17" s="1558">
        <f>F17</f>
        <v>100</v>
      </c>
      <c r="T17" s="1557" t="s">
        <v>8</v>
      </c>
      <c r="U17" s="1558">
        <f>H17</f>
        <v>100</v>
      </c>
      <c r="V17" s="1557" t="s">
        <v>8</v>
      </c>
      <c r="W17" s="1558">
        <f>J17</f>
        <v>100</v>
      </c>
      <c r="X17" s="1551"/>
      <c r="Y17" s="3455"/>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6"/>
      <c r="L18" s="2125"/>
      <c r="M18" s="2117"/>
      <c r="N18" s="2117"/>
      <c r="O18" s="2117"/>
      <c r="P18" s="3455"/>
      <c r="Q18" s="1556"/>
      <c r="R18" s="1557"/>
      <c r="S18" s="1558"/>
      <c r="T18" s="1557"/>
      <c r="U18" s="1558"/>
      <c r="V18" s="1557"/>
      <c r="W18" s="1558"/>
      <c r="X18" s="1551"/>
      <c r="Y18" s="3455"/>
      <c r="Z18" s="1559"/>
      <c r="AA18" s="1560">
        <v>1</v>
      </c>
      <c r="AB18" s="1560">
        <v>1</v>
      </c>
      <c r="AC18" s="1560">
        <v>1</v>
      </c>
    </row>
    <row r="19" spans="1:29" ht="42.75">
      <c r="A19" s="531"/>
      <c r="B19" s="2565"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25"/>
      <c r="M19" s="2117"/>
      <c r="N19" s="2117"/>
      <c r="O19" s="2117"/>
      <c r="P19" s="3455"/>
      <c r="Q19" s="1556" t="str">
        <f>B19</f>
        <v>公共配套设施</v>
      </c>
      <c r="R19" s="1557" t="s">
        <v>8</v>
      </c>
      <c r="S19" s="1558">
        <f>F19</f>
        <v>100</v>
      </c>
      <c r="T19" s="1557" t="s">
        <v>8</v>
      </c>
      <c r="U19" s="1558">
        <f>H19</f>
        <v>100</v>
      </c>
      <c r="V19" s="1557" t="s">
        <v>8</v>
      </c>
      <c r="W19" s="1558">
        <f>J19</f>
        <v>100</v>
      </c>
      <c r="X19" s="1551"/>
      <c r="Y19" s="3455"/>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6"/>
      <c r="L20" s="2125"/>
      <c r="M20" s="2117"/>
      <c r="N20" s="2117"/>
      <c r="O20" s="2117"/>
      <c r="P20" s="3455"/>
      <c r="Q20" s="1556"/>
      <c r="R20" s="1557"/>
      <c r="S20" s="1558"/>
      <c r="T20" s="1557"/>
      <c r="U20" s="1558"/>
      <c r="V20" s="1557"/>
      <c r="W20" s="1558"/>
      <c r="X20" s="1551"/>
      <c r="Y20" s="3455"/>
      <c r="Z20" s="1559"/>
      <c r="AA20" s="1560">
        <v>1</v>
      </c>
      <c r="AB20" s="1560">
        <v>1</v>
      </c>
      <c r="AC20" s="1560">
        <v>1</v>
      </c>
    </row>
    <row r="21" spans="1:29" ht="28.5">
      <c r="A21" s="531"/>
      <c r="B21" s="2553"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25"/>
      <c r="M21" s="2117"/>
      <c r="N21" s="2117"/>
      <c r="O21" s="2117"/>
      <c r="P21" s="3455"/>
      <c r="Q21" s="2541" t="str">
        <f>B21</f>
        <v>基础设施水平</v>
      </c>
      <c r="R21" s="1557" t="s">
        <v>8</v>
      </c>
      <c r="S21" s="1558">
        <f>F21</f>
        <v>100</v>
      </c>
      <c r="T21" s="1557" t="s">
        <v>8</v>
      </c>
      <c r="U21" s="1558">
        <f>H21</f>
        <v>100</v>
      </c>
      <c r="V21" s="1557" t="s">
        <v>8</v>
      </c>
      <c r="W21" s="1558">
        <f>J21</f>
        <v>100</v>
      </c>
      <c r="X21" s="2543"/>
      <c r="Y21" s="3455"/>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55"/>
      <c r="Q22" s="2541"/>
      <c r="R22" s="1557"/>
      <c r="S22" s="1558"/>
      <c r="T22" s="1557"/>
      <c r="U22" s="1558"/>
      <c r="V22" s="1557"/>
      <c r="W22" s="1558"/>
      <c r="X22" s="2543"/>
      <c r="Y22" s="3455"/>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25"/>
      <c r="M23" s="2117"/>
      <c r="N23" s="2117"/>
      <c r="O23" s="2117"/>
      <c r="P23" s="3455"/>
      <c r="Q23" s="1556" t="str">
        <f>B23</f>
        <v>环境质量</v>
      </c>
      <c r="R23" s="1557" t="s">
        <v>8</v>
      </c>
      <c r="S23" s="1558">
        <f>F23</f>
        <v>100</v>
      </c>
      <c r="T23" s="1557" t="s">
        <v>8</v>
      </c>
      <c r="U23" s="1558">
        <f>H23</f>
        <v>100</v>
      </c>
      <c r="V23" s="1557" t="s">
        <v>8</v>
      </c>
      <c r="W23" s="1558">
        <f>J23</f>
        <v>100</v>
      </c>
      <c r="X23" s="1551"/>
      <c r="Y23" s="3455"/>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6"/>
      <c r="L24" s="2125"/>
      <c r="M24" s="2117"/>
      <c r="N24" s="2117"/>
      <c r="O24" s="2117"/>
      <c r="P24" s="3455"/>
      <c r="Q24" s="1556"/>
      <c r="R24" s="1557"/>
      <c r="S24" s="1558"/>
      <c r="T24" s="1557"/>
      <c r="U24" s="1558"/>
      <c r="V24" s="1557"/>
      <c r="W24" s="1558"/>
      <c r="X24" s="1551"/>
      <c r="Y24" s="3455"/>
      <c r="Z24" s="1559"/>
      <c r="AA24" s="1560">
        <v>1</v>
      </c>
      <c r="AB24" s="1560">
        <v>1</v>
      </c>
      <c r="AC24" s="1560">
        <v>1</v>
      </c>
    </row>
    <row r="25" spans="1:29" ht="27">
      <c r="A25" s="514"/>
      <c r="B25" s="559" t="s">
        <v>548</v>
      </c>
      <c r="C25" s="909"/>
      <c r="D25" s="539">
        <v>100</v>
      </c>
      <c r="E25" s="538"/>
      <c r="F25" s="539">
        <f>SUMIF(87:87,E26,88:88)-SUMIF(87:87,C26,88:88)+100</f>
        <v>100</v>
      </c>
      <c r="G25" s="909"/>
      <c r="H25" s="539">
        <f>SUMIF(87:87,G26,88:88)-SUMIF(87:87,C26,88:88)+100</f>
        <v>100</v>
      </c>
      <c r="I25" s="538"/>
      <c r="J25" s="539">
        <f>SUMIF(87:87,I26,88:88)-SUMIF(87:87,C26,88:88)+100</f>
        <v>100</v>
      </c>
      <c r="K25" s="895"/>
      <c r="L25" s="2125"/>
      <c r="M25" s="2117"/>
      <c r="N25" s="2117"/>
      <c r="O25" s="2117"/>
      <c r="P25" s="3455"/>
      <c r="Q25" s="1556" t="str">
        <f>B25</f>
        <v>毗邻道路的类型与等级</v>
      </c>
      <c r="R25" s="1557" t="s">
        <v>8</v>
      </c>
      <c r="S25" s="1558">
        <f>F25</f>
        <v>100</v>
      </c>
      <c r="T25" s="1557" t="s">
        <v>8</v>
      </c>
      <c r="U25" s="1558">
        <f>H25</f>
        <v>100</v>
      </c>
      <c r="V25" s="1557" t="s">
        <v>8</v>
      </c>
      <c r="W25" s="1558">
        <f>J25</f>
        <v>100</v>
      </c>
      <c r="X25" s="1551"/>
      <c r="Y25" s="3455"/>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6"/>
      <c r="L26" s="2125"/>
      <c r="M26" s="2117"/>
      <c r="N26" s="2117"/>
      <c r="O26" s="2117"/>
      <c r="P26" s="3455"/>
      <c r="Q26" s="1556"/>
      <c r="R26" s="1557"/>
      <c r="S26" s="1558"/>
      <c r="T26" s="1557"/>
      <c r="U26" s="1558"/>
      <c r="V26" s="1557"/>
      <c r="W26" s="1558"/>
      <c r="X26" s="1551"/>
      <c r="Y26" s="3455"/>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55"/>
      <c r="Q27" s="1556" t="str">
        <f t="shared" ref="Q27:Q47" si="11">B27</f>
        <v>楼层</v>
      </c>
      <c r="R27" s="1557" t="s">
        <v>8</v>
      </c>
      <c r="S27" s="1558">
        <f>F27</f>
        <v>100</v>
      </c>
      <c r="T27" s="1557" t="s">
        <v>8</v>
      </c>
      <c r="U27" s="1558">
        <f>H27</f>
        <v>100</v>
      </c>
      <c r="V27" s="1557" t="s">
        <v>8</v>
      </c>
      <c r="W27" s="1558">
        <f>J27</f>
        <v>100</v>
      </c>
      <c r="X27" s="1551"/>
      <c r="Y27" s="3455"/>
      <c r="Z27" s="1559" t="str">
        <f>Q27</f>
        <v>楼层</v>
      </c>
      <c r="AA27" s="1560">
        <f t="shared" si="3"/>
        <v>1</v>
      </c>
      <c r="AB27" s="1560">
        <f t="shared" si="4"/>
        <v>1</v>
      </c>
      <c r="AC27" s="1560">
        <f t="shared" si="5"/>
        <v>1</v>
      </c>
    </row>
    <row r="28" spans="1:29" s="1213" customFormat="1" ht="15">
      <c r="A28" s="535"/>
      <c r="B28" s="559" t="s">
        <v>779</v>
      </c>
      <c r="C28" s="910"/>
      <c r="D28" s="873">
        <v>100</v>
      </c>
      <c r="E28" s="898"/>
      <c r="F28" s="873">
        <f>SUMIF(91:91,E28,92:92)-SUMIF(91:91,C28,92:92)+100</f>
        <v>100</v>
      </c>
      <c r="G28" s="910"/>
      <c r="H28" s="873">
        <f>SUMIF(91:91,G28,92:92)-SUMIF(91:91,C28,92:92)+100</f>
        <v>100</v>
      </c>
      <c r="I28" s="898"/>
      <c r="J28" s="873">
        <f>SUMIF(91:91,I28,92:92)-SUMIF(91:91,C28,92:92)+100</f>
        <v>100</v>
      </c>
      <c r="K28" s="583"/>
      <c r="L28" s="2118"/>
      <c r="M28" s="2119"/>
      <c r="N28" s="2119"/>
      <c r="O28" s="2119"/>
      <c r="P28" s="3455"/>
      <c r="Q28" s="1144" t="str">
        <f t="shared" si="11"/>
        <v>朝向</v>
      </c>
      <c r="R28" s="1552" t="s">
        <v>8</v>
      </c>
      <c r="S28" s="1553">
        <f>F28</f>
        <v>100</v>
      </c>
      <c r="T28" s="1552" t="s">
        <v>8</v>
      </c>
      <c r="U28" s="1553">
        <f>H28</f>
        <v>100</v>
      </c>
      <c r="V28" s="1552" t="s">
        <v>8</v>
      </c>
      <c r="W28" s="1553">
        <f>J28</f>
        <v>100</v>
      </c>
      <c r="X28" s="1554"/>
      <c r="Y28" s="3455"/>
      <c r="Z28" s="1143" t="str">
        <f>Q28</f>
        <v>朝向</v>
      </c>
      <c r="AA28" s="1560">
        <f>D28/F28</f>
        <v>1</v>
      </c>
      <c r="AB28" s="1560">
        <f>D28/H28</f>
        <v>1</v>
      </c>
      <c r="AC28" s="1560">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25"/>
      <c r="M29" s="2117"/>
      <c r="N29" s="2117"/>
      <c r="O29" s="2117"/>
      <c r="P29" s="3455"/>
      <c r="Q29" s="1556">
        <f t="shared" si="11"/>
        <v>111</v>
      </c>
      <c r="R29" s="1557" t="s">
        <v>8</v>
      </c>
      <c r="S29" s="1558">
        <f t="shared" ref="S29:S47" si="12">F29</f>
        <v>100</v>
      </c>
      <c r="T29" s="1557" t="s">
        <v>8</v>
      </c>
      <c r="U29" s="1558">
        <f t="shared" ref="U29:U47" si="13">H29</f>
        <v>100</v>
      </c>
      <c r="V29" s="1557" t="s">
        <v>8</v>
      </c>
      <c r="W29" s="1558">
        <f t="shared" ref="W29:W47" si="14">J29</f>
        <v>100</v>
      </c>
      <c r="X29" s="1551"/>
      <c r="Y29" s="3455"/>
      <c r="Z29" s="1559">
        <f t="shared" ref="Z29:Z47" si="15">Q29</f>
        <v>111</v>
      </c>
      <c r="AA29" s="1560">
        <f t="shared" si="3"/>
        <v>1</v>
      </c>
      <c r="AB29" s="1560">
        <f t="shared" si="4"/>
        <v>1</v>
      </c>
      <c r="AC29" s="1560">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25"/>
      <c r="M30" s="2117"/>
      <c r="N30" s="2117"/>
      <c r="O30" s="2117"/>
      <c r="P30" s="3455"/>
      <c r="Q30" s="1556">
        <f t="shared" si="11"/>
        <v>111</v>
      </c>
      <c r="R30" s="1557" t="s">
        <v>8</v>
      </c>
      <c r="S30" s="1558">
        <f t="shared" si="12"/>
        <v>100</v>
      </c>
      <c r="T30" s="1557" t="s">
        <v>8</v>
      </c>
      <c r="U30" s="1558">
        <f t="shared" si="13"/>
        <v>100</v>
      </c>
      <c r="V30" s="1557" t="s">
        <v>8</v>
      </c>
      <c r="W30" s="1558">
        <f t="shared" si="14"/>
        <v>100</v>
      </c>
      <c r="X30" s="1551"/>
      <c r="Y30" s="3455"/>
      <c r="Z30" s="1559">
        <f t="shared" si="15"/>
        <v>111</v>
      </c>
      <c r="AA30" s="1560">
        <f t="shared" si="3"/>
        <v>1</v>
      </c>
      <c r="AB30" s="1560">
        <f t="shared" si="4"/>
        <v>1</v>
      </c>
      <c r="AC30" s="1560">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25"/>
      <c r="M31" s="2117"/>
      <c r="N31" s="2117"/>
      <c r="O31" s="2117"/>
      <c r="P31" s="3455"/>
      <c r="Q31" s="1556">
        <f t="shared" si="11"/>
        <v>111</v>
      </c>
      <c r="R31" s="1557" t="s">
        <v>8</v>
      </c>
      <c r="S31" s="1558">
        <f t="shared" si="12"/>
        <v>100</v>
      </c>
      <c r="T31" s="1557" t="s">
        <v>8</v>
      </c>
      <c r="U31" s="1558">
        <f t="shared" si="13"/>
        <v>100</v>
      </c>
      <c r="V31" s="1557" t="s">
        <v>8</v>
      </c>
      <c r="W31" s="1558">
        <f t="shared" si="14"/>
        <v>100</v>
      </c>
      <c r="X31" s="1551"/>
      <c r="Y31" s="3455"/>
      <c r="Z31" s="1559">
        <f t="shared" si="15"/>
        <v>111</v>
      </c>
      <c r="AA31" s="1560">
        <f t="shared" si="3"/>
        <v>1</v>
      </c>
      <c r="AB31" s="1560">
        <f t="shared" si="4"/>
        <v>1</v>
      </c>
      <c r="AC31" s="1560">
        <f t="shared" si="5"/>
        <v>1</v>
      </c>
    </row>
    <row r="32" spans="1:29" ht="15.75"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25"/>
      <c r="M32" s="2117"/>
      <c r="N32" s="2117"/>
      <c r="O32" s="2117"/>
      <c r="P32" s="3455"/>
      <c r="Q32" s="1556">
        <f t="shared" si="11"/>
        <v>111</v>
      </c>
      <c r="R32" s="1557" t="s">
        <v>8</v>
      </c>
      <c r="S32" s="1558">
        <f t="shared" si="12"/>
        <v>100</v>
      </c>
      <c r="T32" s="1557" t="s">
        <v>8</v>
      </c>
      <c r="U32" s="1558">
        <f t="shared" si="13"/>
        <v>100</v>
      </c>
      <c r="V32" s="1557" t="s">
        <v>8</v>
      </c>
      <c r="W32" s="1558">
        <f t="shared" si="14"/>
        <v>100</v>
      </c>
      <c r="X32" s="1551"/>
      <c r="Y32" s="3455"/>
      <c r="Z32" s="1559">
        <f t="shared" si="15"/>
        <v>111</v>
      </c>
      <c r="AA32" s="1560">
        <f t="shared" si="3"/>
        <v>1</v>
      </c>
      <c r="AB32" s="1560">
        <f t="shared" si="4"/>
        <v>1</v>
      </c>
      <c r="AC32" s="1560">
        <f t="shared" si="5"/>
        <v>1</v>
      </c>
    </row>
    <row r="33" spans="1:29" ht="15">
      <c r="A33" s="2860" t="s">
        <v>2752</v>
      </c>
      <c r="B33" s="172" t="s">
        <v>780</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25"/>
      <c r="M33" s="2117"/>
      <c r="N33" s="2117"/>
      <c r="O33" s="2117"/>
      <c r="P33" s="3456" t="s">
        <v>550</v>
      </c>
      <c r="Q33" s="1556" t="str">
        <f t="shared" si="11"/>
        <v>建筑类型</v>
      </c>
      <c r="R33" s="1557" t="s">
        <v>8</v>
      </c>
      <c r="S33" s="1558">
        <f t="shared" si="12"/>
        <v>100</v>
      </c>
      <c r="T33" s="1557" t="s">
        <v>8</v>
      </c>
      <c r="U33" s="1558">
        <f t="shared" si="13"/>
        <v>100</v>
      </c>
      <c r="V33" s="1557" t="s">
        <v>8</v>
      </c>
      <c r="W33" s="1558">
        <f t="shared" si="14"/>
        <v>100</v>
      </c>
      <c r="X33" s="1551"/>
      <c r="Y33" s="3457" t="s">
        <v>550</v>
      </c>
      <c r="Z33" s="1559" t="str">
        <f t="shared" si="15"/>
        <v>建筑类型</v>
      </c>
      <c r="AA33" s="1560">
        <f t="shared" si="3"/>
        <v>1</v>
      </c>
      <c r="AB33" s="1560">
        <f t="shared" si="4"/>
        <v>1</v>
      </c>
      <c r="AC33" s="1560">
        <f t="shared" si="5"/>
        <v>1</v>
      </c>
    </row>
    <row r="34" spans="1:29" s="1332" customFormat="1" ht="15">
      <c r="A34" s="602"/>
      <c r="B34" s="526" t="s">
        <v>726</v>
      </c>
      <c r="C34" s="877"/>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57"/>
      <c r="Q34" s="1588" t="str">
        <f t="shared" si="11"/>
        <v>项目建筑规模</v>
      </c>
      <c r="R34" s="1561" t="s">
        <v>8</v>
      </c>
      <c r="S34" s="1562" t="e">
        <f t="shared" si="12"/>
        <v>#N/A</v>
      </c>
      <c r="T34" s="1561" t="s">
        <v>8</v>
      </c>
      <c r="U34" s="1562" t="e">
        <f t="shared" si="13"/>
        <v>#N/A</v>
      </c>
      <c r="V34" s="1561" t="s">
        <v>8</v>
      </c>
      <c r="W34" s="1562" t="e">
        <f t="shared" si="14"/>
        <v>#N/A</v>
      </c>
      <c r="X34" s="1563"/>
      <c r="Y34" s="3457"/>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57"/>
      <c r="Q35" s="1556" t="str">
        <f t="shared" si="11"/>
        <v>建筑结构</v>
      </c>
      <c r="R35" s="1557" t="s">
        <v>8</v>
      </c>
      <c r="S35" s="1558">
        <f t="shared" si="12"/>
        <v>100</v>
      </c>
      <c r="T35" s="1557" t="s">
        <v>8</v>
      </c>
      <c r="U35" s="1558">
        <f t="shared" si="13"/>
        <v>100</v>
      </c>
      <c r="V35" s="1557" t="s">
        <v>8</v>
      </c>
      <c r="W35" s="1558">
        <f t="shared" si="14"/>
        <v>100</v>
      </c>
      <c r="X35" s="1551"/>
      <c r="Y35" s="3457"/>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57"/>
      <c r="Q36" s="1556" t="str">
        <f t="shared" si="11"/>
        <v>公共部分装修</v>
      </c>
      <c r="R36" s="1557" t="s">
        <v>8</v>
      </c>
      <c r="S36" s="1558">
        <f t="shared" si="12"/>
        <v>100</v>
      </c>
      <c r="T36" s="1557" t="s">
        <v>8</v>
      </c>
      <c r="U36" s="1558">
        <f t="shared" si="13"/>
        <v>100</v>
      </c>
      <c r="V36" s="1557" t="s">
        <v>8</v>
      </c>
      <c r="W36" s="1558">
        <f t="shared" si="14"/>
        <v>100</v>
      </c>
      <c r="X36" s="1551"/>
      <c r="Y36" s="3457"/>
      <c r="Z36" s="1559" t="str">
        <f t="shared" si="15"/>
        <v>公共部分装修</v>
      </c>
      <c r="AA36" s="1560">
        <f t="shared" si="3"/>
        <v>1</v>
      </c>
      <c r="AB36" s="1560">
        <f t="shared" si="4"/>
        <v>1</v>
      </c>
      <c r="AC36" s="1560">
        <f t="shared" si="5"/>
        <v>1</v>
      </c>
    </row>
    <row r="37" spans="1:29" ht="15">
      <c r="A37" s="593"/>
      <c r="B37" s="526" t="s">
        <v>764</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25"/>
      <c r="M37" s="2117"/>
      <c r="N37" s="2117"/>
      <c r="O37" s="2117"/>
      <c r="P37" s="3457"/>
      <c r="Q37" s="1556" t="str">
        <f t="shared" si="11"/>
        <v>成新度</v>
      </c>
      <c r="R37" s="1557" t="s">
        <v>8</v>
      </c>
      <c r="S37" s="1558" t="e">
        <f t="shared" si="12"/>
        <v>#N/A</v>
      </c>
      <c r="T37" s="1557" t="s">
        <v>8</v>
      </c>
      <c r="U37" s="1558" t="e">
        <f t="shared" si="13"/>
        <v>#N/A</v>
      </c>
      <c r="V37" s="1557" t="s">
        <v>8</v>
      </c>
      <c r="W37" s="1558" t="e">
        <f t="shared" si="14"/>
        <v>#N/A</v>
      </c>
      <c r="X37" s="1551"/>
      <c r="Y37" s="3457"/>
      <c r="Z37" s="1559" t="str">
        <f t="shared" si="15"/>
        <v>成新度</v>
      </c>
      <c r="AA37" s="1560" t="e">
        <f t="shared" si="3"/>
        <v>#N/A</v>
      </c>
      <c r="AB37" s="1560" t="e">
        <f t="shared" si="4"/>
        <v>#N/A</v>
      </c>
      <c r="AC37" s="1560"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57"/>
      <c r="Q38" s="1144" t="str">
        <f t="shared" si="11"/>
        <v>写字楼等级</v>
      </c>
      <c r="R38" s="1552" t="s">
        <v>8</v>
      </c>
      <c r="S38" s="1553">
        <f t="shared" si="12"/>
        <v>100</v>
      </c>
      <c r="T38" s="1552" t="s">
        <v>8</v>
      </c>
      <c r="U38" s="1553">
        <f t="shared" si="13"/>
        <v>100</v>
      </c>
      <c r="V38" s="1552" t="s">
        <v>8</v>
      </c>
      <c r="W38" s="1553">
        <f t="shared" si="14"/>
        <v>100</v>
      </c>
      <c r="X38" s="1554"/>
      <c r="Y38" s="3457"/>
      <c r="Z38" s="1143"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57" t="s">
        <v>550</v>
      </c>
      <c r="Q39" s="1556" t="str">
        <f t="shared" si="11"/>
        <v>物业管理</v>
      </c>
      <c r="R39" s="1557" t="s">
        <v>8</v>
      </c>
      <c r="S39" s="1558">
        <f t="shared" si="12"/>
        <v>100</v>
      </c>
      <c r="T39" s="1557" t="s">
        <v>8</v>
      </c>
      <c r="U39" s="1558">
        <f t="shared" si="13"/>
        <v>100</v>
      </c>
      <c r="V39" s="1557" t="s">
        <v>8</v>
      </c>
      <c r="W39" s="1558">
        <f t="shared" si="14"/>
        <v>100</v>
      </c>
      <c r="X39" s="1551"/>
      <c r="Y39" s="3457" t="s">
        <v>550</v>
      </c>
      <c r="Z39" s="1559" t="str">
        <f t="shared" si="15"/>
        <v>物业管理</v>
      </c>
      <c r="AA39" s="1560">
        <f t="shared" si="3"/>
        <v>1</v>
      </c>
      <c r="AB39" s="1560">
        <f t="shared" si="4"/>
        <v>1</v>
      </c>
      <c r="AC39" s="1560">
        <f t="shared" si="5"/>
        <v>1</v>
      </c>
    </row>
    <row r="40" spans="1:29" ht="15">
      <c r="A40" s="593"/>
      <c r="B40" s="1878"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57"/>
      <c r="Q40" s="1556" t="str">
        <f t="shared" si="11"/>
        <v>市政基础设施</v>
      </c>
      <c r="R40" s="1557" t="s">
        <v>8</v>
      </c>
      <c r="S40" s="1558">
        <f t="shared" si="12"/>
        <v>100</v>
      </c>
      <c r="T40" s="1557" t="s">
        <v>8</v>
      </c>
      <c r="U40" s="1558">
        <f t="shared" si="13"/>
        <v>100</v>
      </c>
      <c r="V40" s="1557" t="s">
        <v>8</v>
      </c>
      <c r="W40" s="1558">
        <f t="shared" si="14"/>
        <v>100</v>
      </c>
      <c r="X40" s="1551"/>
      <c r="Y40" s="3457"/>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57"/>
      <c r="Q41" s="1556" t="str">
        <f t="shared" si="11"/>
        <v>层高</v>
      </c>
      <c r="R41" s="1557" t="s">
        <v>8</v>
      </c>
      <c r="S41" s="1558">
        <f t="shared" si="12"/>
        <v>100</v>
      </c>
      <c r="T41" s="1557" t="s">
        <v>8</v>
      </c>
      <c r="U41" s="1558">
        <f t="shared" si="13"/>
        <v>100</v>
      </c>
      <c r="V41" s="1557" t="s">
        <v>8</v>
      </c>
      <c r="W41" s="1558">
        <f t="shared" si="14"/>
        <v>100</v>
      </c>
      <c r="X41" s="1551"/>
      <c r="Y41" s="3457"/>
      <c r="Z41" s="1559" t="str">
        <f t="shared" si="15"/>
        <v>层高</v>
      </c>
      <c r="AA41" s="1560">
        <f t="shared" si="3"/>
        <v>1</v>
      </c>
      <c r="AB41" s="1560">
        <f t="shared" si="4"/>
        <v>1</v>
      </c>
      <c r="AC41" s="1560">
        <f t="shared" si="5"/>
        <v>1</v>
      </c>
    </row>
    <row r="42" spans="1:29" s="1332" customFormat="1" ht="15">
      <c r="A42" s="602"/>
      <c r="B42" s="901"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57"/>
      <c r="Q42" s="1588" t="str">
        <f t="shared" si="11"/>
        <v>单套建筑面积</v>
      </c>
      <c r="R42" s="1561" t="s">
        <v>8</v>
      </c>
      <c r="S42" s="1562">
        <f t="shared" si="12"/>
        <v>100</v>
      </c>
      <c r="T42" s="1561" t="s">
        <v>8</v>
      </c>
      <c r="U42" s="1562">
        <f t="shared" si="13"/>
        <v>100</v>
      </c>
      <c r="V42" s="1561" t="s">
        <v>8</v>
      </c>
      <c r="W42" s="1562">
        <f t="shared" si="14"/>
        <v>100</v>
      </c>
      <c r="X42" s="1563"/>
      <c r="Y42" s="3457"/>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57"/>
      <c r="Q43" s="1556" t="str">
        <f t="shared" si="11"/>
        <v>内部装修</v>
      </c>
      <c r="R43" s="1557" t="s">
        <v>8</v>
      </c>
      <c r="S43" s="1558">
        <f t="shared" si="12"/>
        <v>100</v>
      </c>
      <c r="T43" s="1557" t="s">
        <v>8</v>
      </c>
      <c r="U43" s="1558">
        <f t="shared" si="13"/>
        <v>100</v>
      </c>
      <c r="V43" s="1557" t="s">
        <v>8</v>
      </c>
      <c r="W43" s="1558">
        <f t="shared" si="14"/>
        <v>100</v>
      </c>
      <c r="X43" s="1551"/>
      <c r="Y43" s="3457"/>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57"/>
      <c r="Q44" s="1556" t="str">
        <f t="shared" si="11"/>
        <v>内部装修维护情况</v>
      </c>
      <c r="R44" s="1557" t="s">
        <v>8</v>
      </c>
      <c r="S44" s="1558">
        <f t="shared" si="12"/>
        <v>100</v>
      </c>
      <c r="T44" s="1557" t="s">
        <v>8</v>
      </c>
      <c r="U44" s="1558">
        <f t="shared" si="13"/>
        <v>100</v>
      </c>
      <c r="V44" s="1557" t="s">
        <v>8</v>
      </c>
      <c r="W44" s="1558">
        <f t="shared" si="14"/>
        <v>100</v>
      </c>
      <c r="X44" s="1551"/>
      <c r="Y44" s="3457"/>
      <c r="Z44" s="1559" t="str">
        <f t="shared" si="15"/>
        <v>内部装修维护情况</v>
      </c>
      <c r="AA44" s="1560">
        <f t="shared" si="3"/>
        <v>1</v>
      </c>
      <c r="AB44" s="1560">
        <f t="shared" si="4"/>
        <v>1</v>
      </c>
      <c r="AC44" s="1560">
        <f t="shared" si="5"/>
        <v>1</v>
      </c>
    </row>
    <row r="45" spans="1:29" s="1213" customFormat="1" ht="15">
      <c r="A45" s="599"/>
      <c r="B45" s="875">
        <v>111</v>
      </c>
      <c r="C45" s="877"/>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57"/>
      <c r="Q45" s="1144">
        <f t="shared" si="11"/>
        <v>111</v>
      </c>
      <c r="R45" s="1552" t="s">
        <v>8</v>
      </c>
      <c r="S45" s="1553">
        <f t="shared" si="12"/>
        <v>100</v>
      </c>
      <c r="T45" s="1552" t="s">
        <v>8</v>
      </c>
      <c r="U45" s="1553">
        <f t="shared" si="13"/>
        <v>100</v>
      </c>
      <c r="V45" s="1552" t="s">
        <v>8</v>
      </c>
      <c r="W45" s="1553">
        <f t="shared" si="14"/>
        <v>100</v>
      </c>
      <c r="X45" s="1554"/>
      <c r="Y45" s="3457"/>
      <c r="Z45" s="1143">
        <f t="shared" si="15"/>
        <v>111</v>
      </c>
      <c r="AA45" s="1555">
        <f t="shared" si="3"/>
        <v>1</v>
      </c>
      <c r="AB45" s="1555">
        <f t="shared" si="4"/>
        <v>1</v>
      </c>
      <c r="AC45" s="1555">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57"/>
      <c r="Q46" s="1556">
        <f t="shared" si="11"/>
        <v>111</v>
      </c>
      <c r="R46" s="1557" t="s">
        <v>8</v>
      </c>
      <c r="S46" s="1558">
        <f t="shared" si="12"/>
        <v>100</v>
      </c>
      <c r="T46" s="1557" t="s">
        <v>8</v>
      </c>
      <c r="U46" s="1558">
        <f t="shared" si="13"/>
        <v>100</v>
      </c>
      <c r="V46" s="1557" t="s">
        <v>8</v>
      </c>
      <c r="W46" s="1558">
        <f t="shared" si="14"/>
        <v>100</v>
      </c>
      <c r="X46" s="1551"/>
      <c r="Y46" s="3457"/>
      <c r="Z46" s="1559">
        <f t="shared" si="15"/>
        <v>111</v>
      </c>
      <c r="AA46" s="1560">
        <f t="shared" si="3"/>
        <v>1</v>
      </c>
      <c r="AB46" s="1560">
        <f t="shared" si="4"/>
        <v>1</v>
      </c>
      <c r="AC46" s="1560">
        <f t="shared" si="5"/>
        <v>1</v>
      </c>
    </row>
    <row r="47" spans="1:29" ht="15.75"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38"/>
      <c r="Q47" s="1556">
        <f t="shared" si="11"/>
        <v>111</v>
      </c>
      <c r="R47" s="1557" t="s">
        <v>8</v>
      </c>
      <c r="S47" s="1558">
        <f t="shared" si="12"/>
        <v>100</v>
      </c>
      <c r="T47" s="1557" t="s">
        <v>8</v>
      </c>
      <c r="U47" s="1558">
        <f t="shared" si="13"/>
        <v>100</v>
      </c>
      <c r="V47" s="1557" t="s">
        <v>8</v>
      </c>
      <c r="W47" s="1558">
        <f t="shared" si="14"/>
        <v>100</v>
      </c>
      <c r="X47" s="1551"/>
      <c r="Y47" s="3538"/>
      <c r="Z47" s="1559">
        <f t="shared" si="15"/>
        <v>111</v>
      </c>
      <c r="AA47" s="1560">
        <f t="shared" si="3"/>
        <v>1</v>
      </c>
      <c r="AB47" s="1560">
        <f t="shared" si="4"/>
        <v>1</v>
      </c>
      <c r="AC47" s="1560">
        <f t="shared" si="5"/>
        <v>1</v>
      </c>
    </row>
    <row r="48" spans="1:29" ht="15">
      <c r="A48" s="606" t="s">
        <v>736</v>
      </c>
      <c r="B48" s="884"/>
      <c r="C48" s="2589" t="s">
        <v>1</v>
      </c>
      <c r="D48" s="2590"/>
      <c r="E48" s="2591"/>
      <c r="F48" s="2592"/>
      <c r="G48" s="2593"/>
      <c r="H48" s="2594"/>
      <c r="I48" s="2591"/>
      <c r="J48" s="2594"/>
      <c r="K48" s="1594"/>
      <c r="L48" s="2127"/>
      <c r="M48" s="2117"/>
      <c r="N48" s="2117"/>
      <c r="O48" s="2117"/>
      <c r="P48" s="3418" t="str">
        <f>A48</f>
        <v>成交单价（元/平方米）</v>
      </c>
      <c r="Q48" s="3420"/>
      <c r="R48" s="3537">
        <f>E48</f>
        <v>0</v>
      </c>
      <c r="S48" s="3537"/>
      <c r="T48" s="3537">
        <f>G48</f>
        <v>0</v>
      </c>
      <c r="U48" s="3537"/>
      <c r="V48" s="3537">
        <f>I48</f>
        <v>0</v>
      </c>
      <c r="W48" s="3537"/>
      <c r="X48" s="1543"/>
      <c r="Y48" s="1565"/>
      <c r="Z48" s="1543"/>
      <c r="AA48" s="1543"/>
      <c r="AB48" s="1543"/>
      <c r="AC48" s="1543"/>
    </row>
    <row r="49" spans="1:29" ht="15.75" thickBot="1">
      <c r="A49" s="614" t="s">
        <v>2757</v>
      </c>
      <c r="B49" s="885"/>
      <c r="C49" s="2595" t="e">
        <f>R50</f>
        <v>#DIV/0!</v>
      </c>
      <c r="D49" s="2596"/>
      <c r="E49" s="2597" t="e">
        <f>R49</f>
        <v>#DIV/0!</v>
      </c>
      <c r="F49" s="2597"/>
      <c r="G49" s="2595" t="e">
        <f>T49</f>
        <v>#DIV/0!</v>
      </c>
      <c r="H49" s="2596"/>
      <c r="I49" s="2597" t="e">
        <f>V49</f>
        <v>#DIV/0!</v>
      </c>
      <c r="J49" s="2596"/>
      <c r="K49" s="1595"/>
      <c r="L49" s="2127"/>
      <c r="M49" s="2117"/>
      <c r="N49" s="2117"/>
      <c r="O49" s="2117"/>
      <c r="P49" s="3418" t="str">
        <f>A49</f>
        <v>比较价格（元/平方米）</v>
      </c>
      <c r="Q49" s="3420"/>
      <c r="R49" s="3537" t="e">
        <f>IF(F1="售价",ROUND(PRODUCT(R48,AA7:AA47),0),ROUND(PRODUCT(R48,AA7:AA47),1))</f>
        <v>#DIV/0!</v>
      </c>
      <c r="S49" s="3537"/>
      <c r="T49" s="3537" t="e">
        <f>IF(F1="售价",ROUND(PRODUCT(T48,AB7:AB47),0),ROUND(PRODUCT(T48,AB7:AB47),1))</f>
        <v>#DIV/0!</v>
      </c>
      <c r="U49" s="3537"/>
      <c r="V49" s="3537" t="e">
        <f>IF(F1="售价",ROUND(PRODUCT(V48,AC7:AC47),0),ROUND(PRODUCT(V48,AC7:AC47),1))</f>
        <v>#DIV/0!</v>
      </c>
      <c r="W49" s="3537"/>
      <c r="X49" s="1543"/>
      <c r="Y49" s="1543"/>
      <c r="Z49" s="1543"/>
      <c r="AA49" s="1543"/>
      <c r="AB49" s="1543"/>
      <c r="AC49" s="1543"/>
    </row>
    <row r="50" spans="1:29" ht="15.75" thickBot="1">
      <c r="A50" s="620" t="s">
        <v>2933</v>
      </c>
      <c r="B50" s="621"/>
      <c r="C50" s="2598" t="e">
        <f>R50</f>
        <v>#DIV/0!</v>
      </c>
      <c r="D50" s="2598"/>
      <c r="E50" s="2598"/>
      <c r="F50" s="2598"/>
      <c r="G50" s="2598"/>
      <c r="H50" s="2598"/>
      <c r="I50" s="2598"/>
      <c r="J50" s="2598"/>
      <c r="K50" s="1596"/>
      <c r="L50" s="2127"/>
      <c r="M50" s="2117"/>
      <c r="N50" s="2117"/>
      <c r="O50" s="2117"/>
      <c r="P50" s="3542" t="str">
        <f>A50</f>
        <v>估价对象XX用房的比较价格（楼面单价，元/平方米）</v>
      </c>
      <c r="Q50" s="3418"/>
      <c r="R50" s="3536" t="e">
        <f>IF(F1="售价",ROUND(AVERAGE(R49:V49),0),ROUND(AVERAGE(R49:V49),1))</f>
        <v>#DIV/0!</v>
      </c>
      <c r="S50" s="3536"/>
      <c r="T50" s="3536"/>
      <c r="U50" s="3536"/>
      <c r="V50" s="3536"/>
      <c r="W50" s="3536"/>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4" t="s">
        <v>529</v>
      </c>
      <c r="B59" s="645"/>
      <c r="C59" s="2755" t="str">
        <f>YEAR(C7)&amp;"-"&amp;MONTH(C7)</f>
        <v>2020-3</v>
      </c>
      <c r="D59" s="2757">
        <f>EDATE(C59,-1)</f>
        <v>43862</v>
      </c>
      <c r="E59" s="2757">
        <f t="shared" ref="E59:O59" si="16">EDATE(D59,-1)</f>
        <v>43831</v>
      </c>
      <c r="F59" s="2757">
        <f t="shared" si="16"/>
        <v>43800</v>
      </c>
      <c r="G59" s="2757">
        <f t="shared" si="16"/>
        <v>43770</v>
      </c>
      <c r="H59" s="2757">
        <f t="shared" si="16"/>
        <v>43739</v>
      </c>
      <c r="I59" s="2757">
        <f t="shared" si="16"/>
        <v>43709</v>
      </c>
      <c r="J59" s="2757">
        <f t="shared" si="16"/>
        <v>43678</v>
      </c>
      <c r="K59" s="2757">
        <f t="shared" si="16"/>
        <v>43647</v>
      </c>
      <c r="L59" s="2757">
        <f t="shared" si="16"/>
        <v>43617</v>
      </c>
      <c r="M59" s="2757">
        <f t="shared" si="16"/>
        <v>43586</v>
      </c>
      <c r="N59" s="2757">
        <f t="shared" si="16"/>
        <v>43556</v>
      </c>
      <c r="O59" s="2757">
        <f t="shared" si="16"/>
        <v>43525</v>
      </c>
      <c r="P59" s="2194"/>
      <c r="Q59" s="2144"/>
      <c r="R59" s="2144"/>
      <c r="S59" s="2144"/>
      <c r="T59" s="2144"/>
      <c r="U59" s="2144"/>
      <c r="V59" s="2144"/>
      <c r="W59" s="2144"/>
      <c r="X59" s="2144"/>
      <c r="Y59" s="2144"/>
      <c r="Z59" s="2144"/>
      <c r="AA59" s="2144"/>
      <c r="AB59" s="2144"/>
      <c r="AC59" s="2144"/>
    </row>
    <row r="60" spans="1:29" s="1213"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3"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3"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8"/>
      <c r="B63" s="647"/>
      <c r="C63" s="886">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2555</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2556</v>
      </c>
      <c r="C83" s="2560" t="s">
        <v>2557</v>
      </c>
      <c r="D83" s="2560" t="s">
        <v>2558</v>
      </c>
      <c r="E83" s="2560" t="s">
        <v>2559</v>
      </c>
      <c r="F83" s="2560" t="s">
        <v>2560</v>
      </c>
      <c r="G83" s="2560" t="s">
        <v>2561</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2"/>
      <c r="I84" s="932"/>
      <c r="J84" s="932"/>
      <c r="K84" s="932"/>
      <c r="L84" s="932"/>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8"/>
      <c r="B87" s="672" t="s">
        <v>785</v>
      </c>
      <c r="C87" s="687"/>
      <c r="D87" s="687"/>
      <c r="E87" s="687"/>
      <c r="F87" s="687"/>
      <c r="G87" s="687"/>
      <c r="H87" s="687"/>
      <c r="I87" s="687"/>
      <c r="J87" s="687"/>
      <c r="K87" s="687"/>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8"/>
      <c r="B89" s="672" t="str">
        <f>B27</f>
        <v>楼层</v>
      </c>
      <c r="C89" s="687"/>
      <c r="D89" s="687"/>
      <c r="E89" s="687"/>
      <c r="F89" s="889"/>
      <c r="G89" s="687"/>
      <c r="H89" s="687"/>
      <c r="I89" s="687"/>
      <c r="J89" s="687"/>
      <c r="K89" s="687"/>
      <c r="L89" s="687"/>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0"/>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2554</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4" t="s">
        <v>787</v>
      </c>
      <c r="C119" s="717"/>
      <c r="D119" s="717"/>
      <c r="E119" s="717"/>
      <c r="F119" s="717"/>
      <c r="G119" s="717"/>
      <c r="H119" s="717"/>
      <c r="I119" s="717"/>
      <c r="J119" s="717"/>
      <c r="K119" s="717"/>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426" t="s">
        <v>522</v>
      </c>
      <c r="D4" s="3427"/>
      <c r="E4" s="3460" t="s">
        <v>523</v>
      </c>
      <c r="F4" s="3461"/>
      <c r="G4" s="3426" t="s">
        <v>524</v>
      </c>
      <c r="H4" s="3427"/>
      <c r="I4" s="3426" t="s">
        <v>525</v>
      </c>
      <c r="J4" s="3427"/>
      <c r="K4" s="513" t="s">
        <v>526</v>
      </c>
      <c r="L4" s="2116"/>
      <c r="M4" s="2117"/>
      <c r="N4" s="2117"/>
      <c r="O4" s="2117"/>
      <c r="P4" s="3428" t="s">
        <v>527</v>
      </c>
      <c r="Q4" s="3429"/>
      <c r="R4" s="3434" t="s">
        <v>523</v>
      </c>
      <c r="S4" s="3435"/>
      <c r="T4" s="3434" t="s">
        <v>524</v>
      </c>
      <c r="U4" s="3435"/>
      <c r="V4" s="3421" t="s">
        <v>525</v>
      </c>
      <c r="W4" s="3421"/>
      <c r="X4" s="1551"/>
      <c r="Y4" s="3434" t="s">
        <v>527</v>
      </c>
      <c r="Z4" s="3435"/>
      <c r="AA4" s="3423" t="s">
        <v>523</v>
      </c>
      <c r="AB4" s="3424" t="s">
        <v>524</v>
      </c>
      <c r="AC4" s="3423" t="s">
        <v>525</v>
      </c>
    </row>
    <row r="5" spans="1:29" ht="15">
      <c r="A5" s="514"/>
      <c r="B5" s="515"/>
      <c r="C5" s="3442" t="s">
        <v>2927</v>
      </c>
      <c r="D5" s="3443"/>
      <c r="E5" s="3462" t="s">
        <v>2928</v>
      </c>
      <c r="F5" s="3463"/>
      <c r="G5" s="3442" t="s">
        <v>2929</v>
      </c>
      <c r="H5" s="3443"/>
      <c r="I5" s="3442" t="s">
        <v>2930</v>
      </c>
      <c r="J5" s="3443"/>
      <c r="K5" s="513"/>
      <c r="L5" s="2116"/>
      <c r="M5" s="2117"/>
      <c r="N5" s="2117"/>
      <c r="O5" s="2117"/>
      <c r="P5" s="3430"/>
      <c r="Q5" s="3431"/>
      <c r="R5" s="3436"/>
      <c r="S5" s="3437"/>
      <c r="T5" s="3436"/>
      <c r="U5" s="3437"/>
      <c r="V5" s="3421"/>
      <c r="W5" s="3421"/>
      <c r="X5" s="1551"/>
      <c r="Y5" s="3436"/>
      <c r="Z5" s="3437"/>
      <c r="AA5" s="3424"/>
      <c r="AB5" s="3424"/>
      <c r="AC5" s="3424"/>
    </row>
    <row r="6" spans="1:29" ht="15.75" thickBot="1">
      <c r="A6" s="516"/>
      <c r="B6" s="517"/>
      <c r="C6" s="3440" t="s">
        <v>2931</v>
      </c>
      <c r="D6" s="3441"/>
      <c r="E6" s="3458" t="s">
        <v>2931</v>
      </c>
      <c r="F6" s="3459"/>
      <c r="G6" s="3440" t="s">
        <v>2931</v>
      </c>
      <c r="H6" s="3441"/>
      <c r="I6" s="3440" t="s">
        <v>2931</v>
      </c>
      <c r="J6" s="3441"/>
      <c r="K6" s="513" t="s">
        <v>528</v>
      </c>
      <c r="L6" s="2116"/>
      <c r="M6" s="2117"/>
      <c r="N6" s="2117"/>
      <c r="O6" s="2117"/>
      <c r="P6" s="3432"/>
      <c r="Q6" s="3433"/>
      <c r="R6" s="3436"/>
      <c r="S6" s="3437"/>
      <c r="T6" s="3438"/>
      <c r="U6" s="3439"/>
      <c r="V6" s="3421"/>
      <c r="W6" s="3421"/>
      <c r="X6" s="1551"/>
      <c r="Y6" s="3438"/>
      <c r="Z6" s="3439"/>
      <c r="AA6" s="3425"/>
      <c r="AB6" s="3425"/>
      <c r="AC6" s="3425"/>
    </row>
    <row r="7" spans="1:29" s="1213" customFormat="1" ht="15.75" thickBot="1">
      <c r="A7" s="2864"/>
      <c r="B7" s="2871" t="s">
        <v>529</v>
      </c>
      <c r="C7" s="518">
        <f>'数据-取费表'!B2</f>
        <v>43920</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51" t="s">
        <v>530</v>
      </c>
      <c r="Q7" s="3453"/>
      <c r="R7" s="1552" t="s">
        <v>8</v>
      </c>
      <c r="S7" s="1553">
        <f t="shared" ref="S7:S15" si="0">F7</f>
        <v>0</v>
      </c>
      <c r="T7" s="1552" t="s">
        <v>8</v>
      </c>
      <c r="U7" s="1553">
        <f t="shared" ref="U7:U15" si="1">H7</f>
        <v>0</v>
      </c>
      <c r="V7" s="1552" t="s">
        <v>8</v>
      </c>
      <c r="W7" s="1553">
        <f t="shared" ref="W7:W15" si="2">J7</f>
        <v>0</v>
      </c>
      <c r="X7" s="1554"/>
      <c r="Y7" s="3451" t="s">
        <v>530</v>
      </c>
      <c r="Z7" s="3452"/>
      <c r="AA7" s="1555" t="e">
        <f>D7/F7</f>
        <v>#DIV/0!</v>
      </c>
      <c r="AB7" s="1555" t="e">
        <f>D7/H7</f>
        <v>#DIV/0!</v>
      </c>
      <c r="AC7" s="1555" t="e">
        <f>D7/J7</f>
        <v>#DIV/0!</v>
      </c>
    </row>
    <row r="8" spans="1:29" s="1213"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51" t="s">
        <v>533</v>
      </c>
      <c r="Q8" s="3452"/>
      <c r="R8" s="1552" t="s">
        <v>8</v>
      </c>
      <c r="S8" s="1553">
        <f t="shared" si="0"/>
        <v>0</v>
      </c>
      <c r="T8" s="1552" t="s">
        <v>8</v>
      </c>
      <c r="U8" s="1553">
        <f t="shared" si="1"/>
        <v>0</v>
      </c>
      <c r="V8" s="1552" t="s">
        <v>8</v>
      </c>
      <c r="W8" s="1553">
        <f t="shared" si="2"/>
        <v>0</v>
      </c>
      <c r="X8" s="1554"/>
      <c r="Y8" s="3451" t="s">
        <v>533</v>
      </c>
      <c r="Z8" s="3452"/>
      <c r="AA8" s="1555" t="e">
        <f t="shared" ref="AA8:AA40" si="3">D8/F8</f>
        <v>#DIV/0!</v>
      </c>
      <c r="AB8" s="1555" t="e">
        <f t="shared" ref="AB8:AB40" si="4">D8/H8</f>
        <v>#DIV/0!</v>
      </c>
      <c r="AC8" s="1555" t="e">
        <f t="shared" ref="AC8:AC40" si="5">D8/J8</f>
        <v>#DIV/0!</v>
      </c>
    </row>
    <row r="9" spans="1:29" s="1213" customFormat="1" ht="15">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20" t="s">
        <v>535</v>
      </c>
      <c r="Q9" s="1144" t="str">
        <f t="shared" ref="Q9:Q15" si="6">B9</f>
        <v>用途</v>
      </c>
      <c r="R9" s="1552" t="s">
        <v>8</v>
      </c>
      <c r="S9" s="1553">
        <f t="shared" si="0"/>
        <v>100</v>
      </c>
      <c r="T9" s="1552" t="s">
        <v>8</v>
      </c>
      <c r="U9" s="1553">
        <f t="shared" si="1"/>
        <v>100</v>
      </c>
      <c r="V9" s="1552" t="s">
        <v>8</v>
      </c>
      <c r="W9" s="1553">
        <f t="shared" si="2"/>
        <v>100</v>
      </c>
      <c r="X9" s="1554"/>
      <c r="Y9" s="3366" t="s">
        <v>536</v>
      </c>
      <c r="Z9" s="1143" t="str">
        <f t="shared" ref="Z9:Z15" si="7">Q9</f>
        <v>用途</v>
      </c>
      <c r="AA9" s="1555">
        <f t="shared" si="3"/>
        <v>1</v>
      </c>
      <c r="AB9" s="1555">
        <f t="shared" si="4"/>
        <v>1</v>
      </c>
      <c r="AC9" s="1555">
        <f t="shared" si="5"/>
        <v>1</v>
      </c>
    </row>
    <row r="10" spans="1:29" s="1331" customFormat="1" ht="27">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20"/>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20"/>
      <c r="Q11" s="1144" t="str">
        <f t="shared" si="6"/>
        <v>容积率</v>
      </c>
      <c r="R11" s="1552" t="s">
        <v>8</v>
      </c>
      <c r="S11" s="1553" t="e">
        <f t="shared" si="0"/>
        <v>#N/A</v>
      </c>
      <c r="T11" s="1552" t="s">
        <v>8</v>
      </c>
      <c r="U11" s="1553" t="e">
        <f t="shared" si="1"/>
        <v>#N/A</v>
      </c>
      <c r="V11" s="1552" t="s">
        <v>8</v>
      </c>
      <c r="W11" s="1553" t="e">
        <f t="shared" si="2"/>
        <v>#N/A</v>
      </c>
      <c r="X11" s="1554"/>
      <c r="Y11" s="3366"/>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38"/>
      <c r="F12" s="254">
        <f>SUMIF(64:64,E12,65:65)-SUMIF(64:64,C12,65:65)+100</f>
        <v>100</v>
      </c>
      <c r="G12" s="917"/>
      <c r="H12" s="254">
        <f>SUMIF(64:64,G12,65:65)-SUMIF(64:64,C12,65:65)+100</f>
        <v>100</v>
      </c>
      <c r="I12" s="877"/>
      <c r="J12" s="254">
        <f>SUMIF(64:64,I12,65:65)-SUMIF(64:64,C12,65:65)+100</f>
        <v>100</v>
      </c>
      <c r="K12" s="580"/>
      <c r="L12" s="2118"/>
      <c r="M12" s="2119"/>
      <c r="N12" s="2119"/>
      <c r="O12" s="2120"/>
      <c r="P12" s="3420"/>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
      <c r="A13" s="2869"/>
      <c r="B13" s="2875">
        <v>111</v>
      </c>
      <c r="C13" s="538"/>
      <c r="D13" s="539">
        <v>100</v>
      </c>
      <c r="E13" s="538"/>
      <c r="F13" s="254">
        <f>SUMIF(66:66,E13,67:67)-SUMIF(66:66,C13,67:67)+100</f>
        <v>100</v>
      </c>
      <c r="G13" s="917"/>
      <c r="H13" s="539">
        <f>SUMIF(66:66,G13,67:67)-SUMIF(66:66,C13,67:67)+100</f>
        <v>100</v>
      </c>
      <c r="I13" s="877"/>
      <c r="J13" s="539">
        <f>SUMIF(66:66,I13,67:67)-SUMIF(66:66,C13,67:67)+100</f>
        <v>100</v>
      </c>
      <c r="K13" s="580"/>
      <c r="L13" s="2125"/>
      <c r="M13" s="2117"/>
      <c r="N13" s="2117"/>
      <c r="O13" s="2124"/>
      <c r="P13" s="3420"/>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15.75" thickBot="1">
      <c r="A14" s="2870"/>
      <c r="B14" s="2876">
        <v>111</v>
      </c>
      <c r="C14" s="544"/>
      <c r="D14" s="545">
        <v>100</v>
      </c>
      <c r="E14" s="544"/>
      <c r="F14" s="545">
        <f>SUMIF(68:68,E14,69:69)-SUMIF(68:68,C14,69:69)+100</f>
        <v>100</v>
      </c>
      <c r="G14" s="917"/>
      <c r="H14" s="545">
        <f>SUMIF(68:68,G14,69:69)-SUMIF(68:68,C14,69:69)+100</f>
        <v>100</v>
      </c>
      <c r="I14" s="877"/>
      <c r="J14" s="545">
        <f>SUMIF(68:68,I14,69:69)-SUMIF(68:68,C14,69:69)+100</f>
        <v>100</v>
      </c>
      <c r="K14" s="580"/>
      <c r="L14" s="2125"/>
      <c r="M14" s="2117"/>
      <c r="N14" s="2117"/>
      <c r="O14" s="2124"/>
      <c r="P14" s="3420"/>
      <c r="Q14" s="1144">
        <f t="shared" si="6"/>
        <v>111</v>
      </c>
      <c r="R14" s="1552" t="s">
        <v>8</v>
      </c>
      <c r="S14" s="1553">
        <f t="shared" si="0"/>
        <v>100</v>
      </c>
      <c r="T14" s="1552" t="s">
        <v>8</v>
      </c>
      <c r="U14" s="1553">
        <f t="shared" si="1"/>
        <v>100</v>
      </c>
      <c r="V14" s="1552" t="s">
        <v>8</v>
      </c>
      <c r="W14" s="1553">
        <f t="shared" si="2"/>
        <v>100</v>
      </c>
      <c r="X14" s="1554"/>
      <c r="Y14" s="3366"/>
      <c r="Z14" s="1143">
        <f t="shared" si="7"/>
        <v>111</v>
      </c>
      <c r="AA14" s="1555">
        <f t="shared" si="3"/>
        <v>1</v>
      </c>
      <c r="AB14" s="1555">
        <f t="shared" si="4"/>
        <v>1</v>
      </c>
      <c r="AC14" s="1555">
        <f t="shared" si="5"/>
        <v>1</v>
      </c>
    </row>
    <row r="15" spans="1:29" ht="57">
      <c r="A15" s="2862" t="s">
        <v>2751</v>
      </c>
      <c r="B15" s="166" t="s">
        <v>789</v>
      </c>
      <c r="C15" s="918"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25"/>
      <c r="M15" s="2117"/>
      <c r="N15" s="2117"/>
      <c r="O15" s="2124"/>
      <c r="P15" s="3454" t="s">
        <v>540</v>
      </c>
      <c r="Q15" s="1556" t="str">
        <f t="shared" si="6"/>
        <v>产业集聚程度</v>
      </c>
      <c r="R15" s="1557" t="s">
        <v>8</v>
      </c>
      <c r="S15" s="1558">
        <f t="shared" si="0"/>
        <v>100</v>
      </c>
      <c r="T15" s="1557" t="s">
        <v>8</v>
      </c>
      <c r="U15" s="1558">
        <f t="shared" si="1"/>
        <v>100</v>
      </c>
      <c r="V15" s="1557" t="s">
        <v>8</v>
      </c>
      <c r="W15" s="1558">
        <f t="shared" si="2"/>
        <v>100</v>
      </c>
      <c r="X15" s="1551"/>
      <c r="Y15" s="3454"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6"/>
      <c r="L16" s="2125"/>
      <c r="M16" s="2117"/>
      <c r="N16" s="2117"/>
      <c r="O16" s="2124"/>
      <c r="P16" s="3455"/>
      <c r="Q16" s="1556"/>
      <c r="R16" s="1557"/>
      <c r="S16" s="1558"/>
      <c r="T16" s="1557"/>
      <c r="U16" s="1558"/>
      <c r="V16" s="1557"/>
      <c r="W16" s="1558"/>
      <c r="X16" s="1551"/>
      <c r="Y16" s="3455"/>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25"/>
      <c r="M17" s="2117"/>
      <c r="N17" s="2117"/>
      <c r="O17" s="2124"/>
      <c r="P17" s="3455"/>
      <c r="Q17" s="1556" t="str">
        <f>B17</f>
        <v>交通便捷度</v>
      </c>
      <c r="R17" s="1557" t="s">
        <v>8</v>
      </c>
      <c r="S17" s="1558">
        <f>F17</f>
        <v>100</v>
      </c>
      <c r="T17" s="1557" t="s">
        <v>8</v>
      </c>
      <c r="U17" s="1558">
        <f>H17</f>
        <v>100</v>
      </c>
      <c r="V17" s="1557" t="s">
        <v>8</v>
      </c>
      <c r="W17" s="1558">
        <f>J17</f>
        <v>100</v>
      </c>
      <c r="X17" s="1551"/>
      <c r="Y17" s="3455"/>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6"/>
      <c r="L18" s="2125"/>
      <c r="M18" s="2117"/>
      <c r="N18" s="2117"/>
      <c r="O18" s="2124"/>
      <c r="P18" s="3455"/>
      <c r="Q18" s="1556"/>
      <c r="R18" s="1557"/>
      <c r="S18" s="1558"/>
      <c r="T18" s="1557"/>
      <c r="U18" s="1558"/>
      <c r="V18" s="1557"/>
      <c r="W18" s="1558"/>
      <c r="X18" s="1551"/>
      <c r="Y18" s="3455"/>
      <c r="Z18" s="1559"/>
      <c r="AA18" s="1560">
        <v>1</v>
      </c>
      <c r="AB18" s="1560">
        <v>1</v>
      </c>
      <c r="AC18" s="1560">
        <v>1</v>
      </c>
    </row>
    <row r="19" spans="1:29" ht="42.75">
      <c r="A19" s="531"/>
      <c r="B19" s="2565"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25"/>
      <c r="M19" s="2117"/>
      <c r="N19" s="2117"/>
      <c r="O19" s="2124"/>
      <c r="P19" s="3455"/>
      <c r="Q19" s="1556" t="str">
        <f>B19</f>
        <v>公共配套设施</v>
      </c>
      <c r="R19" s="1557" t="s">
        <v>8</v>
      </c>
      <c r="S19" s="1558">
        <f>F19</f>
        <v>100</v>
      </c>
      <c r="T19" s="1557" t="s">
        <v>8</v>
      </c>
      <c r="U19" s="1558">
        <f>H19</f>
        <v>100</v>
      </c>
      <c r="V19" s="1557" t="s">
        <v>8</v>
      </c>
      <c r="W19" s="1558">
        <f>J19</f>
        <v>100</v>
      </c>
      <c r="X19" s="1551"/>
      <c r="Y19" s="3455"/>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6"/>
      <c r="L20" s="2125"/>
      <c r="M20" s="2117"/>
      <c r="N20" s="2117"/>
      <c r="O20" s="2124"/>
      <c r="P20" s="3455"/>
      <c r="Q20" s="1556"/>
      <c r="R20" s="1557"/>
      <c r="S20" s="1558"/>
      <c r="T20" s="1557"/>
      <c r="U20" s="1558"/>
      <c r="V20" s="1557"/>
      <c r="W20" s="1558"/>
      <c r="X20" s="1551"/>
      <c r="Y20" s="3455"/>
      <c r="Z20" s="1559"/>
      <c r="AA20" s="1560">
        <v>1</v>
      </c>
      <c r="AB20" s="1560">
        <v>1</v>
      </c>
      <c r="AC20" s="1560">
        <v>1</v>
      </c>
    </row>
    <row r="21" spans="1:29" ht="28.5">
      <c r="A21" s="531"/>
      <c r="B21" s="2553"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25"/>
      <c r="M21" s="2117"/>
      <c r="N21" s="2117"/>
      <c r="O21" s="2124"/>
      <c r="P21" s="3455"/>
      <c r="Q21" s="2541" t="str">
        <f>B21</f>
        <v>基础设施水平</v>
      </c>
      <c r="R21" s="1557" t="s">
        <v>8</v>
      </c>
      <c r="S21" s="1558">
        <f>F21</f>
        <v>100</v>
      </c>
      <c r="T21" s="1557" t="s">
        <v>8</v>
      </c>
      <c r="U21" s="1558">
        <f>H21</f>
        <v>100</v>
      </c>
      <c r="V21" s="1557" t="s">
        <v>8</v>
      </c>
      <c r="W21" s="1558">
        <f>J21</f>
        <v>100</v>
      </c>
      <c r="X21" s="2543"/>
      <c r="Y21" s="3455"/>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55"/>
      <c r="Q22" s="2541"/>
      <c r="R22" s="1557"/>
      <c r="S22" s="1558"/>
      <c r="T22" s="1557"/>
      <c r="U22" s="1558"/>
      <c r="V22" s="1557"/>
      <c r="W22" s="1558"/>
      <c r="X22" s="2543"/>
      <c r="Y22" s="3455"/>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25"/>
      <c r="M23" s="2117"/>
      <c r="N23" s="2117"/>
      <c r="O23" s="2124"/>
      <c r="P23" s="3455"/>
      <c r="Q23" s="1556" t="str">
        <f>B23</f>
        <v>环境质量</v>
      </c>
      <c r="R23" s="1557" t="s">
        <v>8</v>
      </c>
      <c r="S23" s="1558">
        <f>F23</f>
        <v>100</v>
      </c>
      <c r="T23" s="1557" t="s">
        <v>8</v>
      </c>
      <c r="U23" s="1558">
        <f>H23</f>
        <v>100</v>
      </c>
      <c r="V23" s="1557" t="s">
        <v>8</v>
      </c>
      <c r="W23" s="1558">
        <f>J23</f>
        <v>100</v>
      </c>
      <c r="X23" s="1551"/>
      <c r="Y23" s="3455"/>
      <c r="Z23" s="1559" t="str">
        <f>Q23</f>
        <v>环境质量</v>
      </c>
      <c r="AA23" s="1560">
        <f t="shared" si="3"/>
        <v>1</v>
      </c>
      <c r="AB23" s="1560">
        <f t="shared" si="4"/>
        <v>1</v>
      </c>
      <c r="AC23" s="1560">
        <f t="shared" si="5"/>
        <v>1</v>
      </c>
    </row>
    <row r="24" spans="1:29" ht="15">
      <c r="A24" s="531"/>
      <c r="B24" s="919"/>
      <c r="C24" s="575"/>
      <c r="D24" s="554"/>
      <c r="E24" s="555"/>
      <c r="F24" s="556"/>
      <c r="G24" s="557"/>
      <c r="H24" s="554"/>
      <c r="I24" s="555"/>
      <c r="J24" s="554"/>
      <c r="K24" s="896"/>
      <c r="L24" s="2125"/>
      <c r="M24" s="2117"/>
      <c r="N24" s="2117"/>
      <c r="O24" s="2124"/>
      <c r="P24" s="3455"/>
      <c r="Q24" s="1556"/>
      <c r="R24" s="1557"/>
      <c r="S24" s="1558"/>
      <c r="T24" s="1557"/>
      <c r="U24" s="1558"/>
      <c r="V24" s="1557"/>
      <c r="W24" s="1558"/>
      <c r="X24" s="1551"/>
      <c r="Y24" s="3455"/>
      <c r="Z24" s="1559"/>
      <c r="AA24" s="1560">
        <v>1</v>
      </c>
      <c r="AB24" s="1560">
        <v>1</v>
      </c>
      <c r="AC24" s="1560">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55"/>
      <c r="Q25" s="1556">
        <f>B25</f>
        <v>111</v>
      </c>
      <c r="R25" s="1557" t="s">
        <v>8</v>
      </c>
      <c r="S25" s="1558">
        <f>F25</f>
        <v>100</v>
      </c>
      <c r="T25" s="1557" t="s">
        <v>8</v>
      </c>
      <c r="U25" s="1558">
        <f>H25</f>
        <v>100</v>
      </c>
      <c r="V25" s="1557" t="s">
        <v>8</v>
      </c>
      <c r="W25" s="1558">
        <f>J25</f>
        <v>100</v>
      </c>
      <c r="X25" s="1551"/>
      <c r="Y25" s="3455"/>
      <c r="Z25" s="1559">
        <f>Q25</f>
        <v>111</v>
      </c>
      <c r="AA25" s="1560">
        <f t="shared" si="3"/>
        <v>1</v>
      </c>
      <c r="AB25" s="1560">
        <f t="shared" si="4"/>
        <v>1</v>
      </c>
      <c r="AC25" s="1560">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55"/>
      <c r="Q26" s="1556">
        <f t="shared" ref="Q26:Q40" si="11">B26</f>
        <v>111</v>
      </c>
      <c r="R26" s="1557" t="s">
        <v>8</v>
      </c>
      <c r="S26" s="1558">
        <f>F26</f>
        <v>100</v>
      </c>
      <c r="T26" s="1557" t="s">
        <v>8</v>
      </c>
      <c r="U26" s="1558">
        <f>H26</f>
        <v>100</v>
      </c>
      <c r="V26" s="1557" t="s">
        <v>8</v>
      </c>
      <c r="W26" s="1558">
        <f>J26</f>
        <v>100</v>
      </c>
      <c r="X26" s="1551"/>
      <c r="Y26" s="3455"/>
      <c r="Z26" s="1559">
        <f>Q26</f>
        <v>111</v>
      </c>
      <c r="AA26" s="1560">
        <f t="shared" si="3"/>
        <v>1</v>
      </c>
      <c r="AB26" s="1560">
        <f t="shared" si="4"/>
        <v>1</v>
      </c>
      <c r="AC26" s="1560">
        <f t="shared" si="5"/>
        <v>1</v>
      </c>
    </row>
    <row r="27" spans="1:29" s="1213"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18"/>
      <c r="M27" s="2119"/>
      <c r="N27" s="2119"/>
      <c r="O27" s="2120"/>
      <c r="P27" s="3455"/>
      <c r="Q27" s="1144">
        <f t="shared" si="11"/>
        <v>111</v>
      </c>
      <c r="R27" s="1552" t="s">
        <v>8</v>
      </c>
      <c r="S27" s="1553">
        <f>F27</f>
        <v>100</v>
      </c>
      <c r="T27" s="1552" t="s">
        <v>8</v>
      </c>
      <c r="U27" s="1553">
        <f>H27</f>
        <v>100</v>
      </c>
      <c r="V27" s="1552" t="s">
        <v>8</v>
      </c>
      <c r="W27" s="1553">
        <f>J27</f>
        <v>100</v>
      </c>
      <c r="X27" s="1554"/>
      <c r="Y27" s="3455"/>
      <c r="Z27" s="1143">
        <f>Q27</f>
        <v>111</v>
      </c>
      <c r="AA27" s="1560">
        <f>D27/F27</f>
        <v>1</v>
      </c>
      <c r="AB27" s="1560">
        <f>D27/H27</f>
        <v>1</v>
      </c>
      <c r="AC27" s="1560">
        <f>D27/J27</f>
        <v>1</v>
      </c>
    </row>
    <row r="28" spans="1:29" ht="15.75" thickBot="1">
      <c r="A28" s="542"/>
      <c r="B28" s="875">
        <v>111</v>
      </c>
      <c r="C28" s="544"/>
      <c r="D28" s="545">
        <v>100</v>
      </c>
      <c r="E28" s="538"/>
      <c r="F28" s="865">
        <f>SUMIF(86:86,E28,87:87)-SUMIF(86:86,C28,87:87)+100</f>
        <v>100</v>
      </c>
      <c r="G28" s="877"/>
      <c r="H28" s="545">
        <f>SUMIF(86:86,G28,87:87)-SUMIF(86:86,C28,87:87)+100</f>
        <v>100</v>
      </c>
      <c r="I28" s="877"/>
      <c r="J28" s="545">
        <f>SUMIF(86:86,I28,87:87)-SUMIF(86:86,C28,87:87)+100</f>
        <v>100</v>
      </c>
      <c r="K28" s="580"/>
      <c r="L28" s="2125"/>
      <c r="M28" s="2117"/>
      <c r="N28" s="2117"/>
      <c r="O28" s="2124"/>
      <c r="P28" s="3455"/>
      <c r="Q28" s="1556">
        <f t="shared" si="11"/>
        <v>111</v>
      </c>
      <c r="R28" s="1557" t="s">
        <v>8</v>
      </c>
      <c r="S28" s="1558">
        <f t="shared" ref="S28:S40" si="12">F28</f>
        <v>100</v>
      </c>
      <c r="T28" s="1557" t="s">
        <v>8</v>
      </c>
      <c r="U28" s="1558">
        <f t="shared" ref="U28:U40" si="13">H28</f>
        <v>100</v>
      </c>
      <c r="V28" s="1557" t="s">
        <v>8</v>
      </c>
      <c r="W28" s="1558">
        <f t="shared" ref="W28:W40" si="14">J28</f>
        <v>100</v>
      </c>
      <c r="X28" s="1551"/>
      <c r="Y28" s="3455"/>
      <c r="Z28" s="1559">
        <f t="shared" ref="Z28:Z40" si="15">Q28</f>
        <v>111</v>
      </c>
      <c r="AA28" s="1560">
        <f t="shared" si="3"/>
        <v>1</v>
      </c>
      <c r="AB28" s="1560">
        <f t="shared" si="4"/>
        <v>1</v>
      </c>
      <c r="AC28" s="1560">
        <f t="shared" si="5"/>
        <v>1</v>
      </c>
    </row>
    <row r="29" spans="1:29" ht="15">
      <c r="A29" s="2860" t="s">
        <v>2752</v>
      </c>
      <c r="B29" s="172" t="s">
        <v>780</v>
      </c>
      <c r="C29" s="913"/>
      <c r="D29" s="596">
        <v>100</v>
      </c>
      <c r="E29" s="913"/>
      <c r="F29" s="574">
        <f>SUMIF(88:88,E29,89:89)-SUMIF(88:88,C29,89:89)+100</f>
        <v>100</v>
      </c>
      <c r="G29" s="913"/>
      <c r="H29" s="539">
        <f>SUMIF(88:88,G29,89:89)-SUMIF(88:88,C29,89:89)+100</f>
        <v>100</v>
      </c>
      <c r="I29" s="913"/>
      <c r="J29" s="596">
        <f>SUMIF(88:88,I29,89:89)-SUMIF(88:88,C29,89:89)+100</f>
        <v>100</v>
      </c>
      <c r="K29" s="583"/>
      <c r="L29" s="2125"/>
      <c r="M29" s="2117"/>
      <c r="N29" s="2117"/>
      <c r="O29" s="2124"/>
      <c r="P29" s="3456" t="s">
        <v>550</v>
      </c>
      <c r="Q29" s="1556" t="str">
        <f t="shared" si="11"/>
        <v>建筑类型</v>
      </c>
      <c r="R29" s="1557" t="s">
        <v>8</v>
      </c>
      <c r="S29" s="1558">
        <f t="shared" si="12"/>
        <v>100</v>
      </c>
      <c r="T29" s="1557" t="s">
        <v>8</v>
      </c>
      <c r="U29" s="1558">
        <f t="shared" si="13"/>
        <v>100</v>
      </c>
      <c r="V29" s="1557" t="s">
        <v>8</v>
      </c>
      <c r="W29" s="1558">
        <f t="shared" si="14"/>
        <v>100</v>
      </c>
      <c r="X29" s="1551"/>
      <c r="Y29" s="3457" t="s">
        <v>550</v>
      </c>
      <c r="Z29" s="1559" t="str">
        <f t="shared" si="15"/>
        <v>建筑类型</v>
      </c>
      <c r="AA29" s="1560">
        <f t="shared" si="3"/>
        <v>1</v>
      </c>
      <c r="AB29" s="1560">
        <f t="shared" si="4"/>
        <v>1</v>
      </c>
      <c r="AC29" s="1560">
        <f t="shared" si="5"/>
        <v>1</v>
      </c>
    </row>
    <row r="30" spans="1:29" s="1332" customFormat="1" ht="15">
      <c r="A30" s="602"/>
      <c r="B30" s="526" t="s">
        <v>726</v>
      </c>
      <c r="C30" s="877"/>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57"/>
      <c r="Q30" s="1588" t="str">
        <f t="shared" si="11"/>
        <v>项目建筑规模</v>
      </c>
      <c r="R30" s="1561" t="s">
        <v>8</v>
      </c>
      <c r="S30" s="1562" t="e">
        <f t="shared" si="12"/>
        <v>#N/A</v>
      </c>
      <c r="T30" s="1561" t="s">
        <v>8</v>
      </c>
      <c r="U30" s="1562" t="e">
        <f t="shared" si="13"/>
        <v>#N/A</v>
      </c>
      <c r="V30" s="1561" t="s">
        <v>8</v>
      </c>
      <c r="W30" s="1562" t="e">
        <f t="shared" si="14"/>
        <v>#N/A</v>
      </c>
      <c r="X30" s="1563"/>
      <c r="Y30" s="3457"/>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57"/>
      <c r="Q31" s="1556" t="str">
        <f t="shared" si="11"/>
        <v>建筑结构</v>
      </c>
      <c r="R31" s="1557" t="s">
        <v>8</v>
      </c>
      <c r="S31" s="1558">
        <f t="shared" si="12"/>
        <v>100</v>
      </c>
      <c r="T31" s="1557" t="s">
        <v>8</v>
      </c>
      <c r="U31" s="1558">
        <f t="shared" si="13"/>
        <v>100</v>
      </c>
      <c r="V31" s="1557" t="s">
        <v>8</v>
      </c>
      <c r="W31" s="1558">
        <f t="shared" si="14"/>
        <v>100</v>
      </c>
      <c r="X31" s="1551"/>
      <c r="Y31" s="3457"/>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57"/>
      <c r="Q32" s="1556" t="str">
        <f t="shared" si="11"/>
        <v>公共部分装修</v>
      </c>
      <c r="R32" s="1557" t="s">
        <v>8</v>
      </c>
      <c r="S32" s="1558">
        <f t="shared" si="12"/>
        <v>100</v>
      </c>
      <c r="T32" s="1557" t="s">
        <v>8</v>
      </c>
      <c r="U32" s="1558">
        <f t="shared" si="13"/>
        <v>100</v>
      </c>
      <c r="V32" s="1557" t="s">
        <v>8</v>
      </c>
      <c r="W32" s="1558">
        <f t="shared" si="14"/>
        <v>100</v>
      </c>
      <c r="X32" s="1551"/>
      <c r="Y32" s="3457"/>
      <c r="Z32" s="1559" t="str">
        <f t="shared" si="15"/>
        <v>公共部分装修</v>
      </c>
      <c r="AA32" s="1560">
        <f t="shared" si="3"/>
        <v>1</v>
      </c>
      <c r="AB32" s="1560">
        <f t="shared" si="4"/>
        <v>1</v>
      </c>
      <c r="AC32" s="1560">
        <f t="shared" si="5"/>
        <v>1</v>
      </c>
    </row>
    <row r="33" spans="1:29" ht="15">
      <c r="A33" s="593"/>
      <c r="B33" s="526" t="s">
        <v>764</v>
      </c>
      <c r="C33" s="877"/>
      <c r="D33" s="539">
        <v>100</v>
      </c>
      <c r="E33" s="880"/>
      <c r="F33" s="574" t="e">
        <f>LOOKUP(E33,98:98,99:99)-LOOKUP(C33,98:98,99:99)+100</f>
        <v>#N/A</v>
      </c>
      <c r="G33" s="880"/>
      <c r="H33" s="574" t="e">
        <f>LOOKUP(G33,98:98,99:99)-LOOKUP(C33,98:98,99:99)+100</f>
        <v>#N/A</v>
      </c>
      <c r="I33" s="880"/>
      <c r="J33" s="539" t="e">
        <f>LOOKUP(I33,98:98,99:99)-LOOKUP(C33,98:98,99:99)+100</f>
        <v>#N/A</v>
      </c>
      <c r="K33" s="583"/>
      <c r="L33" s="2125"/>
      <c r="M33" s="2117"/>
      <c r="N33" s="2117"/>
      <c r="O33" s="2124"/>
      <c r="P33" s="3457"/>
      <c r="Q33" s="1556" t="str">
        <f t="shared" si="11"/>
        <v>成新度</v>
      </c>
      <c r="R33" s="1557" t="s">
        <v>8</v>
      </c>
      <c r="S33" s="1558" t="e">
        <f t="shared" si="12"/>
        <v>#N/A</v>
      </c>
      <c r="T33" s="1557" t="s">
        <v>8</v>
      </c>
      <c r="U33" s="1558" t="e">
        <f t="shared" si="13"/>
        <v>#N/A</v>
      </c>
      <c r="V33" s="1557" t="s">
        <v>8</v>
      </c>
      <c r="W33" s="1558" t="e">
        <f t="shared" si="14"/>
        <v>#N/A</v>
      </c>
      <c r="X33" s="1551"/>
      <c r="Y33" s="3457"/>
      <c r="Z33" s="1559" t="str">
        <f t="shared" si="15"/>
        <v>成新度</v>
      </c>
      <c r="AA33" s="1560" t="e">
        <f t="shared" si="3"/>
        <v>#N/A</v>
      </c>
      <c r="AB33" s="1560" t="e">
        <f t="shared" si="4"/>
        <v>#N/A</v>
      </c>
      <c r="AC33" s="1560"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57"/>
      <c r="Q34" s="1144" t="str">
        <f t="shared" si="11"/>
        <v>物业管理</v>
      </c>
      <c r="R34" s="1552" t="s">
        <v>8</v>
      </c>
      <c r="S34" s="1553">
        <f t="shared" si="12"/>
        <v>100</v>
      </c>
      <c r="T34" s="1552" t="s">
        <v>8</v>
      </c>
      <c r="U34" s="1553">
        <f t="shared" si="13"/>
        <v>100</v>
      </c>
      <c r="V34" s="1552" t="s">
        <v>8</v>
      </c>
      <c r="W34" s="1553">
        <f t="shared" si="14"/>
        <v>100</v>
      </c>
      <c r="X34" s="1554"/>
      <c r="Y34" s="3457"/>
      <c r="Z34" s="1143" t="str">
        <f t="shared" si="15"/>
        <v>物业管理</v>
      </c>
      <c r="AA34" s="1555">
        <f t="shared" si="3"/>
        <v>1</v>
      </c>
      <c r="AB34" s="1555">
        <f t="shared" si="4"/>
        <v>1</v>
      </c>
      <c r="AC34" s="1555">
        <f t="shared" si="5"/>
        <v>1</v>
      </c>
    </row>
    <row r="35" spans="1:29" ht="15">
      <c r="A35" s="593"/>
      <c r="B35" s="1878"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57" t="s">
        <v>550</v>
      </c>
      <c r="Q35" s="1556" t="str">
        <f t="shared" si="11"/>
        <v>市政基础设施</v>
      </c>
      <c r="R35" s="1557" t="s">
        <v>8</v>
      </c>
      <c r="S35" s="1558">
        <f t="shared" si="12"/>
        <v>100</v>
      </c>
      <c r="T35" s="1557" t="s">
        <v>8</v>
      </c>
      <c r="U35" s="1558">
        <f t="shared" si="13"/>
        <v>100</v>
      </c>
      <c r="V35" s="1557" t="s">
        <v>8</v>
      </c>
      <c r="W35" s="1558">
        <f t="shared" si="14"/>
        <v>100</v>
      </c>
      <c r="X35" s="1551"/>
      <c r="Y35" s="3457"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57"/>
      <c r="Q36" s="1556" t="str">
        <f t="shared" si="11"/>
        <v>内部装修</v>
      </c>
      <c r="R36" s="1557" t="s">
        <v>8</v>
      </c>
      <c r="S36" s="1558">
        <f t="shared" si="12"/>
        <v>100</v>
      </c>
      <c r="T36" s="1557" t="s">
        <v>8</v>
      </c>
      <c r="U36" s="1558">
        <f t="shared" si="13"/>
        <v>100</v>
      </c>
      <c r="V36" s="1557" t="s">
        <v>8</v>
      </c>
      <c r="W36" s="1558">
        <f t="shared" si="14"/>
        <v>100</v>
      </c>
      <c r="X36" s="1551"/>
      <c r="Y36" s="3457"/>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57"/>
      <c r="Q37" s="1556" t="str">
        <f t="shared" si="11"/>
        <v>内部装修状况</v>
      </c>
      <c r="R37" s="1557" t="s">
        <v>8</v>
      </c>
      <c r="S37" s="1558">
        <f t="shared" si="12"/>
        <v>100</v>
      </c>
      <c r="T37" s="1557" t="s">
        <v>8</v>
      </c>
      <c r="U37" s="1558">
        <f t="shared" si="13"/>
        <v>100</v>
      </c>
      <c r="V37" s="1557" t="s">
        <v>8</v>
      </c>
      <c r="W37" s="1558">
        <f t="shared" si="14"/>
        <v>100</v>
      </c>
      <c r="X37" s="1551"/>
      <c r="Y37" s="3457"/>
      <c r="Z37" s="1559" t="str">
        <f t="shared" si="15"/>
        <v>内部装修状况</v>
      </c>
      <c r="AA37" s="1560">
        <f t="shared" si="3"/>
        <v>1</v>
      </c>
      <c r="AB37" s="1560">
        <f t="shared" si="4"/>
        <v>1</v>
      </c>
      <c r="AC37" s="1560">
        <f t="shared" si="5"/>
        <v>1</v>
      </c>
    </row>
    <row r="38" spans="1:29" s="1332" customFormat="1" ht="15">
      <c r="A38" s="602"/>
      <c r="B38" s="875">
        <v>111</v>
      </c>
      <c r="C38" s="877"/>
      <c r="D38" s="539">
        <v>100</v>
      </c>
      <c r="E38" s="538"/>
      <c r="F38" s="574">
        <f>SUMIF(108:108,E38,109:109)-SUMIF(108:108,C38,109:109)+100</f>
        <v>100</v>
      </c>
      <c r="G38" s="877"/>
      <c r="H38" s="539">
        <f>SUMIF(108:108,G38,109:109)-SUMIF(108:108,C38,109:109)+100</f>
        <v>100</v>
      </c>
      <c r="I38" s="877"/>
      <c r="J38" s="539">
        <f>SUMIF(108:108,I38,109:1038)-SUMIF(108:108,C38,109:109)+100</f>
        <v>100</v>
      </c>
      <c r="K38" s="580"/>
      <c r="L38" s="2123"/>
      <c r="M38" s="2154"/>
      <c r="N38" s="2154"/>
      <c r="O38" s="2126"/>
      <c r="P38" s="3457"/>
      <c r="Q38" s="1588">
        <f t="shared" si="11"/>
        <v>111</v>
      </c>
      <c r="R38" s="1561" t="s">
        <v>8</v>
      </c>
      <c r="S38" s="1562">
        <f t="shared" si="12"/>
        <v>100</v>
      </c>
      <c r="T38" s="1561" t="s">
        <v>8</v>
      </c>
      <c r="U38" s="1562">
        <f t="shared" si="13"/>
        <v>100</v>
      </c>
      <c r="V38" s="1561" t="s">
        <v>8</v>
      </c>
      <c r="W38" s="1562">
        <f t="shared" si="14"/>
        <v>100</v>
      </c>
      <c r="X38" s="1563"/>
      <c r="Y38" s="3457"/>
      <c r="Z38" s="1564">
        <f t="shared" si="15"/>
        <v>111</v>
      </c>
      <c r="AA38" s="1560">
        <f t="shared" si="3"/>
        <v>1</v>
      </c>
      <c r="AB38" s="1560">
        <f t="shared" si="4"/>
        <v>1</v>
      </c>
      <c r="AC38" s="1560">
        <f t="shared" si="5"/>
        <v>1</v>
      </c>
    </row>
    <row r="39" spans="1:29" ht="15">
      <c r="A39" s="593"/>
      <c r="B39" s="875">
        <v>111</v>
      </c>
      <c r="C39" s="877"/>
      <c r="D39" s="539">
        <v>100</v>
      </c>
      <c r="E39" s="538"/>
      <c r="F39" s="574">
        <f>SUMIF(110:110,E39,111:111)-SUMIF(110:110,C39,111:111)+100</f>
        <v>100</v>
      </c>
      <c r="G39" s="877"/>
      <c r="H39" s="539">
        <f>SUMIF(110:110,G39,111:111)-SUMIF(110:110,C39,111:111)+100</f>
        <v>100</v>
      </c>
      <c r="I39" s="877"/>
      <c r="J39" s="539">
        <f>SUMIF(110:110,I39,111:111)-SUMIF(110:110,C39,111:111)+100</f>
        <v>100</v>
      </c>
      <c r="K39" s="580"/>
      <c r="L39" s="2125"/>
      <c r="M39" s="2117"/>
      <c r="N39" s="2117"/>
      <c r="O39" s="2124"/>
      <c r="P39" s="3457"/>
      <c r="Q39" s="1556">
        <f t="shared" si="11"/>
        <v>111</v>
      </c>
      <c r="R39" s="1557" t="s">
        <v>8</v>
      </c>
      <c r="S39" s="1558">
        <f t="shared" si="12"/>
        <v>100</v>
      </c>
      <c r="T39" s="1557" t="s">
        <v>8</v>
      </c>
      <c r="U39" s="1558">
        <f t="shared" si="13"/>
        <v>100</v>
      </c>
      <c r="V39" s="1557" t="s">
        <v>8</v>
      </c>
      <c r="W39" s="1558">
        <f t="shared" si="14"/>
        <v>100</v>
      </c>
      <c r="X39" s="1551"/>
      <c r="Y39" s="3457"/>
      <c r="Z39" s="1559">
        <f t="shared" si="15"/>
        <v>111</v>
      </c>
      <c r="AA39" s="1560">
        <f t="shared" si="3"/>
        <v>1</v>
      </c>
      <c r="AB39" s="1560">
        <f t="shared" si="4"/>
        <v>1</v>
      </c>
      <c r="AC39" s="1560">
        <f t="shared" si="5"/>
        <v>1</v>
      </c>
    </row>
    <row r="40" spans="1:29" ht="15.75" thickBot="1">
      <c r="A40" s="883"/>
      <c r="B40" s="543">
        <v>111</v>
      </c>
      <c r="C40" s="544"/>
      <c r="D40" s="545">
        <v>100</v>
      </c>
      <c r="E40" s="538"/>
      <c r="F40" s="865">
        <f>SUMIF(112:112,E40,113:113)-SUMIF(112:112,C40,113:113)+100</f>
        <v>100</v>
      </c>
      <c r="G40" s="877"/>
      <c r="H40" s="545">
        <f>SUMIF(112:112,G40,113:113)-SUMIF(112:112,C40,113:113)+100</f>
        <v>100</v>
      </c>
      <c r="I40" s="877"/>
      <c r="J40" s="545">
        <f>SUMIF(112:112,I40,113:113)-SUMIF(112:112,C40,113:113)+100</f>
        <v>100</v>
      </c>
      <c r="K40" s="580"/>
      <c r="L40" s="2125"/>
      <c r="M40" s="2117"/>
      <c r="N40" s="2117"/>
      <c r="O40" s="2124"/>
      <c r="P40" s="3538"/>
      <c r="Q40" s="1556">
        <f t="shared" si="11"/>
        <v>111</v>
      </c>
      <c r="R40" s="1557" t="s">
        <v>8</v>
      </c>
      <c r="S40" s="1558">
        <f t="shared" si="12"/>
        <v>100</v>
      </c>
      <c r="T40" s="1557" t="s">
        <v>8</v>
      </c>
      <c r="U40" s="1558">
        <f t="shared" si="13"/>
        <v>100</v>
      </c>
      <c r="V40" s="1557" t="s">
        <v>8</v>
      </c>
      <c r="W40" s="1558">
        <f t="shared" si="14"/>
        <v>100</v>
      </c>
      <c r="X40" s="1551"/>
      <c r="Y40" s="3538"/>
      <c r="Z40" s="1559">
        <f t="shared" si="15"/>
        <v>111</v>
      </c>
      <c r="AA40" s="1560">
        <f t="shared" si="3"/>
        <v>1</v>
      </c>
      <c r="AB40" s="1560">
        <f t="shared" si="4"/>
        <v>1</v>
      </c>
      <c r="AC40" s="1560">
        <f t="shared" si="5"/>
        <v>1</v>
      </c>
    </row>
    <row r="41" spans="1:29" ht="15">
      <c r="A41" s="606" t="s">
        <v>736</v>
      </c>
      <c r="B41" s="884"/>
      <c r="C41" s="2589" t="s">
        <v>1</v>
      </c>
      <c r="D41" s="2590"/>
      <c r="E41" s="2591"/>
      <c r="F41" s="2592"/>
      <c r="G41" s="2593"/>
      <c r="H41" s="2594"/>
      <c r="I41" s="2591"/>
      <c r="J41" s="2594"/>
      <c r="K41" s="1594"/>
      <c r="L41" s="2127"/>
      <c r="M41" s="2128"/>
      <c r="N41" s="2117"/>
      <c r="O41" s="2128"/>
      <c r="P41" s="3420" t="str">
        <f>A41</f>
        <v>成交单价（元/平方米）</v>
      </c>
      <c r="Q41" s="3420"/>
      <c r="R41" s="3537">
        <f>E41</f>
        <v>0</v>
      </c>
      <c r="S41" s="3537"/>
      <c r="T41" s="3537">
        <f>G41</f>
        <v>0</v>
      </c>
      <c r="U41" s="3537"/>
      <c r="V41" s="3537">
        <f>I41</f>
        <v>0</v>
      </c>
      <c r="W41" s="3537"/>
      <c r="X41" s="1543"/>
      <c r="Y41" s="1565"/>
      <c r="Z41" s="1543"/>
      <c r="AA41" s="1543"/>
      <c r="AB41" s="1543"/>
      <c r="AC41" s="1543"/>
    </row>
    <row r="42" spans="1:29" ht="15.75" thickBot="1">
      <c r="A42" s="614" t="s">
        <v>2757</v>
      </c>
      <c r="B42" s="885"/>
      <c r="C42" s="2595" t="e">
        <f>R43</f>
        <v>#DIV/0!</v>
      </c>
      <c r="D42" s="2596"/>
      <c r="E42" s="2597" t="e">
        <f>R42</f>
        <v>#DIV/0!</v>
      </c>
      <c r="F42" s="2597"/>
      <c r="G42" s="2595" t="e">
        <f>T42</f>
        <v>#DIV/0!</v>
      </c>
      <c r="H42" s="2596"/>
      <c r="I42" s="2597" t="e">
        <f>V42</f>
        <v>#DIV/0!</v>
      </c>
      <c r="J42" s="2596"/>
      <c r="K42" s="1595"/>
      <c r="L42" s="2127"/>
      <c r="M42" s="2128"/>
      <c r="N42" s="2117"/>
      <c r="O42" s="2128"/>
      <c r="P42" s="3420" t="str">
        <f>A42</f>
        <v>比较价格（元/平方米）</v>
      </c>
      <c r="Q42" s="3420"/>
      <c r="R42" s="3537" t="e">
        <f>IF(F1="售价",ROUND(PRODUCT(R41,AA7:AA40),0),ROUND(PRODUCT(R41,AA7:AA40),1))</f>
        <v>#DIV/0!</v>
      </c>
      <c r="S42" s="3537"/>
      <c r="T42" s="3537" t="e">
        <f>IF(F1="售价",ROUND(PRODUCT(T41,AB7:AB40),0),ROUND(PRODUCT(T41,AB7:AB40),1))</f>
        <v>#DIV/0!</v>
      </c>
      <c r="U42" s="3537"/>
      <c r="V42" s="3537" t="e">
        <f>IF(F1="售价",ROUND(PRODUCT(V41,AC7:AC40),0),ROUND(PRODUCT(V41,AC7:AC40),1))</f>
        <v>#DIV/0!</v>
      </c>
      <c r="W42" s="3537"/>
      <c r="X42" s="1543"/>
      <c r="Y42" s="1543"/>
      <c r="Z42" s="1543"/>
      <c r="AA42" s="1543"/>
      <c r="AB42" s="1543"/>
      <c r="AC42" s="1543"/>
    </row>
    <row r="43" spans="1:29" ht="15.75" thickBot="1">
      <c r="A43" s="620" t="s">
        <v>2933</v>
      </c>
      <c r="B43" s="621"/>
      <c r="C43" s="2598" t="e">
        <f>R43</f>
        <v>#DIV/0!</v>
      </c>
      <c r="D43" s="2598"/>
      <c r="E43" s="2598"/>
      <c r="F43" s="2598"/>
      <c r="G43" s="2598"/>
      <c r="H43" s="2598"/>
      <c r="I43" s="2598"/>
      <c r="J43" s="2598"/>
      <c r="K43" s="1596"/>
      <c r="L43" s="2127"/>
      <c r="M43" s="2128"/>
      <c r="N43" s="2128"/>
      <c r="O43" s="2128"/>
      <c r="P43" s="3417" t="str">
        <f>A43</f>
        <v>估价对象XX用房的比较价格（楼面单价，元/平方米）</v>
      </c>
      <c r="Q43" s="3418"/>
      <c r="R43" s="3536" t="e">
        <f>IF(F1="售价",ROUND(AVERAGE(R42:V42),0),ROUND(AVERAGE(R42:V42),1))</f>
        <v>#DIV/0!</v>
      </c>
      <c r="S43" s="3536"/>
      <c r="T43" s="3536"/>
      <c r="U43" s="3536"/>
      <c r="V43" s="3536"/>
      <c r="W43" s="3536"/>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4" t="s">
        <v>529</v>
      </c>
      <c r="B52" s="645"/>
      <c r="C52" s="2755" t="str">
        <f>YEAR(C7)&amp;"-"&amp;MONTH(C7)</f>
        <v>2020-3</v>
      </c>
      <c r="D52" s="2757">
        <f>EDATE(C52,-1)</f>
        <v>43862</v>
      </c>
      <c r="E52" s="2757">
        <f t="shared" ref="E52:O52" si="16">EDATE(D52,-1)</f>
        <v>43831</v>
      </c>
      <c r="F52" s="2757">
        <f t="shared" si="16"/>
        <v>43800</v>
      </c>
      <c r="G52" s="2757">
        <f t="shared" si="16"/>
        <v>43770</v>
      </c>
      <c r="H52" s="2757">
        <f t="shared" si="16"/>
        <v>43739</v>
      </c>
      <c r="I52" s="2757">
        <f t="shared" si="16"/>
        <v>43709</v>
      </c>
      <c r="J52" s="2757">
        <f t="shared" si="16"/>
        <v>43678</v>
      </c>
      <c r="K52" s="2757">
        <f t="shared" si="16"/>
        <v>43647</v>
      </c>
      <c r="L52" s="2757">
        <f t="shared" si="16"/>
        <v>43617</v>
      </c>
      <c r="M52" s="2757">
        <f t="shared" si="16"/>
        <v>43586</v>
      </c>
      <c r="N52" s="2757">
        <f t="shared" si="16"/>
        <v>43556</v>
      </c>
      <c r="O52" s="2757">
        <f t="shared" si="16"/>
        <v>43525</v>
      </c>
      <c r="P52" s="2143"/>
      <c r="Q52" s="2144"/>
      <c r="R52" s="2144"/>
      <c r="S52" s="2144"/>
      <c r="T52" s="2144"/>
      <c r="U52" s="2144"/>
      <c r="V52" s="2144"/>
      <c r="W52" s="2144"/>
      <c r="X52" s="2144"/>
      <c r="Y52" s="2144"/>
      <c r="Z52" s="2144"/>
      <c r="AA52" s="2144"/>
      <c r="AB52" s="2144"/>
      <c r="AC52" s="2144"/>
    </row>
    <row r="53" spans="1:29" s="1213"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3"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3"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2555</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2556</v>
      </c>
      <c r="C76" s="2560" t="s">
        <v>2557</v>
      </c>
      <c r="D76" s="2560" t="s">
        <v>2558</v>
      </c>
      <c r="E76" s="2560" t="s">
        <v>2559</v>
      </c>
      <c r="F76" s="2560" t="s">
        <v>2560</v>
      </c>
      <c r="G76" s="2560" t="s">
        <v>2561</v>
      </c>
      <c r="H76" s="932"/>
      <c r="I76" s="932"/>
      <c r="J76" s="932"/>
      <c r="K76" s="932"/>
      <c r="L76" s="932"/>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8"/>
      <c r="B80" s="672">
        <f>B25</f>
        <v>111</v>
      </c>
      <c r="C80" s="687"/>
      <c r="D80" s="687"/>
      <c r="E80" s="687"/>
      <c r="F80" s="687"/>
      <c r="G80" s="687"/>
      <c r="H80" s="687"/>
      <c r="I80" s="687"/>
      <c r="J80" s="687"/>
      <c r="K80" s="687"/>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8"/>
      <c r="B82" s="672">
        <f>B26</f>
        <v>111</v>
      </c>
      <c r="C82" s="687"/>
      <c r="D82" s="687"/>
      <c r="E82" s="687"/>
      <c r="F82" s="687"/>
      <c r="G82" s="687"/>
      <c r="H82" s="687"/>
      <c r="I82" s="687"/>
      <c r="J82" s="687"/>
      <c r="K82" s="687"/>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6"/>
      <c r="B84" s="672">
        <f>B27</f>
        <v>111</v>
      </c>
      <c r="C84" s="687"/>
      <c r="D84" s="687"/>
      <c r="E84" s="687"/>
      <c r="F84" s="687"/>
      <c r="G84" s="687"/>
      <c r="H84" s="687"/>
      <c r="I84" s="687"/>
      <c r="J84" s="687"/>
      <c r="K84" s="687"/>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0"/>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2554</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4"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IF(B37="元/平方米",C39,ROUND(B2*10000/D3,0))</f>
        <v>#DIV/0!</v>
      </c>
      <c r="C3" s="851" t="s">
        <v>796</v>
      </c>
      <c r="D3" s="850">
        <f>SUMIF('数据-汇总表'!$C19:$C33,D1,'数据-汇总表'!$E19:$E33)</f>
        <v>0</v>
      </c>
      <c r="E3" s="1831" t="s">
        <v>2074</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26" t="s">
        <v>798</v>
      </c>
      <c r="D4" s="3427"/>
      <c r="E4" s="3426" t="s">
        <v>799</v>
      </c>
      <c r="F4" s="3427"/>
      <c r="G4" s="3426" t="s">
        <v>800</v>
      </c>
      <c r="H4" s="3427"/>
      <c r="I4" s="3426" t="s">
        <v>801</v>
      </c>
      <c r="J4" s="3427"/>
      <c r="K4" s="513" t="s">
        <v>802</v>
      </c>
      <c r="L4" s="2116"/>
      <c r="M4" s="2117"/>
      <c r="N4" s="2117"/>
      <c r="O4" s="2117"/>
      <c r="P4" s="3428" t="s">
        <v>803</v>
      </c>
      <c r="Q4" s="3429"/>
      <c r="R4" s="3434" t="s">
        <v>799</v>
      </c>
      <c r="S4" s="3435"/>
      <c r="T4" s="3434" t="s">
        <v>800</v>
      </c>
      <c r="U4" s="3435"/>
      <c r="V4" s="3421" t="s">
        <v>801</v>
      </c>
      <c r="W4" s="3421"/>
      <c r="X4" s="1551"/>
      <c r="Y4" s="3434" t="s">
        <v>803</v>
      </c>
      <c r="Z4" s="3435"/>
      <c r="AA4" s="3423" t="s">
        <v>799</v>
      </c>
      <c r="AB4" s="3424" t="s">
        <v>800</v>
      </c>
      <c r="AC4" s="3423" t="s">
        <v>801</v>
      </c>
    </row>
    <row r="5" spans="1:29" ht="15">
      <c r="A5" s="514"/>
      <c r="B5" s="515"/>
      <c r="C5" s="3442" t="s">
        <v>2927</v>
      </c>
      <c r="D5" s="3443"/>
      <c r="E5" s="3442" t="s">
        <v>2928</v>
      </c>
      <c r="F5" s="3443"/>
      <c r="G5" s="3442" t="s">
        <v>2929</v>
      </c>
      <c r="H5" s="3443"/>
      <c r="I5" s="3442" t="s">
        <v>2930</v>
      </c>
      <c r="J5" s="3443"/>
      <c r="K5" s="513"/>
      <c r="L5" s="2116"/>
      <c r="M5" s="2117"/>
      <c r="N5" s="2117"/>
      <c r="O5" s="2117"/>
      <c r="P5" s="3430"/>
      <c r="Q5" s="3431"/>
      <c r="R5" s="3436"/>
      <c r="S5" s="3437"/>
      <c r="T5" s="3436"/>
      <c r="U5" s="3437"/>
      <c r="V5" s="3421"/>
      <c r="W5" s="3421"/>
      <c r="X5" s="1551"/>
      <c r="Y5" s="3436"/>
      <c r="Z5" s="3437"/>
      <c r="AA5" s="3424"/>
      <c r="AB5" s="3424"/>
      <c r="AC5" s="3424"/>
    </row>
    <row r="6" spans="1:29" ht="15.75" thickBot="1">
      <c r="A6" s="516"/>
      <c r="B6" s="517"/>
      <c r="C6" s="3440" t="s">
        <v>2931</v>
      </c>
      <c r="D6" s="3441"/>
      <c r="E6" s="3444" t="s">
        <v>2931</v>
      </c>
      <c r="F6" s="3445"/>
      <c r="G6" s="3440" t="s">
        <v>2931</v>
      </c>
      <c r="H6" s="3441"/>
      <c r="I6" s="3440" t="s">
        <v>2931</v>
      </c>
      <c r="J6" s="3441"/>
      <c r="K6" s="513" t="s">
        <v>528</v>
      </c>
      <c r="L6" s="2116"/>
      <c r="M6" s="2117"/>
      <c r="N6" s="2117"/>
      <c r="O6" s="2117"/>
      <c r="P6" s="3432"/>
      <c r="Q6" s="3433"/>
      <c r="R6" s="3436"/>
      <c r="S6" s="3437"/>
      <c r="T6" s="3438"/>
      <c r="U6" s="3439"/>
      <c r="V6" s="3421"/>
      <c r="W6" s="3421"/>
      <c r="X6" s="1551"/>
      <c r="Y6" s="3438"/>
      <c r="Z6" s="3439"/>
      <c r="AA6" s="3425"/>
      <c r="AB6" s="3425"/>
      <c r="AC6" s="3425"/>
    </row>
    <row r="7" spans="1:29" s="1213" customFormat="1" ht="15.75" thickBot="1">
      <c r="A7" s="2864"/>
      <c r="B7" s="2871" t="s">
        <v>529</v>
      </c>
      <c r="C7" s="518">
        <f>'数据-取费表'!B2</f>
        <v>43920</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51" t="s">
        <v>530</v>
      </c>
      <c r="Q7" s="3453"/>
      <c r="R7" s="1552" t="s">
        <v>8</v>
      </c>
      <c r="S7" s="1553">
        <f t="shared" ref="S7:S14" si="0">F7</f>
        <v>0</v>
      </c>
      <c r="T7" s="1552" t="s">
        <v>8</v>
      </c>
      <c r="U7" s="1553">
        <f t="shared" ref="U7:U14" si="1">H7</f>
        <v>0</v>
      </c>
      <c r="V7" s="1552" t="s">
        <v>8</v>
      </c>
      <c r="W7" s="1553">
        <f t="shared" ref="W7:W14" si="2">J7</f>
        <v>0</v>
      </c>
      <c r="X7" s="1554"/>
      <c r="Y7" s="3451" t="s">
        <v>530</v>
      </c>
      <c r="Z7" s="3452"/>
      <c r="AA7" s="1555" t="e">
        <f>D7/F7</f>
        <v>#DIV/0!</v>
      </c>
      <c r="AB7" s="1555" t="e">
        <f>D7/H7</f>
        <v>#DIV/0!</v>
      </c>
      <c r="AC7" s="1555" t="e">
        <f>D7/J7</f>
        <v>#DIV/0!</v>
      </c>
    </row>
    <row r="8" spans="1:29" s="1213"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51" t="s">
        <v>533</v>
      </c>
      <c r="Q8" s="3452"/>
      <c r="R8" s="1552" t="s">
        <v>8</v>
      </c>
      <c r="S8" s="1553">
        <f t="shared" si="0"/>
        <v>0</v>
      </c>
      <c r="T8" s="1552" t="s">
        <v>8</v>
      </c>
      <c r="U8" s="1553">
        <f t="shared" si="1"/>
        <v>0</v>
      </c>
      <c r="V8" s="1552" t="s">
        <v>8</v>
      </c>
      <c r="W8" s="1553">
        <f t="shared" si="2"/>
        <v>0</v>
      </c>
      <c r="X8" s="1554"/>
      <c r="Y8" s="3451" t="s">
        <v>533</v>
      </c>
      <c r="Z8" s="3452"/>
      <c r="AA8" s="1555" t="e">
        <f t="shared" ref="AA8:AA36" si="3">D8/F8</f>
        <v>#DIV/0!</v>
      </c>
      <c r="AB8" s="1555" t="e">
        <f t="shared" ref="AB8:AB36" si="4">D8/H8</f>
        <v>#DIV/0!</v>
      </c>
      <c r="AC8" s="1555" t="e">
        <f t="shared" ref="AC8:AC36" si="5">D8/J8</f>
        <v>#DIV/0!</v>
      </c>
    </row>
    <row r="9" spans="1:29" s="1213" customFormat="1" ht="15">
      <c r="A9" s="2866"/>
      <c r="B9" s="2873"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20" t="s">
        <v>535</v>
      </c>
      <c r="Q9" s="1144" t="str">
        <f t="shared" ref="Q9:Q14" si="6">B9</f>
        <v>用途</v>
      </c>
      <c r="R9" s="1552" t="s">
        <v>8</v>
      </c>
      <c r="S9" s="1553">
        <f t="shared" si="0"/>
        <v>100</v>
      </c>
      <c r="T9" s="1552" t="s">
        <v>8</v>
      </c>
      <c r="U9" s="1553">
        <f t="shared" si="1"/>
        <v>100</v>
      </c>
      <c r="V9" s="1552" t="s">
        <v>8</v>
      </c>
      <c r="W9" s="1553">
        <f t="shared" si="2"/>
        <v>100</v>
      </c>
      <c r="X9" s="1554"/>
      <c r="Y9" s="3366" t="s">
        <v>536</v>
      </c>
      <c r="Z9" s="1143" t="str">
        <f t="shared" ref="Z9:Z14" si="7">Q9</f>
        <v>用途</v>
      </c>
      <c r="AA9" s="1555">
        <f t="shared" si="3"/>
        <v>1</v>
      </c>
      <c r="AB9" s="1555">
        <f t="shared" si="4"/>
        <v>1</v>
      </c>
      <c r="AC9" s="1555">
        <f t="shared" si="5"/>
        <v>1</v>
      </c>
    </row>
    <row r="10" spans="1:29" s="1331" customFormat="1" ht="27">
      <c r="A10" s="2867"/>
      <c r="B10" s="2872"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20"/>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20"/>
      <c r="Q11" s="1144">
        <f t="shared" si="6"/>
        <v>111</v>
      </c>
      <c r="R11" s="1552" t="s">
        <v>8</v>
      </c>
      <c r="S11" s="1553">
        <f t="shared" si="0"/>
        <v>100</v>
      </c>
      <c r="T11" s="1552" t="s">
        <v>8</v>
      </c>
      <c r="U11" s="1553">
        <f t="shared" si="1"/>
        <v>100</v>
      </c>
      <c r="V11" s="1552" t="s">
        <v>8</v>
      </c>
      <c r="W11" s="1553">
        <f t="shared" si="2"/>
        <v>100</v>
      </c>
      <c r="X11" s="1554"/>
      <c r="Y11" s="3366"/>
      <c r="Z11" s="1143">
        <f t="shared" si="7"/>
        <v>111</v>
      </c>
      <c r="AA11" s="1555">
        <f t="shared" si="3"/>
        <v>1</v>
      </c>
      <c r="AB11" s="1555">
        <f t="shared" si="4"/>
        <v>1</v>
      </c>
      <c r="AC11" s="1555">
        <f t="shared" si="5"/>
        <v>1</v>
      </c>
    </row>
    <row r="12" spans="1:29" s="1213"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20"/>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20"/>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85.5">
      <c r="A14" s="2862" t="s">
        <v>2751</v>
      </c>
      <c r="B14" s="546" t="s">
        <v>543</v>
      </c>
      <c r="C14" s="918"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25"/>
      <c r="M14" s="2117"/>
      <c r="N14" s="2117"/>
      <c r="O14" s="2124"/>
      <c r="P14" s="3454" t="s">
        <v>540</v>
      </c>
      <c r="Q14" s="1556" t="str">
        <f t="shared" si="6"/>
        <v>交通便捷度</v>
      </c>
      <c r="R14" s="1557" t="s">
        <v>8</v>
      </c>
      <c r="S14" s="1558">
        <f t="shared" si="0"/>
        <v>100</v>
      </c>
      <c r="T14" s="1557" t="s">
        <v>8</v>
      </c>
      <c r="U14" s="1558">
        <f t="shared" si="1"/>
        <v>100</v>
      </c>
      <c r="V14" s="1557" t="s">
        <v>8</v>
      </c>
      <c r="W14" s="1558">
        <f t="shared" si="2"/>
        <v>100</v>
      </c>
      <c r="X14" s="1551"/>
      <c r="Y14" s="3454" t="s">
        <v>540</v>
      </c>
      <c r="Z14" s="1559" t="str">
        <f t="shared" si="7"/>
        <v>交通便捷度</v>
      </c>
      <c r="AA14" s="1560">
        <f t="shared" si="3"/>
        <v>1</v>
      </c>
      <c r="AB14" s="1560">
        <f t="shared" si="4"/>
        <v>1</v>
      </c>
      <c r="AC14" s="1560">
        <f t="shared" si="5"/>
        <v>1</v>
      </c>
    </row>
    <row r="15" spans="1:29" ht="15">
      <c r="A15" s="514"/>
      <c r="B15" s="921"/>
      <c r="C15" s="575"/>
      <c r="D15" s="554"/>
      <c r="E15" s="575"/>
      <c r="F15" s="556"/>
      <c r="G15" s="575"/>
      <c r="H15" s="558"/>
      <c r="I15" s="575"/>
      <c r="J15" s="554"/>
      <c r="K15" s="896"/>
      <c r="L15" s="2125"/>
      <c r="M15" s="2117"/>
      <c r="N15" s="2117"/>
      <c r="O15" s="2124"/>
      <c r="P15" s="3455"/>
      <c r="Q15" s="1556"/>
      <c r="R15" s="1557"/>
      <c r="S15" s="1558"/>
      <c r="T15" s="1557"/>
      <c r="U15" s="1558"/>
      <c r="V15" s="1557"/>
      <c r="W15" s="1558"/>
      <c r="X15" s="1551"/>
      <c r="Y15" s="3455"/>
      <c r="Z15" s="1559"/>
      <c r="AA15" s="1560">
        <v>1</v>
      </c>
      <c r="AB15" s="1560">
        <v>1</v>
      </c>
      <c r="AC15" s="1560">
        <v>1</v>
      </c>
    </row>
    <row r="16" spans="1:29" ht="42.75">
      <c r="A16" s="514"/>
      <c r="B16" s="2565"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25"/>
      <c r="M16" s="2117"/>
      <c r="N16" s="2117"/>
      <c r="O16" s="2124"/>
      <c r="P16" s="3455"/>
      <c r="Q16" s="1556" t="str">
        <f>B16</f>
        <v>公共配套设施</v>
      </c>
      <c r="R16" s="1557" t="s">
        <v>8</v>
      </c>
      <c r="S16" s="1558">
        <f>F16</f>
        <v>100</v>
      </c>
      <c r="T16" s="1557" t="s">
        <v>8</v>
      </c>
      <c r="U16" s="1558">
        <f>H16</f>
        <v>100</v>
      </c>
      <c r="V16" s="1557" t="s">
        <v>8</v>
      </c>
      <c r="W16" s="1558">
        <f>J16</f>
        <v>100</v>
      </c>
      <c r="X16" s="1551"/>
      <c r="Y16" s="3455"/>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6"/>
      <c r="L17" s="2125"/>
      <c r="M17" s="2117"/>
      <c r="N17" s="2117"/>
      <c r="O17" s="2124"/>
      <c r="P17" s="3455"/>
      <c r="Q17" s="1556"/>
      <c r="R17" s="1557"/>
      <c r="S17" s="1558"/>
      <c r="T17" s="1557"/>
      <c r="U17" s="1558"/>
      <c r="V17" s="1557"/>
      <c r="W17" s="1558"/>
      <c r="X17" s="1551"/>
      <c r="Y17" s="3455"/>
      <c r="Z17" s="1559"/>
      <c r="AA17" s="1560">
        <v>1</v>
      </c>
      <c r="AB17" s="1560">
        <v>1</v>
      </c>
      <c r="AC17" s="1560">
        <v>1</v>
      </c>
    </row>
    <row r="18" spans="1:29" ht="28.5">
      <c r="A18" s="514"/>
      <c r="B18" s="2553"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25"/>
      <c r="M18" s="2117"/>
      <c r="N18" s="2117"/>
      <c r="O18" s="2124"/>
      <c r="P18" s="3455"/>
      <c r="Q18" s="2541" t="str">
        <f>B18</f>
        <v>基础设施水平</v>
      </c>
      <c r="R18" s="1557" t="s">
        <v>8</v>
      </c>
      <c r="S18" s="1558">
        <f>F18</f>
        <v>100</v>
      </c>
      <c r="T18" s="1557" t="s">
        <v>8</v>
      </c>
      <c r="U18" s="1558">
        <f>H18</f>
        <v>100</v>
      </c>
      <c r="V18" s="1557" t="s">
        <v>8</v>
      </c>
      <c r="W18" s="1558">
        <f>J18</f>
        <v>100</v>
      </c>
      <c r="X18" s="2543"/>
      <c r="Y18" s="3455"/>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455"/>
      <c r="Q19" s="2541"/>
      <c r="R19" s="1557"/>
      <c r="S19" s="1558"/>
      <c r="T19" s="1557"/>
      <c r="U19" s="1558"/>
      <c r="V19" s="1557"/>
      <c r="W19" s="1558"/>
      <c r="X19" s="2543"/>
      <c r="Y19" s="3455"/>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25"/>
      <c r="M20" s="2117"/>
      <c r="N20" s="2117"/>
      <c r="O20" s="2124"/>
      <c r="P20" s="3455"/>
      <c r="Q20" s="1556" t="str">
        <f>B20</f>
        <v>自然及人文环境</v>
      </c>
      <c r="R20" s="1557" t="s">
        <v>8</v>
      </c>
      <c r="S20" s="1558">
        <f>F20</f>
        <v>100</v>
      </c>
      <c r="T20" s="1557" t="s">
        <v>8</v>
      </c>
      <c r="U20" s="1558">
        <f>H20</f>
        <v>100</v>
      </c>
      <c r="V20" s="1557" t="s">
        <v>8</v>
      </c>
      <c r="W20" s="1558">
        <f>J20</f>
        <v>100</v>
      </c>
      <c r="X20" s="1551"/>
      <c r="Y20" s="3455"/>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6"/>
      <c r="L21" s="2125"/>
      <c r="M21" s="2117"/>
      <c r="N21" s="2117"/>
      <c r="O21" s="2124"/>
      <c r="P21" s="3455"/>
      <c r="Q21" s="1556"/>
      <c r="R21" s="1557"/>
      <c r="S21" s="1558"/>
      <c r="T21" s="1557"/>
      <c r="U21" s="1558"/>
      <c r="V21" s="1557"/>
      <c r="W21" s="1558"/>
      <c r="X21" s="1551"/>
      <c r="Y21" s="3455"/>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55"/>
      <c r="Q22" s="1556" t="str">
        <f>B22</f>
        <v>楼层</v>
      </c>
      <c r="R22" s="1557" t="s">
        <v>8</v>
      </c>
      <c r="S22" s="1558">
        <f>F22</f>
        <v>100</v>
      </c>
      <c r="T22" s="1557" t="s">
        <v>8</v>
      </c>
      <c r="U22" s="1558">
        <f>H22</f>
        <v>100</v>
      </c>
      <c r="V22" s="1557" t="s">
        <v>8</v>
      </c>
      <c r="W22" s="1558">
        <f>J22</f>
        <v>100</v>
      </c>
      <c r="X22" s="1551"/>
      <c r="Y22" s="3455"/>
      <c r="Z22" s="1559" t="str">
        <f>Q22</f>
        <v>楼层</v>
      </c>
      <c r="AA22" s="1560">
        <f t="shared" si="3"/>
        <v>1</v>
      </c>
      <c r="AB22" s="1560">
        <f t="shared" si="4"/>
        <v>1</v>
      </c>
      <c r="AC22" s="1560">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55"/>
      <c r="Q23" s="1556">
        <f>B23</f>
        <v>111</v>
      </c>
      <c r="R23" s="1557" t="s">
        <v>8</v>
      </c>
      <c r="S23" s="1558">
        <f>F23</f>
        <v>100</v>
      </c>
      <c r="T23" s="1557" t="s">
        <v>8</v>
      </c>
      <c r="U23" s="1558">
        <f>H23</f>
        <v>100</v>
      </c>
      <c r="V23" s="1557" t="s">
        <v>8</v>
      </c>
      <c r="W23" s="1558">
        <f>J23</f>
        <v>100</v>
      </c>
      <c r="X23" s="1551"/>
      <c r="Y23" s="3455"/>
      <c r="Z23" s="1559">
        <f>Q23</f>
        <v>111</v>
      </c>
      <c r="AA23" s="1560">
        <f t="shared" si="3"/>
        <v>1</v>
      </c>
      <c r="AB23" s="1560">
        <f t="shared" si="4"/>
        <v>1</v>
      </c>
      <c r="AC23" s="1560">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55"/>
      <c r="Q24" s="1556">
        <f t="shared" ref="Q24:Q36" si="11">B24</f>
        <v>111</v>
      </c>
      <c r="R24" s="1557" t="s">
        <v>8</v>
      </c>
      <c r="S24" s="1558">
        <f>F24</f>
        <v>100</v>
      </c>
      <c r="T24" s="1557" t="s">
        <v>8</v>
      </c>
      <c r="U24" s="1558">
        <f>H24</f>
        <v>100</v>
      </c>
      <c r="V24" s="1557" t="s">
        <v>8</v>
      </c>
      <c r="W24" s="1558">
        <f>J24</f>
        <v>100</v>
      </c>
      <c r="X24" s="1551"/>
      <c r="Y24" s="3455"/>
      <c r="Z24" s="1559">
        <f>Q24</f>
        <v>111</v>
      </c>
      <c r="AA24" s="1560">
        <f t="shared" si="3"/>
        <v>1</v>
      </c>
      <c r="AB24" s="1560">
        <f t="shared" si="4"/>
        <v>1</v>
      </c>
      <c r="AC24" s="1560">
        <f t="shared" si="5"/>
        <v>1</v>
      </c>
    </row>
    <row r="25" spans="1:29" s="1213" customFormat="1" ht="15.75"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18"/>
      <c r="M25" s="2119"/>
      <c r="N25" s="2119"/>
      <c r="O25" s="2120"/>
      <c r="P25" s="3455"/>
      <c r="Q25" s="1144">
        <f t="shared" si="11"/>
        <v>111</v>
      </c>
      <c r="R25" s="1552" t="s">
        <v>8</v>
      </c>
      <c r="S25" s="1553">
        <f>F25</f>
        <v>100</v>
      </c>
      <c r="T25" s="1552" t="s">
        <v>8</v>
      </c>
      <c r="U25" s="1553">
        <f>H25</f>
        <v>100</v>
      </c>
      <c r="V25" s="1552" t="s">
        <v>8</v>
      </c>
      <c r="W25" s="1553">
        <f>J25</f>
        <v>100</v>
      </c>
      <c r="X25" s="1554"/>
      <c r="Y25" s="3455"/>
      <c r="Z25" s="1143">
        <f>Q25</f>
        <v>111</v>
      </c>
      <c r="AA25" s="1560">
        <f>D25/F25</f>
        <v>1</v>
      </c>
      <c r="AB25" s="1560">
        <f>D25/H25</f>
        <v>1</v>
      </c>
      <c r="AC25" s="1560">
        <f>D25/J25</f>
        <v>1</v>
      </c>
    </row>
    <row r="26" spans="1:29" ht="15">
      <c r="A26" s="2860" t="s">
        <v>2752</v>
      </c>
      <c r="B26" s="170" t="s">
        <v>806</v>
      </c>
      <c r="C26" s="925">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56"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57" t="s">
        <v>550</v>
      </c>
      <c r="Z26" s="1559" t="str">
        <f t="shared" ref="Z26:Z36" si="15">Q26</f>
        <v>配套类型</v>
      </c>
      <c r="AA26" s="1560">
        <f t="shared" si="3"/>
        <v>1</v>
      </c>
      <c r="AB26" s="1560">
        <f t="shared" si="4"/>
        <v>1</v>
      </c>
      <c r="AC26" s="1560">
        <f t="shared" si="5"/>
        <v>1</v>
      </c>
    </row>
    <row r="27" spans="1:29" s="1332" customFormat="1" ht="15">
      <c r="A27" s="926"/>
      <c r="B27" s="581" t="s">
        <v>807</v>
      </c>
      <c r="C27" s="927"/>
      <c r="D27" s="254">
        <v>100</v>
      </c>
      <c r="E27" s="927"/>
      <c r="F27" s="574">
        <f>SUMIF(81:81,E27,82:82)-SUMIF(81:81,C27,82:82)+100</f>
        <v>100</v>
      </c>
      <c r="G27" s="927"/>
      <c r="H27" s="539">
        <f>SUMIF(81:81,G27,82:82)-SUMIF(81:81,C27,82:82)+100</f>
        <v>100</v>
      </c>
      <c r="I27" s="927"/>
      <c r="J27" s="539">
        <f>SUMIF(81:81,I27,82:82)-SUMIF(81:81,C27,82:82)+100</f>
        <v>100</v>
      </c>
      <c r="K27" s="580"/>
      <c r="L27" s="2123"/>
      <c r="M27" s="2154"/>
      <c r="N27" s="2154"/>
      <c r="O27" s="2126"/>
      <c r="P27" s="3457"/>
      <c r="Q27" s="1588" t="str">
        <f t="shared" si="11"/>
        <v>项目停车位配比</v>
      </c>
      <c r="R27" s="1561" t="s">
        <v>8</v>
      </c>
      <c r="S27" s="1562">
        <f t="shared" si="12"/>
        <v>100</v>
      </c>
      <c r="T27" s="1561" t="s">
        <v>8</v>
      </c>
      <c r="U27" s="1562">
        <f t="shared" si="13"/>
        <v>100</v>
      </c>
      <c r="V27" s="1561" t="s">
        <v>8</v>
      </c>
      <c r="W27" s="1562">
        <f t="shared" si="14"/>
        <v>100</v>
      </c>
      <c r="X27" s="1563"/>
      <c r="Y27" s="3457"/>
      <c r="Z27" s="1564" t="str">
        <f t="shared" si="15"/>
        <v>项目停车位配比</v>
      </c>
      <c r="AA27" s="1560">
        <f t="shared" si="3"/>
        <v>1</v>
      </c>
      <c r="AB27" s="1560">
        <f t="shared" si="4"/>
        <v>1</v>
      </c>
      <c r="AC27" s="1560">
        <f t="shared" si="5"/>
        <v>1</v>
      </c>
    </row>
    <row r="28" spans="1:29" ht="15">
      <c r="A28" s="928"/>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57"/>
      <c r="Q28" s="1556" t="str">
        <f t="shared" si="11"/>
        <v>公共部分装修</v>
      </c>
      <c r="R28" s="1557" t="s">
        <v>8</v>
      </c>
      <c r="S28" s="1558">
        <f t="shared" si="12"/>
        <v>100</v>
      </c>
      <c r="T28" s="1557" t="s">
        <v>8</v>
      </c>
      <c r="U28" s="1558">
        <f t="shared" si="13"/>
        <v>100</v>
      </c>
      <c r="V28" s="1557" t="s">
        <v>8</v>
      </c>
      <c r="W28" s="1558">
        <f t="shared" si="14"/>
        <v>100</v>
      </c>
      <c r="X28" s="1551"/>
      <c r="Y28" s="3457"/>
      <c r="Z28" s="1559" t="str">
        <f t="shared" si="15"/>
        <v>公共部分装修</v>
      </c>
      <c r="AA28" s="1560">
        <f t="shared" si="3"/>
        <v>1</v>
      </c>
      <c r="AB28" s="1560">
        <f t="shared" si="4"/>
        <v>1</v>
      </c>
      <c r="AC28" s="1560">
        <f t="shared" si="5"/>
        <v>1</v>
      </c>
    </row>
    <row r="29" spans="1:29" ht="15">
      <c r="A29" s="928"/>
      <c r="B29" s="581" t="s">
        <v>809</v>
      </c>
      <c r="C29" s="877"/>
      <c r="D29" s="539">
        <v>100</v>
      </c>
      <c r="E29" s="880"/>
      <c r="F29" s="574" t="e">
        <f>LOOKUP(E29,86:86,87:87)-LOOKUP(C29,86:86,87:87)+100</f>
        <v>#N/A</v>
      </c>
      <c r="G29" s="880"/>
      <c r="H29" s="574" t="e">
        <f>LOOKUP(G29,86:86,87:87)-LOOKUP(C29,86:86,87:87)+100</f>
        <v>#N/A</v>
      </c>
      <c r="I29" s="880"/>
      <c r="J29" s="539" t="e">
        <f>LOOKUP(I29,86:86,87:87)-LOOKUP(C29,86:86,87:87)+100</f>
        <v>#N/A</v>
      </c>
      <c r="K29" s="583"/>
      <c r="L29" s="2125"/>
      <c r="M29" s="2117"/>
      <c r="N29" s="2117"/>
      <c r="O29" s="2124"/>
      <c r="P29" s="3457"/>
      <c r="Q29" s="1556" t="str">
        <f t="shared" si="11"/>
        <v>成新率</v>
      </c>
      <c r="R29" s="1557" t="s">
        <v>8</v>
      </c>
      <c r="S29" s="1558" t="e">
        <f t="shared" si="12"/>
        <v>#N/A</v>
      </c>
      <c r="T29" s="1557" t="s">
        <v>8</v>
      </c>
      <c r="U29" s="1558" t="e">
        <f t="shared" si="13"/>
        <v>#N/A</v>
      </c>
      <c r="V29" s="1557" t="s">
        <v>8</v>
      </c>
      <c r="W29" s="1558" t="e">
        <f t="shared" si="14"/>
        <v>#N/A</v>
      </c>
      <c r="X29" s="1551"/>
      <c r="Y29" s="3457"/>
      <c r="Z29" s="1559" t="str">
        <f t="shared" si="15"/>
        <v>成新率</v>
      </c>
      <c r="AA29" s="1560" t="e">
        <f t="shared" si="3"/>
        <v>#N/A</v>
      </c>
      <c r="AB29" s="1560" t="e">
        <f t="shared" si="4"/>
        <v>#N/A</v>
      </c>
      <c r="AC29" s="1560" t="e">
        <f t="shared" si="5"/>
        <v>#N/A</v>
      </c>
    </row>
    <row r="30" spans="1:29" ht="15">
      <c r="A30" s="928"/>
      <c r="B30" s="581" t="s">
        <v>810</v>
      </c>
      <c r="C30" s="929"/>
      <c r="D30" s="539">
        <v>100</v>
      </c>
      <c r="E30" s="929"/>
      <c r="F30" s="574">
        <f>SUMIF(88:88,E30,89:89)-SUMIF(88:88,C30,89:89)+100</f>
        <v>100</v>
      </c>
      <c r="G30" s="929"/>
      <c r="H30" s="539">
        <f>SUMIF(88:88,E30,89:89)-SUMIF(88:88,C30,89:89)+100</f>
        <v>100</v>
      </c>
      <c r="I30" s="929"/>
      <c r="J30" s="539">
        <f>SUMIF(88:88,E30,89:89)-SUMIF(88:88,C30,89:89)+100</f>
        <v>100</v>
      </c>
      <c r="K30" s="583"/>
      <c r="L30" s="2125"/>
      <c r="M30" s="2117"/>
      <c r="N30" s="2117"/>
      <c r="O30" s="2124"/>
      <c r="P30" s="3457"/>
      <c r="Q30" s="1556" t="str">
        <f t="shared" si="11"/>
        <v>物业等级</v>
      </c>
      <c r="R30" s="1557" t="s">
        <v>8</v>
      </c>
      <c r="S30" s="1558">
        <f t="shared" si="12"/>
        <v>100</v>
      </c>
      <c r="T30" s="1557" t="s">
        <v>8</v>
      </c>
      <c r="U30" s="1558">
        <f t="shared" si="13"/>
        <v>100</v>
      </c>
      <c r="V30" s="1557" t="s">
        <v>8</v>
      </c>
      <c r="W30" s="1558">
        <f t="shared" si="14"/>
        <v>100</v>
      </c>
      <c r="X30" s="1551"/>
      <c r="Y30" s="3457"/>
      <c r="Z30" s="1559" t="str">
        <f t="shared" si="15"/>
        <v>物业等级</v>
      </c>
      <c r="AA30" s="1560">
        <f t="shared" si="3"/>
        <v>1</v>
      </c>
      <c r="AB30" s="1560">
        <f t="shared" si="4"/>
        <v>1</v>
      </c>
      <c r="AC30" s="1560">
        <f t="shared" si="5"/>
        <v>1</v>
      </c>
    </row>
    <row r="31" spans="1:29" s="1213" customFormat="1" ht="15">
      <c r="A31" s="930"/>
      <c r="B31" s="581" t="s">
        <v>811</v>
      </c>
      <c r="C31" s="877"/>
      <c r="D31" s="254">
        <v>100</v>
      </c>
      <c r="E31" s="877"/>
      <c r="F31" s="574" t="e">
        <f>LOOKUP(E31,91:91,92:92)-LOOKUP(C31,91:91,92:92)+100</f>
        <v>#N/A</v>
      </c>
      <c r="G31" s="877"/>
      <c r="H31" s="539" t="e">
        <f>LOOKUP(G31,91:91,92:92)-LOOKUP(C31,91:91,92:92)+100</f>
        <v>#N/A</v>
      </c>
      <c r="I31" s="877"/>
      <c r="J31" s="539" t="e">
        <f>LOOKUP(I31,91:91,92:92)-LOOKUP(C31,91:91,92:92)+100</f>
        <v>#N/A</v>
      </c>
      <c r="K31" s="583"/>
      <c r="L31" s="2118"/>
      <c r="M31" s="2119"/>
      <c r="N31" s="2119"/>
      <c r="O31" s="2120"/>
      <c r="P31" s="3457"/>
      <c r="Q31" s="1144" t="str">
        <f t="shared" si="11"/>
        <v>停车位面积</v>
      </c>
      <c r="R31" s="1552" t="s">
        <v>8</v>
      </c>
      <c r="S31" s="1553" t="e">
        <f t="shared" si="12"/>
        <v>#N/A</v>
      </c>
      <c r="T31" s="1552" t="s">
        <v>8</v>
      </c>
      <c r="U31" s="1553" t="e">
        <f t="shared" si="13"/>
        <v>#N/A</v>
      </c>
      <c r="V31" s="1552" t="s">
        <v>8</v>
      </c>
      <c r="W31" s="1553" t="e">
        <f t="shared" si="14"/>
        <v>#N/A</v>
      </c>
      <c r="X31" s="1554"/>
      <c r="Y31" s="3457"/>
      <c r="Z31" s="1143" t="str">
        <f t="shared" si="15"/>
        <v>停车位面积</v>
      </c>
      <c r="AA31" s="1555" t="e">
        <f t="shared" si="3"/>
        <v>#N/A</v>
      </c>
      <c r="AB31" s="1555" t="e">
        <f t="shared" si="4"/>
        <v>#N/A</v>
      </c>
      <c r="AC31" s="1555" t="e">
        <f t="shared" si="5"/>
        <v>#N/A</v>
      </c>
    </row>
    <row r="32" spans="1:29" ht="15">
      <c r="A32" s="928"/>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57" t="s">
        <v>550</v>
      </c>
      <c r="Q32" s="1556" t="str">
        <f t="shared" si="11"/>
        <v>车位类型</v>
      </c>
      <c r="R32" s="1557" t="s">
        <v>8</v>
      </c>
      <c r="S32" s="1558">
        <f t="shared" si="12"/>
        <v>100</v>
      </c>
      <c r="T32" s="1557" t="s">
        <v>8</v>
      </c>
      <c r="U32" s="1558">
        <f t="shared" si="13"/>
        <v>100</v>
      </c>
      <c r="V32" s="1557" t="s">
        <v>8</v>
      </c>
      <c r="W32" s="1558">
        <f t="shared" si="14"/>
        <v>100</v>
      </c>
      <c r="X32" s="1551"/>
      <c r="Y32" s="3457" t="s">
        <v>550</v>
      </c>
      <c r="Z32" s="1559" t="str">
        <f t="shared" si="15"/>
        <v>车位类型</v>
      </c>
      <c r="AA32" s="1560">
        <f t="shared" si="3"/>
        <v>1</v>
      </c>
      <c r="AB32" s="1560">
        <f t="shared" si="4"/>
        <v>1</v>
      </c>
      <c r="AC32" s="1560">
        <f t="shared" si="5"/>
        <v>1</v>
      </c>
    </row>
    <row r="33" spans="1:29" ht="15">
      <c r="A33" s="928"/>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57"/>
      <c r="Q33" s="1556" t="str">
        <f t="shared" si="11"/>
        <v>是否直接入户</v>
      </c>
      <c r="R33" s="1557" t="s">
        <v>8</v>
      </c>
      <c r="S33" s="1558">
        <f t="shared" si="12"/>
        <v>100</v>
      </c>
      <c r="T33" s="1557" t="s">
        <v>8</v>
      </c>
      <c r="U33" s="1558">
        <f t="shared" si="13"/>
        <v>100</v>
      </c>
      <c r="V33" s="1557" t="s">
        <v>8</v>
      </c>
      <c r="W33" s="1558">
        <f t="shared" si="14"/>
        <v>100</v>
      </c>
      <c r="X33" s="1551"/>
      <c r="Y33" s="3457"/>
      <c r="Z33" s="1559" t="str">
        <f t="shared" si="15"/>
        <v>是否直接入户</v>
      </c>
      <c r="AA33" s="1560">
        <f t="shared" si="3"/>
        <v>1</v>
      </c>
      <c r="AB33" s="1560">
        <f t="shared" si="4"/>
        <v>1</v>
      </c>
      <c r="AC33" s="1560">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57"/>
      <c r="Q34" s="1556">
        <f t="shared" si="11"/>
        <v>111</v>
      </c>
      <c r="R34" s="1557" t="s">
        <v>8</v>
      </c>
      <c r="S34" s="1558">
        <f t="shared" si="12"/>
        <v>100</v>
      </c>
      <c r="T34" s="1557" t="s">
        <v>8</v>
      </c>
      <c r="U34" s="1558">
        <f t="shared" si="13"/>
        <v>100</v>
      </c>
      <c r="V34" s="1557" t="s">
        <v>8</v>
      </c>
      <c r="W34" s="1558">
        <f t="shared" si="14"/>
        <v>100</v>
      </c>
      <c r="X34" s="1551"/>
      <c r="Y34" s="3457"/>
      <c r="Z34" s="1559">
        <f t="shared" si="15"/>
        <v>111</v>
      </c>
      <c r="AA34" s="1560">
        <f t="shared" si="3"/>
        <v>1</v>
      </c>
      <c r="AB34" s="1560">
        <f t="shared" si="4"/>
        <v>1</v>
      </c>
      <c r="AC34" s="1560">
        <f t="shared" si="5"/>
        <v>1</v>
      </c>
    </row>
    <row r="35" spans="1:29" s="1332"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57"/>
      <c r="Q35" s="1588">
        <f t="shared" si="11"/>
        <v>111</v>
      </c>
      <c r="R35" s="1561" t="s">
        <v>8</v>
      </c>
      <c r="S35" s="1562">
        <f t="shared" si="12"/>
        <v>100</v>
      </c>
      <c r="T35" s="1561" t="s">
        <v>8</v>
      </c>
      <c r="U35" s="1562">
        <f t="shared" si="13"/>
        <v>100</v>
      </c>
      <c r="V35" s="1561" t="s">
        <v>8</v>
      </c>
      <c r="W35" s="1562">
        <f t="shared" si="14"/>
        <v>100</v>
      </c>
      <c r="X35" s="1563"/>
      <c r="Y35" s="3457"/>
      <c r="Z35" s="1564">
        <f t="shared" si="15"/>
        <v>111</v>
      </c>
      <c r="AA35" s="1560">
        <f t="shared" si="3"/>
        <v>1</v>
      </c>
      <c r="AB35" s="1560">
        <f t="shared" si="4"/>
        <v>1</v>
      </c>
      <c r="AC35" s="1560">
        <f t="shared" si="5"/>
        <v>1</v>
      </c>
    </row>
    <row r="36" spans="1:29" ht="15.75"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57"/>
      <c r="Q36" s="1556">
        <f t="shared" si="11"/>
        <v>111</v>
      </c>
      <c r="R36" s="1557" t="s">
        <v>8</v>
      </c>
      <c r="S36" s="1558">
        <f t="shared" si="12"/>
        <v>100</v>
      </c>
      <c r="T36" s="1557" t="s">
        <v>8</v>
      </c>
      <c r="U36" s="1558">
        <f t="shared" si="13"/>
        <v>100</v>
      </c>
      <c r="V36" s="1557" t="s">
        <v>8</v>
      </c>
      <c r="W36" s="1558">
        <f t="shared" si="14"/>
        <v>100</v>
      </c>
      <c r="X36" s="1551"/>
      <c r="Y36" s="3457"/>
      <c r="Z36" s="1559">
        <f t="shared" si="15"/>
        <v>111</v>
      </c>
      <c r="AA36" s="1560">
        <f t="shared" si="3"/>
        <v>1</v>
      </c>
      <c r="AB36" s="1560">
        <f t="shared" si="4"/>
        <v>1</v>
      </c>
      <c r="AC36" s="1560">
        <f t="shared" si="5"/>
        <v>1</v>
      </c>
    </row>
    <row r="37" spans="1:29" ht="15">
      <c r="A37" s="1829" t="s">
        <v>2075</v>
      </c>
      <c r="B37" s="1830" t="s">
        <v>2076</v>
      </c>
      <c r="C37" s="2589" t="s">
        <v>1</v>
      </c>
      <c r="D37" s="2590"/>
      <c r="E37" s="2591"/>
      <c r="F37" s="2592"/>
      <c r="G37" s="2593"/>
      <c r="H37" s="2594"/>
      <c r="I37" s="2591"/>
      <c r="J37" s="2594"/>
      <c r="K37" s="1594"/>
      <c r="L37" s="2127"/>
      <c r="M37" s="2128"/>
      <c r="N37" s="2117"/>
      <c r="O37" s="2128"/>
      <c r="P37" s="3420" t="str">
        <f>A37</f>
        <v>成交单价</v>
      </c>
      <c r="Q37" s="3420"/>
      <c r="R37" s="3537">
        <f>E37</f>
        <v>0</v>
      </c>
      <c r="S37" s="3537"/>
      <c r="T37" s="3537">
        <f>G37</f>
        <v>0</v>
      </c>
      <c r="U37" s="3537"/>
      <c r="V37" s="3537">
        <f>I37</f>
        <v>0</v>
      </c>
      <c r="W37" s="3537"/>
      <c r="X37" s="1543"/>
      <c r="Y37" s="1565"/>
      <c r="Z37" s="1543"/>
      <c r="AA37" s="1543"/>
      <c r="AB37" s="1543"/>
      <c r="AC37" s="1543"/>
    </row>
    <row r="38" spans="1:29" ht="15.75" thickBot="1">
      <c r="A38" s="614" t="s">
        <v>2757</v>
      </c>
      <c r="B38" s="885"/>
      <c r="C38" s="2595" t="e">
        <f>R39</f>
        <v>#DIV/0!</v>
      </c>
      <c r="D38" s="2596"/>
      <c r="E38" s="2597" t="e">
        <f>R38</f>
        <v>#DIV/0!</v>
      </c>
      <c r="F38" s="2597"/>
      <c r="G38" s="2595" t="e">
        <f>T38</f>
        <v>#DIV/0!</v>
      </c>
      <c r="H38" s="2596"/>
      <c r="I38" s="2597" t="e">
        <f>V38</f>
        <v>#DIV/0!</v>
      </c>
      <c r="J38" s="2596"/>
      <c r="K38" s="1595"/>
      <c r="L38" s="2127"/>
      <c r="M38" s="2128"/>
      <c r="N38" s="2128"/>
      <c r="O38" s="2128"/>
      <c r="P38" s="3420" t="str">
        <f>A38</f>
        <v>比较价格（元/平方米）</v>
      </c>
      <c r="Q38" s="3420"/>
      <c r="R38" s="3537" t="e">
        <f>IF(F1="售价",ROUND(PRODUCT(R37,AA7:AA36),0),ROUND(PRODUCT(R37,AA7:AA36),1))</f>
        <v>#DIV/0!</v>
      </c>
      <c r="S38" s="3537"/>
      <c r="T38" s="3537" t="e">
        <f>IF(F1="售价",ROUND(PRODUCT(T37,AB7:AB36),0),ROUND(PRODUCT(T37,AB7:AB36),1))</f>
        <v>#DIV/0!</v>
      </c>
      <c r="U38" s="3537"/>
      <c r="V38" s="3537" t="e">
        <f>IF(F1="售价",ROUND(PRODUCT(V37,AC7:AC36),0),ROUND(PRODUCT(V37,AC7:AC36),1))</f>
        <v>#DIV/0!</v>
      </c>
      <c r="W38" s="3537"/>
      <c r="X38" s="1543"/>
      <c r="Y38" s="1543"/>
      <c r="Z38" s="1543"/>
      <c r="AA38" s="1543"/>
      <c r="AB38" s="1543"/>
      <c r="AC38" s="1543"/>
    </row>
    <row r="39" spans="1:29" ht="15.75" thickBot="1">
      <c r="A39" s="620" t="s">
        <v>2933</v>
      </c>
      <c r="B39" s="621"/>
      <c r="C39" s="2598" t="e">
        <f>R39</f>
        <v>#DIV/0!</v>
      </c>
      <c r="D39" s="2598"/>
      <c r="E39" s="2598"/>
      <c r="F39" s="2598"/>
      <c r="G39" s="2598"/>
      <c r="H39" s="2598"/>
      <c r="I39" s="2598"/>
      <c r="J39" s="2598"/>
      <c r="K39" s="1596"/>
      <c r="L39" s="2127"/>
      <c r="M39" s="2128"/>
      <c r="N39" s="2128"/>
      <c r="O39" s="2128"/>
      <c r="P39" s="3417" t="str">
        <f>A39</f>
        <v>估价对象XX用房的比较价格（楼面单价，元/平方米）</v>
      </c>
      <c r="Q39" s="3418"/>
      <c r="R39" s="3536" t="e">
        <f>IF(F1="售价",ROUND(AVERAGE(R38:V38),0),ROUND(AVERAGE(R38:V38),1))</f>
        <v>#DIV/0!</v>
      </c>
      <c r="S39" s="3536"/>
      <c r="T39" s="3536"/>
      <c r="U39" s="3536"/>
      <c r="V39" s="3536"/>
      <c r="W39" s="3536"/>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4" t="s">
        <v>529</v>
      </c>
      <c r="B48" s="645"/>
      <c r="C48" s="2755" t="str">
        <f>YEAR(C7)&amp;"-"&amp;MONTH(C7)</f>
        <v>2020-3</v>
      </c>
      <c r="D48" s="2757">
        <f>EDATE(C48,-1)</f>
        <v>43862</v>
      </c>
      <c r="E48" s="2757">
        <f t="shared" ref="E48:O48" si="16">EDATE(D48,-1)</f>
        <v>43831</v>
      </c>
      <c r="F48" s="2757">
        <f t="shared" si="16"/>
        <v>43800</v>
      </c>
      <c r="G48" s="2757">
        <f t="shared" si="16"/>
        <v>43770</v>
      </c>
      <c r="H48" s="2757">
        <f t="shared" si="16"/>
        <v>43739</v>
      </c>
      <c r="I48" s="2757">
        <f t="shared" si="16"/>
        <v>43709</v>
      </c>
      <c r="J48" s="2757">
        <f t="shared" si="16"/>
        <v>43678</v>
      </c>
      <c r="K48" s="2757">
        <f t="shared" si="16"/>
        <v>43647</v>
      </c>
      <c r="L48" s="2757">
        <f t="shared" si="16"/>
        <v>43617</v>
      </c>
      <c r="M48" s="2757">
        <f t="shared" si="16"/>
        <v>43586</v>
      </c>
      <c r="N48" s="2757">
        <f t="shared" si="16"/>
        <v>43556</v>
      </c>
      <c r="O48" s="2757">
        <f t="shared" si="16"/>
        <v>43525</v>
      </c>
      <c r="P48" s="2143"/>
      <c r="Q48" s="2144"/>
      <c r="R48" s="2144"/>
      <c r="S48" s="2144"/>
      <c r="T48" s="2144"/>
      <c r="U48" s="2144"/>
      <c r="V48" s="2144"/>
      <c r="W48" s="2144"/>
      <c r="X48" s="2144"/>
      <c r="Y48" s="2144"/>
      <c r="Z48" s="2144"/>
      <c r="AA48" s="2144"/>
      <c r="AB48" s="2144"/>
      <c r="AC48" s="2144"/>
    </row>
    <row r="49" spans="1:29" s="1213"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3"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3"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2">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2555</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2556</v>
      </c>
      <c r="C67" s="2560" t="s">
        <v>2557</v>
      </c>
      <c r="D67" s="2560" t="s">
        <v>2558</v>
      </c>
      <c r="E67" s="2560" t="s">
        <v>2559</v>
      </c>
      <c r="F67" s="2560" t="s">
        <v>2560</v>
      </c>
      <c r="G67" s="2560" t="s">
        <v>2561</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2"/>
      <c r="I68" s="932"/>
      <c r="J68" s="932"/>
      <c r="K68" s="932"/>
      <c r="L68" s="932"/>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8"/>
      <c r="B73" s="672">
        <f>B23</f>
        <v>111</v>
      </c>
      <c r="C73" s="540"/>
      <c r="D73" s="540"/>
      <c r="E73" s="540"/>
      <c r="F73" s="540"/>
      <c r="G73" s="687"/>
      <c r="H73" s="687"/>
      <c r="I73" s="687"/>
      <c r="J73" s="687"/>
      <c r="K73" s="687"/>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8"/>
      <c r="B75" s="672">
        <f>B24</f>
        <v>111</v>
      </c>
      <c r="C75" s="540"/>
      <c r="D75" s="540"/>
      <c r="E75" s="540"/>
      <c r="F75" s="540"/>
      <c r="G75" s="687"/>
      <c r="H75" s="687"/>
      <c r="I75" s="687"/>
      <c r="J75" s="687"/>
      <c r="K75" s="687"/>
      <c r="L75" s="687"/>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4">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2"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26" t="s">
        <v>798</v>
      </c>
      <c r="D4" s="3427"/>
      <c r="E4" s="3460" t="s">
        <v>799</v>
      </c>
      <c r="F4" s="3461"/>
      <c r="G4" s="3426" t="s">
        <v>800</v>
      </c>
      <c r="H4" s="3427"/>
      <c r="I4" s="3426" t="s">
        <v>801</v>
      </c>
      <c r="J4" s="3427"/>
      <c r="K4" s="513" t="s">
        <v>802</v>
      </c>
      <c r="L4" s="2116"/>
      <c r="M4" s="2117"/>
      <c r="N4" s="2117"/>
      <c r="O4" s="2117"/>
      <c r="P4" s="3428" t="s">
        <v>803</v>
      </c>
      <c r="Q4" s="3429"/>
      <c r="R4" s="3434" t="s">
        <v>799</v>
      </c>
      <c r="S4" s="3435"/>
      <c r="T4" s="3434" t="s">
        <v>800</v>
      </c>
      <c r="U4" s="3435"/>
      <c r="V4" s="3421" t="s">
        <v>801</v>
      </c>
      <c r="W4" s="3421"/>
      <c r="X4" s="1551"/>
      <c r="Y4" s="3434" t="s">
        <v>803</v>
      </c>
      <c r="Z4" s="3435"/>
      <c r="AA4" s="3423" t="s">
        <v>799</v>
      </c>
      <c r="AB4" s="3424" t="s">
        <v>800</v>
      </c>
      <c r="AC4" s="3423" t="s">
        <v>801</v>
      </c>
    </row>
    <row r="5" spans="1:29" ht="15">
      <c r="A5" s="514"/>
      <c r="B5" s="515"/>
      <c r="C5" s="3442" t="s">
        <v>2927</v>
      </c>
      <c r="D5" s="3443"/>
      <c r="E5" s="3462" t="s">
        <v>2928</v>
      </c>
      <c r="F5" s="3463"/>
      <c r="G5" s="3442" t="s">
        <v>2929</v>
      </c>
      <c r="H5" s="3443"/>
      <c r="I5" s="3442" t="s">
        <v>2930</v>
      </c>
      <c r="J5" s="3443"/>
      <c r="K5" s="513"/>
      <c r="L5" s="2116"/>
      <c r="M5" s="2117"/>
      <c r="N5" s="2117"/>
      <c r="O5" s="2117"/>
      <c r="P5" s="3430"/>
      <c r="Q5" s="3431"/>
      <c r="R5" s="3436"/>
      <c r="S5" s="3437"/>
      <c r="T5" s="3436"/>
      <c r="U5" s="3437"/>
      <c r="V5" s="3421"/>
      <c r="W5" s="3421"/>
      <c r="X5" s="1551"/>
      <c r="Y5" s="3436"/>
      <c r="Z5" s="3437"/>
      <c r="AA5" s="3424"/>
      <c r="AB5" s="3424"/>
      <c r="AC5" s="3424"/>
    </row>
    <row r="6" spans="1:29" ht="15.75" thickBot="1">
      <c r="A6" s="516"/>
      <c r="B6" s="517"/>
      <c r="C6" s="3440" t="s">
        <v>2931</v>
      </c>
      <c r="D6" s="3441"/>
      <c r="E6" s="3458" t="s">
        <v>2931</v>
      </c>
      <c r="F6" s="3459"/>
      <c r="G6" s="3440" t="s">
        <v>2931</v>
      </c>
      <c r="H6" s="3441"/>
      <c r="I6" s="3440" t="s">
        <v>2931</v>
      </c>
      <c r="J6" s="3441"/>
      <c r="K6" s="513" t="s">
        <v>528</v>
      </c>
      <c r="L6" s="2116"/>
      <c r="M6" s="2117"/>
      <c r="N6" s="2117"/>
      <c r="O6" s="2117"/>
      <c r="P6" s="3432"/>
      <c r="Q6" s="3433"/>
      <c r="R6" s="3436"/>
      <c r="S6" s="3437"/>
      <c r="T6" s="3438"/>
      <c r="U6" s="3439"/>
      <c r="V6" s="3421"/>
      <c r="W6" s="3421"/>
      <c r="X6" s="1551"/>
      <c r="Y6" s="3438"/>
      <c r="Z6" s="3439"/>
      <c r="AA6" s="3425"/>
      <c r="AB6" s="3425"/>
      <c r="AC6" s="3425"/>
    </row>
    <row r="7" spans="1:29" s="1213" customFormat="1" ht="15.75" thickBot="1">
      <c r="A7" s="2864"/>
      <c r="B7" s="2871" t="s">
        <v>529</v>
      </c>
      <c r="C7" s="518">
        <f>'数据-取费表'!B2</f>
        <v>43920</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51" t="s">
        <v>530</v>
      </c>
      <c r="Q7" s="3453"/>
      <c r="R7" s="1552" t="s">
        <v>8</v>
      </c>
      <c r="S7" s="1553">
        <f t="shared" ref="S7:S14" si="0">F7</f>
        <v>0</v>
      </c>
      <c r="T7" s="1552" t="s">
        <v>8</v>
      </c>
      <c r="U7" s="1553">
        <f t="shared" ref="U7:U14" si="1">H7</f>
        <v>0</v>
      </c>
      <c r="V7" s="1552" t="s">
        <v>8</v>
      </c>
      <c r="W7" s="1553">
        <f t="shared" ref="W7:W14" si="2">J7</f>
        <v>0</v>
      </c>
      <c r="X7" s="1554"/>
      <c r="Y7" s="3451" t="s">
        <v>530</v>
      </c>
      <c r="Z7" s="3452"/>
      <c r="AA7" s="1555" t="e">
        <f>D7/F7</f>
        <v>#DIV/0!</v>
      </c>
      <c r="AB7" s="1555" t="e">
        <f>D7/H7</f>
        <v>#DIV/0!</v>
      </c>
      <c r="AC7" s="1555" t="e">
        <f>D7/J7</f>
        <v>#DIV/0!</v>
      </c>
    </row>
    <row r="8" spans="1:29" s="1213"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51" t="s">
        <v>533</v>
      </c>
      <c r="Q8" s="3452"/>
      <c r="R8" s="1552" t="s">
        <v>8</v>
      </c>
      <c r="S8" s="1553">
        <f t="shared" si="0"/>
        <v>0</v>
      </c>
      <c r="T8" s="1552" t="s">
        <v>8</v>
      </c>
      <c r="U8" s="1553">
        <f t="shared" si="1"/>
        <v>0</v>
      </c>
      <c r="V8" s="1552" t="s">
        <v>8</v>
      </c>
      <c r="W8" s="1553">
        <f t="shared" si="2"/>
        <v>0</v>
      </c>
      <c r="X8" s="1554"/>
      <c r="Y8" s="3451" t="s">
        <v>533</v>
      </c>
      <c r="Z8" s="3452"/>
      <c r="AA8" s="1555" t="e">
        <f t="shared" ref="AA8:AA34" si="3">D8/F8</f>
        <v>#DIV/0!</v>
      </c>
      <c r="AB8" s="1555" t="e">
        <f t="shared" ref="AB8:AB34" si="4">D8/H8</f>
        <v>#DIV/0!</v>
      </c>
      <c r="AC8" s="1555" t="e">
        <f t="shared" ref="AC8:AC34" si="5">D8/J8</f>
        <v>#DIV/0!</v>
      </c>
    </row>
    <row r="9" spans="1:29" s="1213" customFormat="1" ht="15">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20" t="s">
        <v>535</v>
      </c>
      <c r="Q9" s="1144" t="str">
        <f t="shared" ref="Q9:Q14" si="6">B9</f>
        <v>用途</v>
      </c>
      <c r="R9" s="1552" t="s">
        <v>8</v>
      </c>
      <c r="S9" s="1553">
        <f t="shared" si="0"/>
        <v>100</v>
      </c>
      <c r="T9" s="1552" t="s">
        <v>8</v>
      </c>
      <c r="U9" s="1553">
        <f t="shared" si="1"/>
        <v>100</v>
      </c>
      <c r="V9" s="1552" t="s">
        <v>8</v>
      </c>
      <c r="W9" s="1553">
        <f t="shared" si="2"/>
        <v>100</v>
      </c>
      <c r="X9" s="1554"/>
      <c r="Y9" s="3366" t="s">
        <v>536</v>
      </c>
      <c r="Z9" s="1143" t="str">
        <f t="shared" ref="Z9:Z14" si="7">Q9</f>
        <v>用途</v>
      </c>
      <c r="AA9" s="1555">
        <f t="shared" si="3"/>
        <v>1</v>
      </c>
      <c r="AB9" s="1555">
        <f t="shared" si="4"/>
        <v>1</v>
      </c>
      <c r="AC9" s="1555">
        <f t="shared" si="5"/>
        <v>1</v>
      </c>
    </row>
    <row r="10" spans="1:29" s="1331" customFormat="1" ht="27">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20"/>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9"/>
      <c r="B11" s="2875">
        <v>111</v>
      </c>
      <c r="C11" s="527"/>
      <c r="D11" s="254">
        <v>100</v>
      </c>
      <c r="E11" s="877"/>
      <c r="F11" s="254">
        <f>SUMIF(55:55,E11,56:56)-SUMIF(55:55,C11,56:56)+100</f>
        <v>100</v>
      </c>
      <c r="G11" s="877"/>
      <c r="H11" s="254">
        <f>SUMIF(55:55,G11,56:56)-SUMIF(55:55,C11,56:56)+100</f>
        <v>100</v>
      </c>
      <c r="I11" s="877"/>
      <c r="J11" s="254">
        <f>SUMIF(55:55,I11,56:56)-SUMIF(55:55,C11,56:56)+100</f>
        <v>100</v>
      </c>
      <c r="K11" s="580"/>
      <c r="L11" s="2123"/>
      <c r="M11" s="2117"/>
      <c r="N11" s="2117"/>
      <c r="O11" s="2124"/>
      <c r="P11" s="3420"/>
      <c r="Q11" s="1144">
        <f t="shared" si="6"/>
        <v>111</v>
      </c>
      <c r="R11" s="1552" t="s">
        <v>8</v>
      </c>
      <c r="S11" s="1553">
        <f t="shared" si="0"/>
        <v>100</v>
      </c>
      <c r="T11" s="1552" t="s">
        <v>8</v>
      </c>
      <c r="U11" s="1553">
        <f t="shared" si="1"/>
        <v>100</v>
      </c>
      <c r="V11" s="1552" t="s">
        <v>8</v>
      </c>
      <c r="W11" s="1553">
        <f t="shared" si="2"/>
        <v>100</v>
      </c>
      <c r="X11" s="1554"/>
      <c r="Y11" s="3366"/>
      <c r="Z11" s="1143">
        <f t="shared" si="7"/>
        <v>111</v>
      </c>
      <c r="AA11" s="1555">
        <f t="shared" si="3"/>
        <v>1</v>
      </c>
      <c r="AB11" s="1555">
        <f t="shared" si="4"/>
        <v>1</v>
      </c>
      <c r="AC11" s="1555">
        <f t="shared" si="5"/>
        <v>1</v>
      </c>
    </row>
    <row r="12" spans="1:29" s="1213" customFormat="1" ht="15">
      <c r="A12" s="2869"/>
      <c r="B12" s="2875">
        <v>111</v>
      </c>
      <c r="C12" s="527"/>
      <c r="D12" s="537">
        <v>100</v>
      </c>
      <c r="E12" s="877"/>
      <c r="F12" s="254">
        <f>SUMIF(57:57,E12,58:58)-SUMIF(57:57,C12,58:58)+100</f>
        <v>100</v>
      </c>
      <c r="G12" s="877"/>
      <c r="H12" s="254">
        <f>SUMIF(57:57,G12,58:58)-SUMIF(57:57,C12,58:58)+100</f>
        <v>100</v>
      </c>
      <c r="I12" s="877"/>
      <c r="J12" s="254">
        <f>SUMIF(57:57,I12,58:58)-SUMIF(57:57,C12,58:58)+100</f>
        <v>100</v>
      </c>
      <c r="K12" s="580"/>
      <c r="L12" s="2118"/>
      <c r="M12" s="2119"/>
      <c r="N12" s="2119"/>
      <c r="O12" s="2120"/>
      <c r="P12" s="3420"/>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75" thickBot="1">
      <c r="A13" s="2870"/>
      <c r="B13" s="2876">
        <v>111</v>
      </c>
      <c r="C13" s="538"/>
      <c r="D13" s="539">
        <v>100</v>
      </c>
      <c r="E13" s="877"/>
      <c r="F13" s="254">
        <f>SUMIF(59:59,E13,60:60)-SUMIF(59:59,C13,60:60)+100</f>
        <v>100</v>
      </c>
      <c r="G13" s="877"/>
      <c r="H13" s="539">
        <f>SUMIF(59:59,G13,60:60)-SUMIF(59:59,C13,60:60)+100</f>
        <v>100</v>
      </c>
      <c r="I13" s="877"/>
      <c r="J13" s="539">
        <f>SUMIF(59:59,I13,60:60)-SUMIF(59:59,C13,60:60)+100</f>
        <v>100</v>
      </c>
      <c r="K13" s="580"/>
      <c r="L13" s="2125"/>
      <c r="M13" s="2117"/>
      <c r="N13" s="2117"/>
      <c r="O13" s="2124"/>
      <c r="P13" s="3420"/>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85.5">
      <c r="A14" s="2862" t="s">
        <v>2751</v>
      </c>
      <c r="B14" s="166" t="s">
        <v>543</v>
      </c>
      <c r="C14" s="918"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25"/>
      <c r="M14" s="2117"/>
      <c r="N14" s="2117"/>
      <c r="O14" s="2124"/>
      <c r="P14" s="3454" t="s">
        <v>540</v>
      </c>
      <c r="Q14" s="1556" t="str">
        <f t="shared" si="6"/>
        <v>交通便捷度</v>
      </c>
      <c r="R14" s="1557" t="s">
        <v>8</v>
      </c>
      <c r="S14" s="1558">
        <f t="shared" si="0"/>
        <v>100</v>
      </c>
      <c r="T14" s="1557" t="s">
        <v>8</v>
      </c>
      <c r="U14" s="1558">
        <f t="shared" si="1"/>
        <v>100</v>
      </c>
      <c r="V14" s="1557" t="s">
        <v>8</v>
      </c>
      <c r="W14" s="1558">
        <f t="shared" si="2"/>
        <v>100</v>
      </c>
      <c r="X14" s="1551"/>
      <c r="Y14" s="3454"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6"/>
      <c r="L15" s="2125"/>
      <c r="M15" s="2117"/>
      <c r="N15" s="2117"/>
      <c r="O15" s="2124"/>
      <c r="P15" s="3455"/>
      <c r="Q15" s="1556"/>
      <c r="R15" s="1557"/>
      <c r="S15" s="1558"/>
      <c r="T15" s="1557"/>
      <c r="U15" s="1558"/>
      <c r="V15" s="1557"/>
      <c r="W15" s="1558"/>
      <c r="X15" s="1551"/>
      <c r="Y15" s="3455"/>
      <c r="Z15" s="1559"/>
      <c r="AA15" s="1560">
        <v>1</v>
      </c>
      <c r="AB15" s="1560">
        <v>1</v>
      </c>
      <c r="AC15" s="1560">
        <v>1</v>
      </c>
    </row>
    <row r="16" spans="1:29" ht="42.75">
      <c r="A16" s="531"/>
      <c r="B16" s="2565"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25"/>
      <c r="M16" s="2117"/>
      <c r="N16" s="2117"/>
      <c r="O16" s="2124"/>
      <c r="P16" s="3455"/>
      <c r="Q16" s="1556" t="str">
        <f>B16</f>
        <v>公共配套设施</v>
      </c>
      <c r="R16" s="1557" t="s">
        <v>8</v>
      </c>
      <c r="S16" s="1558">
        <f>F16</f>
        <v>100</v>
      </c>
      <c r="T16" s="1557" t="s">
        <v>8</v>
      </c>
      <c r="U16" s="1558">
        <f>H16</f>
        <v>100</v>
      </c>
      <c r="V16" s="1557" t="s">
        <v>8</v>
      </c>
      <c r="W16" s="1558">
        <f>J16</f>
        <v>100</v>
      </c>
      <c r="X16" s="1551"/>
      <c r="Y16" s="3455"/>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6"/>
      <c r="L17" s="2125"/>
      <c r="M17" s="2117"/>
      <c r="N17" s="2117"/>
      <c r="O17" s="2124"/>
      <c r="P17" s="3455"/>
      <c r="Q17" s="1556"/>
      <c r="R17" s="1557"/>
      <c r="S17" s="1558"/>
      <c r="T17" s="1557"/>
      <c r="U17" s="1558"/>
      <c r="V17" s="1557"/>
      <c r="W17" s="1558"/>
      <c r="X17" s="1551"/>
      <c r="Y17" s="3455"/>
      <c r="Z17" s="1559"/>
      <c r="AA17" s="1560">
        <v>1</v>
      </c>
      <c r="AB17" s="1560">
        <v>1</v>
      </c>
      <c r="AC17" s="1560">
        <v>1</v>
      </c>
    </row>
    <row r="18" spans="1:29" ht="28.5">
      <c r="A18" s="531"/>
      <c r="B18" s="2553"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25"/>
      <c r="M18" s="2117"/>
      <c r="N18" s="2117"/>
      <c r="O18" s="2124"/>
      <c r="P18" s="3455"/>
      <c r="Q18" s="2541" t="str">
        <f>B18</f>
        <v>基础设施水平</v>
      </c>
      <c r="R18" s="1557" t="s">
        <v>8</v>
      </c>
      <c r="S18" s="1558">
        <f>F18</f>
        <v>100</v>
      </c>
      <c r="T18" s="1557" t="s">
        <v>8</v>
      </c>
      <c r="U18" s="1558">
        <f>H18</f>
        <v>100</v>
      </c>
      <c r="V18" s="1557" t="s">
        <v>8</v>
      </c>
      <c r="W18" s="1558">
        <f>J18</f>
        <v>100</v>
      </c>
      <c r="X18" s="2543"/>
      <c r="Y18" s="3455"/>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455"/>
      <c r="Q19" s="2541"/>
      <c r="R19" s="1557"/>
      <c r="S19" s="1558"/>
      <c r="T19" s="1557"/>
      <c r="U19" s="1558"/>
      <c r="V19" s="1557"/>
      <c r="W19" s="1558"/>
      <c r="X19" s="2543"/>
      <c r="Y19" s="3455"/>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25"/>
      <c r="M20" s="2117"/>
      <c r="N20" s="2117"/>
      <c r="O20" s="2124"/>
      <c r="P20" s="3455"/>
      <c r="Q20" s="1556" t="str">
        <f>B20</f>
        <v>自然及人文环境</v>
      </c>
      <c r="R20" s="1557" t="s">
        <v>8</v>
      </c>
      <c r="S20" s="1558">
        <f>F20</f>
        <v>100</v>
      </c>
      <c r="T20" s="1557" t="s">
        <v>8</v>
      </c>
      <c r="U20" s="1558">
        <f>H20</f>
        <v>100</v>
      </c>
      <c r="V20" s="1557" t="s">
        <v>8</v>
      </c>
      <c r="W20" s="1558">
        <f>J20</f>
        <v>100</v>
      </c>
      <c r="X20" s="1551"/>
      <c r="Y20" s="3455"/>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6"/>
      <c r="L21" s="2125"/>
      <c r="M21" s="2117"/>
      <c r="N21" s="2117"/>
      <c r="O21" s="2124"/>
      <c r="P21" s="3455"/>
      <c r="Q21" s="1556"/>
      <c r="R21" s="1557"/>
      <c r="S21" s="1558"/>
      <c r="T21" s="1557"/>
      <c r="U21" s="1558"/>
      <c r="V21" s="1557"/>
      <c r="W21" s="1558"/>
      <c r="X21" s="1551"/>
      <c r="Y21" s="3455"/>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55"/>
      <c r="Q22" s="1556" t="str">
        <f>B22</f>
        <v>楼层</v>
      </c>
      <c r="R22" s="1557" t="s">
        <v>8</v>
      </c>
      <c r="S22" s="1558">
        <f>F22</f>
        <v>100</v>
      </c>
      <c r="T22" s="1557" t="s">
        <v>8</v>
      </c>
      <c r="U22" s="1558">
        <f>H22</f>
        <v>100</v>
      </c>
      <c r="V22" s="1557" t="s">
        <v>8</v>
      </c>
      <c r="W22" s="1558">
        <f>J22</f>
        <v>100</v>
      </c>
      <c r="X22" s="1551"/>
      <c r="Y22" s="3455"/>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55"/>
      <c r="Q23" s="1556">
        <f>B23</f>
        <v>111</v>
      </c>
      <c r="R23" s="1557" t="s">
        <v>8</v>
      </c>
      <c r="S23" s="1558">
        <f>F23</f>
        <v>100</v>
      </c>
      <c r="T23" s="1557" t="s">
        <v>8</v>
      </c>
      <c r="U23" s="1558">
        <f>H23</f>
        <v>100</v>
      </c>
      <c r="V23" s="1557" t="s">
        <v>8</v>
      </c>
      <c r="W23" s="1558">
        <f>J23</f>
        <v>100</v>
      </c>
      <c r="X23" s="1551"/>
      <c r="Y23" s="3455"/>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55"/>
      <c r="Q24" s="1556">
        <f t="shared" ref="Q24:Q34" si="11">B24</f>
        <v>111</v>
      </c>
      <c r="R24" s="1557" t="s">
        <v>8</v>
      </c>
      <c r="S24" s="1558">
        <f>F24</f>
        <v>100</v>
      </c>
      <c r="T24" s="1557" t="s">
        <v>8</v>
      </c>
      <c r="U24" s="1558">
        <f>H24</f>
        <v>100</v>
      </c>
      <c r="V24" s="1557" t="s">
        <v>8</v>
      </c>
      <c r="W24" s="1558">
        <f>J24</f>
        <v>100</v>
      </c>
      <c r="X24" s="1551"/>
      <c r="Y24" s="3455"/>
      <c r="Z24" s="1559">
        <f>Q24</f>
        <v>111</v>
      </c>
      <c r="AA24" s="1560">
        <f t="shared" si="3"/>
        <v>1</v>
      </c>
      <c r="AB24" s="1560">
        <f t="shared" si="4"/>
        <v>1</v>
      </c>
      <c r="AC24" s="1560">
        <f t="shared" si="5"/>
        <v>1</v>
      </c>
    </row>
    <row r="25" spans="1:29" s="1213" customFormat="1" ht="15.75"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18"/>
      <c r="M25" s="2119"/>
      <c r="N25" s="2119"/>
      <c r="O25" s="2120"/>
      <c r="P25" s="3455"/>
      <c r="Q25" s="1144">
        <f t="shared" si="11"/>
        <v>111</v>
      </c>
      <c r="R25" s="1552" t="s">
        <v>8</v>
      </c>
      <c r="S25" s="1553">
        <f>F25</f>
        <v>100</v>
      </c>
      <c r="T25" s="1552" t="s">
        <v>8</v>
      </c>
      <c r="U25" s="1553">
        <f>H25</f>
        <v>100</v>
      </c>
      <c r="V25" s="1552" t="s">
        <v>8</v>
      </c>
      <c r="W25" s="1553">
        <f>J25</f>
        <v>100</v>
      </c>
      <c r="X25" s="1554"/>
      <c r="Y25" s="3455"/>
      <c r="Z25" s="1143">
        <f>Q25</f>
        <v>111</v>
      </c>
      <c r="AA25" s="1560">
        <f>D25/F25</f>
        <v>1</v>
      </c>
      <c r="AB25" s="1560">
        <f>D25/H25</f>
        <v>1</v>
      </c>
      <c r="AC25" s="1560">
        <f>D25/J25</f>
        <v>1</v>
      </c>
    </row>
    <row r="26" spans="1:29" ht="15">
      <c r="A26" s="2860" t="s">
        <v>2752</v>
      </c>
      <c r="B26" s="172" t="s">
        <v>808</v>
      </c>
      <c r="C26" s="913"/>
      <c r="D26" s="596">
        <v>100</v>
      </c>
      <c r="E26" s="913"/>
      <c r="F26" s="940">
        <f>SUMIF(77:77,E26,78:78)-SUMIF(77:77,C26,78:78)+100</f>
        <v>100</v>
      </c>
      <c r="G26" s="913"/>
      <c r="H26" s="596">
        <f>SUMIF(77:77,G26,78:78)-SUMIF(77:77,C26,78:78)+100</f>
        <v>100</v>
      </c>
      <c r="I26" s="913"/>
      <c r="J26" s="596">
        <f>SUMIF(77:77,I26,78:78)-SUMIF(77:77,C26,78:78)+100</f>
        <v>100</v>
      </c>
      <c r="K26" s="583"/>
      <c r="L26" s="2125"/>
      <c r="M26" s="2117"/>
      <c r="N26" s="2117"/>
      <c r="O26" s="2124"/>
      <c r="P26" s="3456"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57" t="s">
        <v>821</v>
      </c>
      <c r="Z26" s="1559" t="str">
        <f t="shared" ref="Z26:Z34" si="15">Q26</f>
        <v>公共部分装修</v>
      </c>
      <c r="AA26" s="1560">
        <f t="shared" si="3"/>
        <v>1</v>
      </c>
      <c r="AB26" s="1560">
        <f t="shared" si="4"/>
        <v>1</v>
      </c>
      <c r="AC26" s="1560">
        <f t="shared" si="5"/>
        <v>1</v>
      </c>
    </row>
    <row r="27" spans="1:29" s="1332" customFormat="1" ht="15">
      <c r="A27" s="602"/>
      <c r="B27" s="526" t="s">
        <v>809</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23"/>
      <c r="M27" s="2154"/>
      <c r="N27" s="2154"/>
      <c r="O27" s="2126"/>
      <c r="P27" s="3457"/>
      <c r="Q27" s="1588" t="str">
        <f t="shared" si="11"/>
        <v>成新率</v>
      </c>
      <c r="R27" s="1561" t="s">
        <v>8</v>
      </c>
      <c r="S27" s="1562" t="e">
        <f t="shared" si="12"/>
        <v>#N/A</v>
      </c>
      <c r="T27" s="1561" t="s">
        <v>8</v>
      </c>
      <c r="U27" s="1562" t="e">
        <f t="shared" si="13"/>
        <v>#N/A</v>
      </c>
      <c r="V27" s="1561" t="s">
        <v>8</v>
      </c>
      <c r="W27" s="1562" t="e">
        <f t="shared" si="14"/>
        <v>#N/A</v>
      </c>
      <c r="X27" s="1563"/>
      <c r="Y27" s="3457"/>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57"/>
      <c r="Q28" s="1556" t="str">
        <f t="shared" si="11"/>
        <v>物业等级</v>
      </c>
      <c r="R28" s="1557" t="s">
        <v>8</v>
      </c>
      <c r="S28" s="1558">
        <f t="shared" si="12"/>
        <v>100</v>
      </c>
      <c r="T28" s="1557" t="s">
        <v>8</v>
      </c>
      <c r="U28" s="1558">
        <f t="shared" si="13"/>
        <v>100</v>
      </c>
      <c r="V28" s="1557" t="s">
        <v>8</v>
      </c>
      <c r="W28" s="1558">
        <f t="shared" si="14"/>
        <v>100</v>
      </c>
      <c r="X28" s="1551"/>
      <c r="Y28" s="3457"/>
      <c r="Z28" s="1559" t="str">
        <f t="shared" si="15"/>
        <v>物业等级</v>
      </c>
      <c r="AA28" s="1560">
        <f t="shared" si="3"/>
        <v>1</v>
      </c>
      <c r="AB28" s="1560">
        <f t="shared" si="4"/>
        <v>1</v>
      </c>
      <c r="AC28" s="1560">
        <f t="shared" si="5"/>
        <v>1</v>
      </c>
    </row>
    <row r="29" spans="1:29" ht="15">
      <c r="A29" s="593"/>
      <c r="B29" s="526" t="s">
        <v>822</v>
      </c>
      <c r="C29" s="929"/>
      <c r="D29" s="539">
        <v>100</v>
      </c>
      <c r="E29" s="929"/>
      <c r="F29" s="574">
        <f>SUMIF(84:84,E29,85:85)-SUMIF(84:84,C29,85:85)+100</f>
        <v>100</v>
      </c>
      <c r="G29" s="929"/>
      <c r="H29" s="539">
        <f>SUMIF(84:84,G29,85:85)-SUMIF(84:84,C29,85:85)+100</f>
        <v>100</v>
      </c>
      <c r="I29" s="929"/>
      <c r="J29" s="539">
        <f>SUMIF(84:84,I29,85:85)-SUMIF(84:84,C29,85:85)+100</f>
        <v>100</v>
      </c>
      <c r="K29" s="583"/>
      <c r="L29" s="2125"/>
      <c r="M29" s="2117"/>
      <c r="N29" s="2117"/>
      <c r="O29" s="2124"/>
      <c r="P29" s="3457"/>
      <c r="Q29" s="1556" t="str">
        <f t="shared" si="11"/>
        <v>有无电梯</v>
      </c>
      <c r="R29" s="1557" t="s">
        <v>8</v>
      </c>
      <c r="S29" s="1558">
        <f t="shared" si="12"/>
        <v>100</v>
      </c>
      <c r="T29" s="1557" t="s">
        <v>8</v>
      </c>
      <c r="U29" s="1558">
        <f t="shared" si="13"/>
        <v>100</v>
      </c>
      <c r="V29" s="1557" t="s">
        <v>8</v>
      </c>
      <c r="W29" s="1558">
        <f t="shared" si="14"/>
        <v>100</v>
      </c>
      <c r="X29" s="1551"/>
      <c r="Y29" s="3457"/>
      <c r="Z29" s="1559" t="str">
        <f t="shared" si="15"/>
        <v>有无电梯</v>
      </c>
      <c r="AA29" s="1560">
        <f t="shared" si="3"/>
        <v>1</v>
      </c>
      <c r="AB29" s="1560">
        <f t="shared" si="4"/>
        <v>1</v>
      </c>
      <c r="AC29" s="1560">
        <f t="shared" si="5"/>
        <v>1</v>
      </c>
    </row>
    <row r="30" spans="1:29" ht="15">
      <c r="A30" s="593"/>
      <c r="B30" s="526" t="s">
        <v>823</v>
      </c>
      <c r="C30" s="877"/>
      <c r="D30" s="539">
        <v>100</v>
      </c>
      <c r="E30" s="877"/>
      <c r="F30" s="574" t="e">
        <f>LOOKUP(E30,87:87,88:88)-LOOKUP(C30,87:87,88:88)+100</f>
        <v>#N/A</v>
      </c>
      <c r="G30" s="877"/>
      <c r="H30" s="539" t="e">
        <f>LOOKUP(G30,87:87,88:88)-LOOKUP(C30,87:87,88:88)+100</f>
        <v>#N/A</v>
      </c>
      <c r="I30" s="877"/>
      <c r="J30" s="539" t="e">
        <f>LOOKUP(I30,87:87,88:88)-LOOKUP(C30,87:87,88:88)+100</f>
        <v>#N/A</v>
      </c>
      <c r="K30" s="580"/>
      <c r="L30" s="2125"/>
      <c r="M30" s="2117"/>
      <c r="N30" s="2117"/>
      <c r="O30" s="2124"/>
      <c r="P30" s="3457"/>
      <c r="Q30" s="1556" t="str">
        <f t="shared" si="11"/>
        <v>建筑面积</v>
      </c>
      <c r="R30" s="1557" t="s">
        <v>8</v>
      </c>
      <c r="S30" s="1558" t="e">
        <f t="shared" si="12"/>
        <v>#N/A</v>
      </c>
      <c r="T30" s="1557" t="s">
        <v>8</v>
      </c>
      <c r="U30" s="1558" t="e">
        <f t="shared" si="13"/>
        <v>#N/A</v>
      </c>
      <c r="V30" s="1557" t="s">
        <v>8</v>
      </c>
      <c r="W30" s="1558" t="e">
        <f t="shared" si="14"/>
        <v>#N/A</v>
      </c>
      <c r="X30" s="1551"/>
      <c r="Y30" s="3457"/>
      <c r="Z30" s="1559" t="str">
        <f t="shared" si="15"/>
        <v>建筑面积</v>
      </c>
      <c r="AA30" s="1560" t="e">
        <f t="shared" si="3"/>
        <v>#N/A</v>
      </c>
      <c r="AB30" s="1560" t="e">
        <f t="shared" si="4"/>
        <v>#N/A</v>
      </c>
      <c r="AC30" s="1560" t="e">
        <f t="shared" si="5"/>
        <v>#N/A</v>
      </c>
    </row>
    <row r="31" spans="1:29" s="1213" customFormat="1" ht="15">
      <c r="A31" s="599"/>
      <c r="B31" s="526" t="s">
        <v>824</v>
      </c>
      <c r="C31" s="929"/>
      <c r="D31" s="254">
        <v>100</v>
      </c>
      <c r="E31" s="929"/>
      <c r="F31" s="574">
        <f>SUMIF(89:89,E31,90:90)-SUMIF(89:89,C31,90:90)+100</f>
        <v>100</v>
      </c>
      <c r="G31" s="929"/>
      <c r="H31" s="539">
        <f>SUMIF(89:89,G31,90:90)-SUMIF(89:89,C31,90:90)+100</f>
        <v>100</v>
      </c>
      <c r="I31" s="929"/>
      <c r="J31" s="539">
        <f>SUMIF(89:89,I31,90:90)-SUMIF(89:89,C31,90:90)+100</f>
        <v>100</v>
      </c>
      <c r="K31" s="583"/>
      <c r="L31" s="2118"/>
      <c r="M31" s="2119"/>
      <c r="N31" s="2119"/>
      <c r="O31" s="2120"/>
      <c r="P31" s="3457"/>
      <c r="Q31" s="1144" t="str">
        <f t="shared" si="11"/>
        <v>是否封闭</v>
      </c>
      <c r="R31" s="1552" t="s">
        <v>8</v>
      </c>
      <c r="S31" s="1553">
        <f t="shared" si="12"/>
        <v>100</v>
      </c>
      <c r="T31" s="1552" t="s">
        <v>8</v>
      </c>
      <c r="U31" s="1553">
        <f t="shared" si="13"/>
        <v>100</v>
      </c>
      <c r="V31" s="1552" t="s">
        <v>8</v>
      </c>
      <c r="W31" s="1553">
        <f t="shared" si="14"/>
        <v>100</v>
      </c>
      <c r="X31" s="1554"/>
      <c r="Y31" s="3457"/>
      <c r="Z31" s="1143" t="str">
        <f t="shared" si="15"/>
        <v>是否封闭</v>
      </c>
      <c r="AA31" s="1555">
        <f t="shared" si="3"/>
        <v>1</v>
      </c>
      <c r="AB31" s="1555">
        <f t="shared" si="4"/>
        <v>1</v>
      </c>
      <c r="AC31" s="1555">
        <f t="shared" si="5"/>
        <v>1</v>
      </c>
    </row>
    <row r="32" spans="1:29" ht="15">
      <c r="A32" s="593"/>
      <c r="B32" s="536">
        <v>111</v>
      </c>
      <c r="C32" s="527"/>
      <c r="D32" s="539">
        <v>100</v>
      </c>
      <c r="E32" s="877"/>
      <c r="F32" s="574">
        <f>SUMIF(91:91,E32,92:92)-SUMIF(91:91,C32,92:92)+100</f>
        <v>100</v>
      </c>
      <c r="G32" s="877"/>
      <c r="H32" s="539">
        <f>SUMIF(91:91,G32,92:92)-SUMIF(91:91,C32,92:92)+100</f>
        <v>100</v>
      </c>
      <c r="I32" s="877"/>
      <c r="J32" s="539">
        <f>SUMIF(91:91,I32,92:92)-SUMIF(91:91,C32,92:92)+100</f>
        <v>100</v>
      </c>
      <c r="K32" s="580"/>
      <c r="L32" s="2125"/>
      <c r="M32" s="2117"/>
      <c r="N32" s="2117"/>
      <c r="O32" s="2124"/>
      <c r="P32" s="3457" t="s">
        <v>550</v>
      </c>
      <c r="Q32" s="1556">
        <f t="shared" si="11"/>
        <v>111</v>
      </c>
      <c r="R32" s="1557" t="s">
        <v>8</v>
      </c>
      <c r="S32" s="1558">
        <f t="shared" si="12"/>
        <v>100</v>
      </c>
      <c r="T32" s="1557" t="s">
        <v>8</v>
      </c>
      <c r="U32" s="1558">
        <f t="shared" si="13"/>
        <v>100</v>
      </c>
      <c r="V32" s="1557" t="s">
        <v>8</v>
      </c>
      <c r="W32" s="1558">
        <f t="shared" si="14"/>
        <v>100</v>
      </c>
      <c r="X32" s="1551"/>
      <c r="Y32" s="3457" t="s">
        <v>550</v>
      </c>
      <c r="Z32" s="1559">
        <f t="shared" si="15"/>
        <v>111</v>
      </c>
      <c r="AA32" s="1560">
        <f t="shared" si="3"/>
        <v>1</v>
      </c>
      <c r="AB32" s="1560">
        <f t="shared" si="4"/>
        <v>1</v>
      </c>
      <c r="AC32" s="1560">
        <f t="shared" si="5"/>
        <v>1</v>
      </c>
    </row>
    <row r="33" spans="1:29" ht="15">
      <c r="A33" s="593"/>
      <c r="B33" s="536">
        <v>111</v>
      </c>
      <c r="C33" s="527"/>
      <c r="D33" s="539">
        <v>100</v>
      </c>
      <c r="E33" s="877"/>
      <c r="F33" s="574">
        <f>SUMIF(93:93,E33,94:94)-SUMIF(93:93,C33,94:94)+100</f>
        <v>100</v>
      </c>
      <c r="G33" s="877"/>
      <c r="H33" s="539">
        <f>SUMIF(93:93,G33,94:94)-SUMIF(93:93,C33,94:94)+100</f>
        <v>100</v>
      </c>
      <c r="I33" s="877"/>
      <c r="J33" s="539">
        <f>SUMIF(93:93,I33,94:94)-SUMIF(93:93,C33,94:94)+100</f>
        <v>100</v>
      </c>
      <c r="K33" s="580"/>
      <c r="L33" s="2125"/>
      <c r="M33" s="2117"/>
      <c r="N33" s="2117"/>
      <c r="O33" s="2124"/>
      <c r="P33" s="3457"/>
      <c r="Q33" s="1556">
        <f t="shared" si="11"/>
        <v>111</v>
      </c>
      <c r="R33" s="1557" t="s">
        <v>8</v>
      </c>
      <c r="S33" s="1558">
        <f t="shared" si="12"/>
        <v>100</v>
      </c>
      <c r="T33" s="1557" t="s">
        <v>8</v>
      </c>
      <c r="U33" s="1558">
        <f t="shared" si="13"/>
        <v>100</v>
      </c>
      <c r="V33" s="1557" t="s">
        <v>8</v>
      </c>
      <c r="W33" s="1558">
        <f t="shared" si="14"/>
        <v>100</v>
      </c>
      <c r="X33" s="1551"/>
      <c r="Y33" s="3457"/>
      <c r="Z33" s="1559">
        <f t="shared" si="15"/>
        <v>111</v>
      </c>
      <c r="AA33" s="1560">
        <f t="shared" si="3"/>
        <v>1</v>
      </c>
      <c r="AB33" s="1560">
        <f t="shared" si="4"/>
        <v>1</v>
      </c>
      <c r="AC33" s="1560">
        <f t="shared" si="5"/>
        <v>1</v>
      </c>
    </row>
    <row r="34" spans="1:29" ht="15.75" thickBot="1">
      <c r="A34" s="883"/>
      <c r="B34" s="543">
        <v>111</v>
      </c>
      <c r="C34" s="544"/>
      <c r="D34" s="545">
        <v>100</v>
      </c>
      <c r="E34" s="941"/>
      <c r="F34" s="865">
        <f>SUMIF(95:95,E34,96:96)-SUMIF(95:95,C34,96:96)+100</f>
        <v>100</v>
      </c>
      <c r="G34" s="941"/>
      <c r="H34" s="545">
        <f>SUMIF(95:95,G34,96:96)-SUMIF(95:95,C34,96:96)+100</f>
        <v>100</v>
      </c>
      <c r="I34" s="941"/>
      <c r="J34" s="545">
        <f>SUMIF(95:95,I34,96:96)-SUMIF(95:95,C34,96:96)+100</f>
        <v>100</v>
      </c>
      <c r="K34" s="580"/>
      <c r="L34" s="2125"/>
      <c r="M34" s="2117"/>
      <c r="N34" s="2117"/>
      <c r="O34" s="2124"/>
      <c r="P34" s="3457"/>
      <c r="Q34" s="1556">
        <f t="shared" si="11"/>
        <v>111</v>
      </c>
      <c r="R34" s="1557" t="s">
        <v>8</v>
      </c>
      <c r="S34" s="1558">
        <f t="shared" si="12"/>
        <v>100</v>
      </c>
      <c r="T34" s="1557" t="s">
        <v>8</v>
      </c>
      <c r="U34" s="1558">
        <f t="shared" si="13"/>
        <v>100</v>
      </c>
      <c r="V34" s="1557" t="s">
        <v>8</v>
      </c>
      <c r="W34" s="1558">
        <f t="shared" si="14"/>
        <v>100</v>
      </c>
      <c r="X34" s="1551"/>
      <c r="Y34" s="3457"/>
      <c r="Z34" s="1559">
        <f t="shared" si="15"/>
        <v>111</v>
      </c>
      <c r="AA34" s="1560">
        <f t="shared" si="3"/>
        <v>1</v>
      </c>
      <c r="AB34" s="1560">
        <f t="shared" si="4"/>
        <v>1</v>
      </c>
      <c r="AC34" s="1560">
        <f t="shared" si="5"/>
        <v>1</v>
      </c>
    </row>
    <row r="35" spans="1:29" ht="15">
      <c r="A35" s="606" t="s">
        <v>736</v>
      </c>
      <c r="B35" s="884"/>
      <c r="C35" s="2589" t="s">
        <v>1</v>
      </c>
      <c r="D35" s="2590"/>
      <c r="E35" s="2591"/>
      <c r="F35" s="2592"/>
      <c r="G35" s="2593"/>
      <c r="H35" s="2594"/>
      <c r="I35" s="2591"/>
      <c r="J35" s="2594"/>
      <c r="K35" s="1594"/>
      <c r="L35" s="2127"/>
      <c r="M35" s="2128"/>
      <c r="N35" s="2117"/>
      <c r="O35" s="2128"/>
      <c r="P35" s="3420" t="str">
        <f>A35</f>
        <v>成交单价（元/平方米）</v>
      </c>
      <c r="Q35" s="3420"/>
      <c r="R35" s="3537">
        <f>E35</f>
        <v>0</v>
      </c>
      <c r="S35" s="3537"/>
      <c r="T35" s="3537">
        <f>G35</f>
        <v>0</v>
      </c>
      <c r="U35" s="3537"/>
      <c r="V35" s="3537">
        <f>I35</f>
        <v>0</v>
      </c>
      <c r="W35" s="3537"/>
      <c r="X35" s="1543"/>
      <c r="Y35" s="1565"/>
      <c r="Z35" s="1543"/>
      <c r="AA35" s="1543"/>
      <c r="AB35" s="1543"/>
      <c r="AC35" s="1543"/>
    </row>
    <row r="36" spans="1:29" ht="15.75" thickBot="1">
      <c r="A36" s="614" t="s">
        <v>2757</v>
      </c>
      <c r="B36" s="885"/>
      <c r="C36" s="2595" t="e">
        <f>R37</f>
        <v>#DIV/0!</v>
      </c>
      <c r="D36" s="2596"/>
      <c r="E36" s="2597" t="e">
        <f>R36</f>
        <v>#DIV/0!</v>
      </c>
      <c r="F36" s="2597"/>
      <c r="G36" s="2595" t="e">
        <f>T36</f>
        <v>#DIV/0!</v>
      </c>
      <c r="H36" s="2596"/>
      <c r="I36" s="2597" t="e">
        <f>V36</f>
        <v>#DIV/0!</v>
      </c>
      <c r="J36" s="2596"/>
      <c r="K36" s="1595"/>
      <c r="L36" s="2127"/>
      <c r="M36" s="2128"/>
      <c r="N36" s="2117"/>
      <c r="O36" s="2128"/>
      <c r="P36" s="3420" t="str">
        <f>A36</f>
        <v>比较价格（元/平方米）</v>
      </c>
      <c r="Q36" s="3420"/>
      <c r="R36" s="3537" t="e">
        <f>IF(F1="售价",ROUND(PRODUCT(R35,AA7:AA34),0),ROUND(PRODUCT(R35,AA7:AA34),1))</f>
        <v>#DIV/0!</v>
      </c>
      <c r="S36" s="3537"/>
      <c r="T36" s="3537" t="e">
        <f>IF(F1="售价",ROUND(PRODUCT(T35,AB7:AB34),0),ROUND(PRODUCT(T35,AB7:AB34),1))</f>
        <v>#DIV/0!</v>
      </c>
      <c r="U36" s="3537"/>
      <c r="V36" s="3537" t="e">
        <f>IF(F1="售价",ROUND(PRODUCT(V35,AC7:AC34),0),ROUND(PRODUCT(V35,AC7:AC34),1))</f>
        <v>#DIV/0!</v>
      </c>
      <c r="W36" s="3537"/>
      <c r="X36" s="1543"/>
      <c r="Y36" s="1543"/>
      <c r="Z36" s="1543"/>
      <c r="AA36" s="1543"/>
      <c r="AB36" s="1543"/>
      <c r="AC36" s="1543"/>
    </row>
    <row r="37" spans="1:29" ht="15.75" thickBot="1">
      <c r="A37" s="620" t="s">
        <v>2933</v>
      </c>
      <c r="B37" s="621"/>
      <c r="C37" s="2598" t="e">
        <f>R37</f>
        <v>#DIV/0!</v>
      </c>
      <c r="D37" s="2598"/>
      <c r="E37" s="2598"/>
      <c r="F37" s="2598"/>
      <c r="G37" s="2598"/>
      <c r="H37" s="2598"/>
      <c r="I37" s="2598"/>
      <c r="J37" s="2598"/>
      <c r="K37" s="1596"/>
      <c r="L37" s="2127"/>
      <c r="M37" s="2128"/>
      <c r="N37" s="2128"/>
      <c r="O37" s="2128"/>
      <c r="P37" s="3417" t="str">
        <f>A37</f>
        <v>估价对象XX用房的比较价格（楼面单价，元/平方米）</v>
      </c>
      <c r="Q37" s="3418"/>
      <c r="R37" s="3536" t="e">
        <f>IF(F1="售价",ROUND(AVERAGE(R36:V36),0),ROUND(AVERAGE(R36:V36),1))</f>
        <v>#DIV/0!</v>
      </c>
      <c r="S37" s="3536"/>
      <c r="T37" s="3536"/>
      <c r="U37" s="3536"/>
      <c r="V37" s="3536"/>
      <c r="W37" s="3536"/>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4" t="s">
        <v>529</v>
      </c>
      <c r="B46" s="645"/>
      <c r="C46" s="2755" t="str">
        <f>YEAR(C7)&amp;"-"&amp;MONTH(C7)</f>
        <v>2020-3</v>
      </c>
      <c r="D46" s="2757">
        <f>EDATE(C46,-1)</f>
        <v>43862</v>
      </c>
      <c r="E46" s="2757">
        <f t="shared" ref="E46:O46" si="16">EDATE(D46,-1)</f>
        <v>43831</v>
      </c>
      <c r="F46" s="2757">
        <f t="shared" si="16"/>
        <v>43800</v>
      </c>
      <c r="G46" s="2757">
        <f t="shared" si="16"/>
        <v>43770</v>
      </c>
      <c r="H46" s="2757">
        <f t="shared" si="16"/>
        <v>43739</v>
      </c>
      <c r="I46" s="2757">
        <f t="shared" si="16"/>
        <v>43709</v>
      </c>
      <c r="J46" s="2757">
        <f t="shared" si="16"/>
        <v>43678</v>
      </c>
      <c r="K46" s="2757">
        <f t="shared" si="16"/>
        <v>43647</v>
      </c>
      <c r="L46" s="2757">
        <f t="shared" si="16"/>
        <v>43617</v>
      </c>
      <c r="M46" s="2757">
        <f t="shared" si="16"/>
        <v>43586</v>
      </c>
      <c r="N46" s="2757">
        <f t="shared" si="16"/>
        <v>43556</v>
      </c>
      <c r="O46" s="2757">
        <f t="shared" si="16"/>
        <v>43525</v>
      </c>
      <c r="P46" s="2143"/>
      <c r="Q46" s="2144"/>
      <c r="R46" s="2144"/>
      <c r="S46" s="2144"/>
      <c r="T46" s="2144"/>
      <c r="U46" s="2144"/>
      <c r="V46" s="2144"/>
      <c r="W46" s="2144"/>
      <c r="X46" s="2144"/>
      <c r="Y46" s="2144"/>
      <c r="Z46" s="2144"/>
      <c r="AA46" s="2144"/>
      <c r="AB46" s="2144"/>
      <c r="AC46" s="2144"/>
    </row>
    <row r="47" spans="1:29" s="1213"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3"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3"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2">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2556</v>
      </c>
      <c r="C65" s="2560" t="s">
        <v>2557</v>
      </c>
      <c r="D65" s="2560" t="s">
        <v>2558</v>
      </c>
      <c r="E65" s="2560" t="s">
        <v>2559</v>
      </c>
      <c r="F65" s="2560" t="s">
        <v>2560</v>
      </c>
      <c r="G65" s="2560" t="s">
        <v>2561</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2"/>
      <c r="I66" s="932"/>
      <c r="J66" s="932"/>
      <c r="K66" s="932"/>
      <c r="L66" s="932"/>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8"/>
      <c r="B71" s="672">
        <f>B23</f>
        <v>111</v>
      </c>
      <c r="C71" s="540"/>
      <c r="D71" s="540"/>
      <c r="E71" s="540"/>
      <c r="F71" s="540"/>
      <c r="G71" s="687"/>
      <c r="H71" s="687"/>
      <c r="I71" s="687"/>
      <c r="J71" s="687"/>
      <c r="K71" s="687"/>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8"/>
      <c r="B73" s="672">
        <f>B24</f>
        <v>111</v>
      </c>
      <c r="C73" s="540"/>
      <c r="D73" s="540"/>
      <c r="E73" s="540"/>
      <c r="F73" s="540"/>
      <c r="G73" s="687"/>
      <c r="H73" s="687"/>
      <c r="I73" s="687"/>
      <c r="J73" s="687"/>
      <c r="K73" s="687"/>
      <c r="L73" s="6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2" customFormat="1" ht="15" thickTop="1">
      <c r="A89" s="727"/>
      <c r="B89" s="672" t="s">
        <v>827</v>
      </c>
      <c r="C89" s="687"/>
      <c r="D89" s="687"/>
      <c r="E89" s="687"/>
      <c r="F89" s="687"/>
      <c r="G89" s="687"/>
      <c r="H89" s="687"/>
      <c r="I89" s="687"/>
      <c r="J89" s="687"/>
      <c r="K89" s="687"/>
      <c r="L89" s="687"/>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4">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L7" sqref="L7"/>
      <selection pane="bottomLeft" activeCell="L7" sqref="L7"/>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7" t="s">
        <v>2301</v>
      </c>
      <c r="C1" s="3549" t="s">
        <v>2302</v>
      </c>
      <c r="D1" s="3550"/>
      <c r="E1" s="3550"/>
      <c r="F1" s="3550"/>
      <c r="G1" s="3550"/>
      <c r="H1" s="3550"/>
      <c r="I1" s="3550"/>
      <c r="J1" s="3550"/>
      <c r="K1" s="3550"/>
      <c r="L1" s="3550"/>
      <c r="M1" s="3550"/>
      <c r="N1" s="3550"/>
      <c r="O1" s="3550"/>
      <c r="P1" s="3550"/>
      <c r="Q1" s="3550"/>
      <c r="R1" s="3550"/>
      <c r="S1" s="3551"/>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7" t="s">
        <v>2926</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9" t="s">
        <v>2925</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9" t="s">
        <v>2924</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8"/>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7" t="s">
        <v>2937</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7" t="s">
        <v>2923</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7" t="s">
        <v>2922</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46" t="s">
        <v>20</v>
      </c>
      <c r="D22" s="3547"/>
      <c r="E22" s="3547"/>
      <c r="F22" s="3547"/>
      <c r="G22" s="3547"/>
      <c r="H22" s="3547"/>
      <c r="I22" s="3547"/>
      <c r="J22" s="3547"/>
      <c r="K22" s="3547"/>
      <c r="L22" s="3547"/>
      <c r="M22" s="3547"/>
      <c r="N22" s="3547"/>
      <c r="O22" s="3547"/>
      <c r="P22" s="3547"/>
      <c r="Q22" s="3548"/>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IF(B25="",0,ROUND($R$24*C25*E25*G25*I25*K25*M25*O25*Q25,0))</f>
        <v>0</v>
      </c>
      <c r="S25" s="798">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受贵公司委托，我公司对北京市出让国有建设用地使用权抵押价格进行了预评估。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7" spans="1:4" ht="93.75">
      <c r="A7" s="2826" t="s">
        <v>2745</v>
      </c>
    </row>
    <row r="8" spans="1:4" ht="18.75">
      <c r="A8" s="1777" t="s">
        <v>1906</v>
      </c>
    </row>
    <row r="9" spans="1:4" ht="56.25">
      <c r="A9" s="177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2020年3月30日（评估专业人员勘察现场之日）</v>
      </c>
    </row>
    <row r="12" spans="1:4" ht="18.75">
      <c r="A12" s="1780" t="s">
        <v>2023</v>
      </c>
    </row>
    <row r="13" spans="1:4" ht="18.75">
      <c r="A13" s="1774" t="s">
        <v>2069</v>
      </c>
    </row>
    <row r="14" spans="1:4" ht="37.5">
      <c r="A14" s="1774" t="str">
        <f>"根据"&amp;项目基本情况!F12&amp;"，本次评估估价对象证载（地类）用途为"&amp;项目基本情况!B12&amp;"。"</f>
        <v>根据《国有土地使用证》[]，本次评估估价对象证载（地类）用途为住宅、车库。</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根据《国有土地使用证》[]，估价对象（分摊）出让国有建设用地使用权面积为42532.75平方米。根据《建设工程规划许可证》[]、《出让合同》[]，估价对象规划建筑面积为97045平方米。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8" t="s">
        <v>2746</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43920</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C2" sqref="C2"/>
    </sheetView>
  </sheetViews>
  <sheetFormatPr defaultRowHeight="13.5"/>
  <cols>
    <col min="1" max="1" width="21.875" customWidth="1"/>
  </cols>
  <sheetData>
    <row r="1" spans="1:14">
      <c r="A1" s="3178" t="s">
        <v>3021</v>
      </c>
      <c r="B1" s="3178" t="s">
        <v>3022</v>
      </c>
      <c r="C1" s="3178" t="s">
        <v>3023</v>
      </c>
      <c r="D1" s="3178" t="s">
        <v>3024</v>
      </c>
      <c r="E1" s="3178" t="s">
        <v>3025</v>
      </c>
      <c r="F1" s="3178" t="s">
        <v>2030</v>
      </c>
      <c r="G1" s="3178" t="s">
        <v>3026</v>
      </c>
      <c r="H1" s="3178" t="s">
        <v>3027</v>
      </c>
      <c r="I1" s="3178" t="s">
        <v>3028</v>
      </c>
      <c r="J1" s="3178" t="s">
        <v>3029</v>
      </c>
      <c r="K1" s="3178" t="s">
        <v>3030</v>
      </c>
      <c r="L1" s="3178" t="s">
        <v>3031</v>
      </c>
      <c r="M1" s="3178" t="s">
        <v>3032</v>
      </c>
      <c r="N1" s="3178" t="s">
        <v>3033</v>
      </c>
    </row>
    <row r="2" spans="1:14" s="3182" customFormat="1">
      <c r="A2" s="3181" t="s">
        <v>3034</v>
      </c>
      <c r="B2" s="3181" t="s">
        <v>1943</v>
      </c>
      <c r="C2" s="3181" t="s">
        <v>3035</v>
      </c>
      <c r="D2" s="3181">
        <v>54523.08</v>
      </c>
      <c r="E2" s="3181">
        <v>68836</v>
      </c>
      <c r="F2" s="3181" t="s">
        <v>3036</v>
      </c>
      <c r="G2" s="3181" t="s">
        <v>3037</v>
      </c>
      <c r="H2" s="3181" t="s">
        <v>3038</v>
      </c>
      <c r="I2" s="3181">
        <v>161000</v>
      </c>
      <c r="J2" s="3181">
        <v>161000</v>
      </c>
      <c r="K2" s="3181">
        <v>23388.91</v>
      </c>
      <c r="L2" s="3181">
        <v>0</v>
      </c>
      <c r="M2" s="3181" t="s">
        <v>3039</v>
      </c>
      <c r="N2" s="3181" t="s">
        <v>3040</v>
      </c>
    </row>
    <row r="3" spans="1:14">
      <c r="A3" s="3178" t="s">
        <v>3041</v>
      </c>
      <c r="B3" s="3178" t="s">
        <v>1943</v>
      </c>
      <c r="C3" s="3178" t="s">
        <v>3035</v>
      </c>
      <c r="D3" s="3178">
        <v>165793.17000000001</v>
      </c>
      <c r="E3" s="3178">
        <v>381104</v>
      </c>
      <c r="F3" s="3178" t="s">
        <v>3042</v>
      </c>
      <c r="G3" s="3178" t="s">
        <v>3037</v>
      </c>
      <c r="H3" s="3178" t="s">
        <v>3043</v>
      </c>
      <c r="I3" s="3178">
        <v>420000</v>
      </c>
      <c r="J3" s="3178">
        <v>420000</v>
      </c>
      <c r="K3" s="3178">
        <v>11020.61</v>
      </c>
      <c r="L3" s="3178">
        <v>0</v>
      </c>
      <c r="M3" s="3178" t="s">
        <v>3044</v>
      </c>
      <c r="N3" s="3178" t="s">
        <v>3040</v>
      </c>
    </row>
    <row r="4" spans="1:14">
      <c r="A4" s="3178" t="s">
        <v>3045</v>
      </c>
      <c r="B4" s="3178" t="s">
        <v>1943</v>
      </c>
      <c r="C4" s="3178" t="s">
        <v>3035</v>
      </c>
      <c r="D4" s="3178">
        <v>35805</v>
      </c>
      <c r="E4" s="3178">
        <v>71581</v>
      </c>
      <c r="F4" s="3178" t="s">
        <v>3046</v>
      </c>
      <c r="G4" s="3178" t="s">
        <v>3037</v>
      </c>
      <c r="H4" s="3178" t="s">
        <v>3047</v>
      </c>
      <c r="I4" s="3178">
        <v>77000</v>
      </c>
      <c r="J4" s="3178">
        <v>85000</v>
      </c>
      <c r="K4" s="3178">
        <v>11874.65</v>
      </c>
      <c r="L4" s="3178">
        <v>10.39</v>
      </c>
      <c r="M4" s="3178" t="s">
        <v>3048</v>
      </c>
      <c r="N4" s="3178" t="s">
        <v>3049</v>
      </c>
    </row>
    <row r="5" spans="1:14">
      <c r="A5" s="3178" t="s">
        <v>3050</v>
      </c>
      <c r="B5" s="3178" t="s">
        <v>1943</v>
      </c>
      <c r="C5" s="3178" t="s">
        <v>3051</v>
      </c>
      <c r="D5" s="3178">
        <v>37817.29</v>
      </c>
      <c r="E5" s="3178">
        <v>83198</v>
      </c>
      <c r="F5" s="3178" t="s">
        <v>3052</v>
      </c>
      <c r="G5" s="3178" t="s">
        <v>3053</v>
      </c>
      <c r="H5" s="3178" t="s">
        <v>3054</v>
      </c>
      <c r="I5" s="3178" t="s">
        <v>2815</v>
      </c>
      <c r="J5" s="3178">
        <v>85861.17</v>
      </c>
      <c r="K5" s="3178">
        <v>10320.1</v>
      </c>
      <c r="L5" s="3178" t="s">
        <v>2815</v>
      </c>
      <c r="M5" s="3178" t="s">
        <v>3055</v>
      </c>
      <c r="N5" s="3178" t="s">
        <v>3049</v>
      </c>
    </row>
    <row r="6" spans="1:14">
      <c r="A6" s="3178" t="s">
        <v>3056</v>
      </c>
      <c r="B6" s="3178" t="s">
        <v>1943</v>
      </c>
      <c r="C6" s="3178" t="s">
        <v>3035</v>
      </c>
      <c r="D6" s="3178">
        <v>146640.21</v>
      </c>
      <c r="E6" s="3178">
        <v>288410</v>
      </c>
      <c r="F6" s="3178" t="s">
        <v>3057</v>
      </c>
      <c r="G6" s="3178" t="s">
        <v>3037</v>
      </c>
      <c r="H6" s="3178" t="s">
        <v>3058</v>
      </c>
      <c r="I6" s="3178">
        <v>430000</v>
      </c>
      <c r="J6" s="3178">
        <v>430000</v>
      </c>
      <c r="K6" s="3178">
        <v>14909.32</v>
      </c>
      <c r="L6" s="3178">
        <v>0</v>
      </c>
      <c r="M6" s="3178" t="s">
        <v>3059</v>
      </c>
      <c r="N6" s="3178" t="s">
        <v>3040</v>
      </c>
    </row>
    <row r="7" spans="1:14">
      <c r="A7" s="3178" t="s">
        <v>3060</v>
      </c>
      <c r="B7" s="3178" t="s">
        <v>1943</v>
      </c>
      <c r="C7" s="3178" t="s">
        <v>3051</v>
      </c>
      <c r="D7" s="3178">
        <v>96884.68</v>
      </c>
      <c r="E7" s="3178">
        <v>145327</v>
      </c>
      <c r="F7" s="3178" t="s">
        <v>3061</v>
      </c>
      <c r="G7" s="3178" t="s">
        <v>3037</v>
      </c>
      <c r="H7" s="3178" t="s">
        <v>3062</v>
      </c>
      <c r="I7" s="3178">
        <v>340000</v>
      </c>
      <c r="J7" s="3178">
        <v>410000</v>
      </c>
      <c r="K7" s="3178">
        <v>28212.240000000002</v>
      </c>
      <c r="L7" s="3178">
        <v>20.59</v>
      </c>
      <c r="M7" s="3178" t="s">
        <v>3063</v>
      </c>
      <c r="N7" s="3178" t="s">
        <v>3064</v>
      </c>
    </row>
    <row r="8" spans="1:14" s="3180" customFormat="1">
      <c r="A8" s="3179" t="s">
        <v>3065</v>
      </c>
      <c r="B8" s="3179" t="s">
        <v>1943</v>
      </c>
      <c r="C8" s="3179" t="s">
        <v>3035</v>
      </c>
      <c r="D8" s="3179">
        <v>81565.039999999994</v>
      </c>
      <c r="E8" s="3179">
        <v>166468</v>
      </c>
      <c r="F8" s="3179" t="s">
        <v>3066</v>
      </c>
      <c r="G8" s="3179" t="s">
        <v>3037</v>
      </c>
      <c r="H8" s="3179" t="s">
        <v>3067</v>
      </c>
      <c r="I8" s="3179">
        <v>363600</v>
      </c>
      <c r="J8" s="3179">
        <v>363600</v>
      </c>
      <c r="K8" s="3179">
        <v>21842.04</v>
      </c>
      <c r="L8" s="3179">
        <v>0</v>
      </c>
      <c r="M8" s="3179" t="s">
        <v>3068</v>
      </c>
      <c r="N8" s="3179" t="s">
        <v>3049</v>
      </c>
    </row>
    <row r="9" spans="1:14">
      <c r="A9" s="3178" t="s">
        <v>3069</v>
      </c>
      <c r="B9" s="3178" t="s">
        <v>1943</v>
      </c>
      <c r="C9" s="3178" t="s">
        <v>3035</v>
      </c>
      <c r="D9" s="3178">
        <v>36338.199999999997</v>
      </c>
      <c r="E9" s="3178">
        <v>67633</v>
      </c>
      <c r="F9" s="3178">
        <v>1.86</v>
      </c>
      <c r="G9" s="3178" t="s">
        <v>3037</v>
      </c>
      <c r="H9" s="3178" t="s">
        <v>3070</v>
      </c>
      <c r="I9" s="3178">
        <v>79200</v>
      </c>
      <c r="J9" s="3178">
        <v>79200</v>
      </c>
      <c r="K9" s="3178">
        <v>11710.26</v>
      </c>
      <c r="L9" s="3178">
        <v>0</v>
      </c>
      <c r="M9" s="3178" t="s">
        <v>3071</v>
      </c>
      <c r="N9" s="3178" t="s">
        <v>3040</v>
      </c>
    </row>
    <row r="10" spans="1:14">
      <c r="A10" s="3178" t="s">
        <v>3072</v>
      </c>
      <c r="B10" s="3178" t="s">
        <v>1943</v>
      </c>
      <c r="C10" s="3178" t="s">
        <v>3035</v>
      </c>
      <c r="D10" s="3178">
        <v>115895.2</v>
      </c>
      <c r="E10" s="3178">
        <v>176111</v>
      </c>
      <c r="F10" s="3178">
        <v>1.52</v>
      </c>
      <c r="G10" s="3178" t="s">
        <v>3037</v>
      </c>
      <c r="H10" s="3178" t="s">
        <v>3073</v>
      </c>
      <c r="I10" s="3178">
        <v>255500</v>
      </c>
      <c r="J10" s="3178">
        <v>255500</v>
      </c>
      <c r="K10" s="3178">
        <v>14507.89</v>
      </c>
      <c r="L10" s="3178">
        <v>0</v>
      </c>
      <c r="M10" s="3178" t="s">
        <v>3074</v>
      </c>
      <c r="N10" s="3178" t="s">
        <v>3049</v>
      </c>
    </row>
    <row r="11" spans="1:14">
      <c r="A11" s="3178" t="s">
        <v>3075</v>
      </c>
      <c r="B11" s="3178" t="s">
        <v>1943</v>
      </c>
      <c r="C11" s="3178" t="s">
        <v>3051</v>
      </c>
      <c r="D11" s="3178">
        <v>21403.13</v>
      </c>
      <c r="E11" s="3178">
        <v>38526</v>
      </c>
      <c r="F11" s="3178">
        <v>1.8</v>
      </c>
      <c r="G11" s="3178" t="s">
        <v>3037</v>
      </c>
      <c r="H11" s="3178" t="s">
        <v>3076</v>
      </c>
      <c r="I11" s="3178">
        <v>71000</v>
      </c>
      <c r="J11" s="3178">
        <v>92000</v>
      </c>
      <c r="K11" s="3178">
        <v>23879.97</v>
      </c>
      <c r="L11" s="3178">
        <v>29.58</v>
      </c>
      <c r="M11" s="3178" t="s">
        <v>3077</v>
      </c>
      <c r="N11" s="3178" t="s">
        <v>3049</v>
      </c>
    </row>
    <row r="12" spans="1:14">
      <c r="A12" s="3178" t="s">
        <v>3078</v>
      </c>
      <c r="B12" s="3178" t="s">
        <v>1943</v>
      </c>
      <c r="C12" s="3178" t="s">
        <v>3051</v>
      </c>
      <c r="D12" s="3178">
        <v>43325.9</v>
      </c>
      <c r="E12" s="3178">
        <v>64988</v>
      </c>
      <c r="F12" s="3178">
        <v>1.5</v>
      </c>
      <c r="G12" s="3178" t="s">
        <v>3037</v>
      </c>
      <c r="H12" s="3178" t="s">
        <v>3076</v>
      </c>
      <c r="I12" s="3178">
        <v>190000</v>
      </c>
      <c r="J12" s="3178">
        <v>204000</v>
      </c>
      <c r="K12" s="3178">
        <v>31390.400000000001</v>
      </c>
      <c r="L12" s="3178">
        <v>7.37</v>
      </c>
      <c r="M12" s="3178" t="s">
        <v>3079</v>
      </c>
      <c r="N12" s="3178" t="s">
        <v>3049</v>
      </c>
    </row>
    <row r="13" spans="1:14">
      <c r="A13" s="3178" t="s">
        <v>3080</v>
      </c>
      <c r="B13" s="3178" t="s">
        <v>1943</v>
      </c>
      <c r="C13" s="3178" t="s">
        <v>3035</v>
      </c>
      <c r="D13" s="3178">
        <v>28367.279999999999</v>
      </c>
      <c r="E13" s="3178">
        <v>42028</v>
      </c>
      <c r="F13" s="3178">
        <v>1.48</v>
      </c>
      <c r="G13" s="3178" t="s">
        <v>3037</v>
      </c>
      <c r="H13" s="3178" t="s">
        <v>3081</v>
      </c>
      <c r="I13" s="3178">
        <v>76000</v>
      </c>
      <c r="J13" s="3178">
        <v>88500</v>
      </c>
      <c r="K13" s="3178">
        <v>21057.38</v>
      </c>
      <c r="L13" s="3178">
        <v>16.45</v>
      </c>
      <c r="M13" s="3178" t="s">
        <v>3082</v>
      </c>
      <c r="N13" s="3178" t="s">
        <v>3049</v>
      </c>
    </row>
    <row r="14" spans="1:14" s="3180" customFormat="1">
      <c r="A14" s="3179" t="s">
        <v>3083</v>
      </c>
      <c r="B14" s="3179" t="s">
        <v>1943</v>
      </c>
      <c r="C14" s="3179" t="s">
        <v>3035</v>
      </c>
      <c r="D14" s="3179">
        <v>69856.02</v>
      </c>
      <c r="E14" s="3179">
        <v>104180</v>
      </c>
      <c r="F14" s="3179">
        <v>1.49</v>
      </c>
      <c r="G14" s="3179" t="s">
        <v>3037</v>
      </c>
      <c r="H14" s="3179" t="s">
        <v>3081</v>
      </c>
      <c r="I14" s="3179">
        <v>190000</v>
      </c>
      <c r="J14" s="3179">
        <v>233000</v>
      </c>
      <c r="K14" s="3179">
        <v>22365.13</v>
      </c>
      <c r="L14" s="3179">
        <v>22.63</v>
      </c>
      <c r="M14" s="3179" t="s">
        <v>3084</v>
      </c>
      <c r="N14" s="3179" t="s">
        <v>3085</v>
      </c>
    </row>
    <row r="15" spans="1:14">
      <c r="A15" s="3178" t="s">
        <v>3086</v>
      </c>
      <c r="B15" s="3178" t="s">
        <v>1943</v>
      </c>
      <c r="C15" s="3178" t="s">
        <v>3051</v>
      </c>
      <c r="D15" s="3178">
        <v>41663.440000000002</v>
      </c>
      <c r="E15" s="3178">
        <v>70828</v>
      </c>
      <c r="F15" s="3178">
        <v>1.7</v>
      </c>
      <c r="G15" s="3178" t="s">
        <v>3037</v>
      </c>
      <c r="H15" s="3178" t="s">
        <v>3087</v>
      </c>
      <c r="I15" s="3178">
        <v>76700</v>
      </c>
      <c r="J15" s="3178">
        <v>77900</v>
      </c>
      <c r="K15" s="3178">
        <v>10998.47</v>
      </c>
      <c r="L15" s="3178">
        <v>1.56</v>
      </c>
      <c r="M15" s="3178" t="s">
        <v>3088</v>
      </c>
      <c r="N15" s="3178" t="s">
        <v>3049</v>
      </c>
    </row>
    <row r="16" spans="1:14">
      <c r="A16" s="3178" t="s">
        <v>3089</v>
      </c>
      <c r="B16" s="3178" t="s">
        <v>1943</v>
      </c>
      <c r="C16" s="3178" t="s">
        <v>3051</v>
      </c>
      <c r="D16" s="3178">
        <v>66475.23</v>
      </c>
      <c r="E16" s="3178">
        <v>132950</v>
      </c>
      <c r="F16" s="3178">
        <v>2</v>
      </c>
      <c r="G16" s="3178" t="s">
        <v>3037</v>
      </c>
      <c r="H16" s="3178" t="s">
        <v>3087</v>
      </c>
      <c r="I16" s="3178">
        <v>380000</v>
      </c>
      <c r="J16" s="3178">
        <v>450000</v>
      </c>
      <c r="K16" s="3178">
        <v>33847.300000000003</v>
      </c>
      <c r="L16" s="3178">
        <v>18.420000000000002</v>
      </c>
      <c r="M16" s="3178" t="s">
        <v>3090</v>
      </c>
      <c r="N16" s="3178" t="s">
        <v>3085</v>
      </c>
    </row>
    <row r="17" spans="1:14">
      <c r="A17" s="3178" t="s">
        <v>3091</v>
      </c>
      <c r="B17" s="3178" t="s">
        <v>1943</v>
      </c>
      <c r="C17" s="3178" t="s">
        <v>3035</v>
      </c>
      <c r="D17" s="3178">
        <v>76571.12</v>
      </c>
      <c r="E17" s="3178">
        <v>132728</v>
      </c>
      <c r="F17" s="3178">
        <v>1.73</v>
      </c>
      <c r="G17" s="3178" t="s">
        <v>3037</v>
      </c>
      <c r="H17" s="3178" t="s">
        <v>3087</v>
      </c>
      <c r="I17" s="3178">
        <v>165000</v>
      </c>
      <c r="J17" s="3178">
        <v>194500</v>
      </c>
      <c r="K17" s="3178">
        <v>14654.03</v>
      </c>
      <c r="L17" s="3178">
        <v>17.88</v>
      </c>
      <c r="M17" s="3178" t="s">
        <v>3092</v>
      </c>
      <c r="N17" s="3178" t="s">
        <v>3085</v>
      </c>
    </row>
    <row r="18" spans="1:14">
      <c r="A18" s="3178" t="s">
        <v>3093</v>
      </c>
      <c r="B18" s="3178" t="s">
        <v>1943</v>
      </c>
      <c r="C18" s="3178" t="s">
        <v>3035</v>
      </c>
      <c r="D18" s="3178">
        <v>60622</v>
      </c>
      <c r="E18" s="3178">
        <v>157573</v>
      </c>
      <c r="F18" s="3178">
        <v>2.6</v>
      </c>
      <c r="G18" s="3178" t="s">
        <v>3037</v>
      </c>
      <c r="H18" s="3178" t="s">
        <v>3087</v>
      </c>
      <c r="I18" s="3178">
        <v>249600</v>
      </c>
      <c r="J18" s="3178">
        <v>253350</v>
      </c>
      <c r="K18" s="3178">
        <v>16078.26</v>
      </c>
      <c r="L18" s="3178">
        <v>1.5</v>
      </c>
      <c r="M18" s="3178" t="s">
        <v>3094</v>
      </c>
      <c r="N18" s="3178" t="s">
        <v>3085</v>
      </c>
    </row>
    <row r="19" spans="1:14">
      <c r="A19" s="3178" t="s">
        <v>3095</v>
      </c>
      <c r="B19" s="3178" t="s">
        <v>1943</v>
      </c>
      <c r="C19" s="3178" t="s">
        <v>3035</v>
      </c>
      <c r="D19" s="3178">
        <v>54533</v>
      </c>
      <c r="E19" s="3178">
        <v>70556</v>
      </c>
      <c r="F19" s="3178">
        <v>1.29</v>
      </c>
      <c r="G19" s="3178" t="s">
        <v>3037</v>
      </c>
      <c r="H19" s="3178" t="s">
        <v>3096</v>
      </c>
      <c r="I19" s="3178">
        <v>92500</v>
      </c>
      <c r="J19" s="3178">
        <v>92500</v>
      </c>
      <c r="K19" s="3178">
        <v>13110.14</v>
      </c>
      <c r="L19" s="3178">
        <v>0</v>
      </c>
      <c r="M19" s="3178" t="s">
        <v>3097</v>
      </c>
      <c r="N19" s="3178" t="s">
        <v>3040</v>
      </c>
    </row>
    <row r="20" spans="1:14">
      <c r="A20" s="3178" t="s">
        <v>3098</v>
      </c>
      <c r="B20" s="3178" t="s">
        <v>1943</v>
      </c>
      <c r="C20" s="3178" t="s">
        <v>3035</v>
      </c>
      <c r="D20" s="3178">
        <v>55220.72</v>
      </c>
      <c r="E20" s="3178">
        <v>84310</v>
      </c>
      <c r="F20" s="3178">
        <v>1.53</v>
      </c>
      <c r="G20" s="3178" t="s">
        <v>3037</v>
      </c>
      <c r="H20" s="3178" t="s">
        <v>3099</v>
      </c>
      <c r="I20" s="3178">
        <v>115000</v>
      </c>
      <c r="J20" s="3178">
        <v>115000</v>
      </c>
      <c r="K20" s="3178">
        <v>13640.13</v>
      </c>
      <c r="L20" s="3178">
        <v>0</v>
      </c>
      <c r="M20" s="3178" t="s">
        <v>3100</v>
      </c>
      <c r="N20" s="3178" t="s">
        <v>3040</v>
      </c>
    </row>
    <row r="21" spans="1:14" s="3180" customFormat="1">
      <c r="A21" s="3179" t="s">
        <v>3101</v>
      </c>
      <c r="B21" s="3179" t="s">
        <v>1943</v>
      </c>
      <c r="C21" s="3179" t="s">
        <v>3051</v>
      </c>
      <c r="D21" s="3179">
        <v>47849.94</v>
      </c>
      <c r="E21" s="3179">
        <v>76560</v>
      </c>
      <c r="F21" s="3179">
        <v>1.6</v>
      </c>
      <c r="G21" s="3179" t="s">
        <v>3037</v>
      </c>
      <c r="H21" s="3179" t="s">
        <v>3102</v>
      </c>
      <c r="I21" s="3179">
        <v>124000</v>
      </c>
      <c r="J21" s="3179">
        <v>175000</v>
      </c>
      <c r="K21" s="3179">
        <v>22857.88</v>
      </c>
      <c r="L21" s="3179">
        <v>41.13</v>
      </c>
      <c r="M21" s="3179" t="s">
        <v>3103</v>
      </c>
      <c r="N21" s="3179" t="s">
        <v>3040</v>
      </c>
    </row>
    <row r="22" spans="1:14">
      <c r="A22" s="3178" t="s">
        <v>3104</v>
      </c>
      <c r="B22" s="3178" t="s">
        <v>1943</v>
      </c>
      <c r="C22" s="3178" t="s">
        <v>3051</v>
      </c>
      <c r="D22" s="3178">
        <v>36365.370000000003</v>
      </c>
      <c r="E22" s="3178">
        <v>65458</v>
      </c>
      <c r="F22" s="3178">
        <v>1.8</v>
      </c>
      <c r="G22" s="3178" t="s">
        <v>3037</v>
      </c>
      <c r="H22" s="3178" t="s">
        <v>3102</v>
      </c>
      <c r="I22" s="3178">
        <v>180000</v>
      </c>
      <c r="J22" s="3178">
        <v>260000</v>
      </c>
      <c r="K22" s="3178">
        <v>39720.120000000003</v>
      </c>
      <c r="L22" s="3178">
        <v>44.44</v>
      </c>
      <c r="M22" s="3178" t="s">
        <v>3105</v>
      </c>
      <c r="N22" s="3178" t="s">
        <v>3085</v>
      </c>
    </row>
    <row r="23" spans="1:14">
      <c r="A23" s="3178" t="s">
        <v>3106</v>
      </c>
      <c r="B23" s="3178" t="s">
        <v>1943</v>
      </c>
      <c r="C23" s="3178" t="s">
        <v>3035</v>
      </c>
      <c r="D23" s="3178">
        <v>151738.6</v>
      </c>
      <c r="E23" s="3178">
        <v>152374</v>
      </c>
      <c r="F23" s="3178">
        <v>1.004</v>
      </c>
      <c r="G23" s="3178" t="s">
        <v>3037</v>
      </c>
      <c r="H23" s="3178" t="s">
        <v>3107</v>
      </c>
      <c r="I23" s="3178">
        <v>460000</v>
      </c>
      <c r="J23" s="3178">
        <v>685400</v>
      </c>
      <c r="K23" s="3178">
        <v>44981.43</v>
      </c>
      <c r="L23" s="3178">
        <v>49</v>
      </c>
      <c r="M23" s="3178" t="s">
        <v>3108</v>
      </c>
      <c r="N23" s="3178" t="s">
        <v>3049</v>
      </c>
    </row>
    <row r="24" spans="1:14">
      <c r="A24" s="3178" t="s">
        <v>3109</v>
      </c>
      <c r="B24" s="3178" t="s">
        <v>1943</v>
      </c>
      <c r="C24" s="3178" t="s">
        <v>3051</v>
      </c>
      <c r="D24" s="3178">
        <v>43539.77</v>
      </c>
      <c r="E24" s="3178">
        <v>108849</v>
      </c>
      <c r="F24" s="3178">
        <v>2.5</v>
      </c>
      <c r="G24" s="3178" t="s">
        <v>3053</v>
      </c>
      <c r="H24" s="3178" t="s">
        <v>3110</v>
      </c>
      <c r="I24" s="3178" t="s">
        <v>2815</v>
      </c>
      <c r="J24" s="3178">
        <v>99450</v>
      </c>
      <c r="K24" s="3178">
        <v>9136.51</v>
      </c>
      <c r="L24" s="3178" t="s">
        <v>2815</v>
      </c>
      <c r="M24" s="3178" t="s">
        <v>3111</v>
      </c>
      <c r="N24" s="3178" t="s">
        <v>3049</v>
      </c>
    </row>
    <row r="25" spans="1:14">
      <c r="A25" s="3178" t="s">
        <v>3112</v>
      </c>
      <c r="B25" s="3178" t="s">
        <v>1943</v>
      </c>
      <c r="C25" s="3178" t="s">
        <v>3035</v>
      </c>
      <c r="D25" s="3178">
        <v>132352.79999999999</v>
      </c>
      <c r="E25" s="3178">
        <v>201775</v>
      </c>
      <c r="F25" s="3178">
        <v>1.52</v>
      </c>
      <c r="G25" s="3178" t="s">
        <v>3037</v>
      </c>
      <c r="H25" s="3178" t="s">
        <v>3113</v>
      </c>
      <c r="I25" s="3178">
        <v>365000</v>
      </c>
      <c r="J25" s="3178">
        <v>380000</v>
      </c>
      <c r="K25" s="3178">
        <v>18832.86</v>
      </c>
      <c r="L25" s="3178">
        <v>4.1100000000000003</v>
      </c>
      <c r="M25" s="3178" t="s">
        <v>3114</v>
      </c>
      <c r="N25" s="3178" t="s">
        <v>3049</v>
      </c>
    </row>
    <row r="26" spans="1:14">
      <c r="A26" s="3178" t="s">
        <v>3115</v>
      </c>
      <c r="B26" s="3178" t="s">
        <v>1943</v>
      </c>
      <c r="C26" s="3178" t="s">
        <v>3035</v>
      </c>
      <c r="D26" s="3178">
        <v>72996.72</v>
      </c>
      <c r="E26" s="3178">
        <v>155965</v>
      </c>
      <c r="F26" s="3178">
        <v>2.14</v>
      </c>
      <c r="G26" s="3178" t="s">
        <v>3037</v>
      </c>
      <c r="H26" s="3178" t="s">
        <v>3116</v>
      </c>
      <c r="I26" s="3178">
        <v>202600</v>
      </c>
      <c r="J26" s="3178">
        <v>254000</v>
      </c>
      <c r="K26" s="3178">
        <v>16285.7</v>
      </c>
      <c r="L26" s="3178">
        <v>25.37</v>
      </c>
      <c r="M26" s="3178" t="s">
        <v>3117</v>
      </c>
      <c r="N26" s="3178" t="s">
        <v>3085</v>
      </c>
    </row>
    <row r="27" spans="1:14">
      <c r="A27" s="3178" t="s">
        <v>3118</v>
      </c>
      <c r="B27" s="3178" t="s">
        <v>1943</v>
      </c>
      <c r="C27" s="3178" t="s">
        <v>3035</v>
      </c>
      <c r="D27" s="3178">
        <v>59994</v>
      </c>
      <c r="E27" s="3178">
        <v>123171</v>
      </c>
      <c r="F27" s="3178">
        <v>2.0499999999999998</v>
      </c>
      <c r="G27" s="3178" t="s">
        <v>3037</v>
      </c>
      <c r="H27" s="3178" t="s">
        <v>3116</v>
      </c>
      <c r="I27" s="3178">
        <v>161500</v>
      </c>
      <c r="J27" s="3178">
        <v>182000</v>
      </c>
      <c r="K27" s="3178">
        <v>14776.2</v>
      </c>
      <c r="L27" s="3178">
        <v>12.69</v>
      </c>
      <c r="M27" s="3178" t="s">
        <v>3119</v>
      </c>
      <c r="N27" s="3178" t="s">
        <v>3040</v>
      </c>
    </row>
    <row r="28" spans="1:14">
      <c r="A28" s="3178" t="s">
        <v>3120</v>
      </c>
      <c r="B28" s="3178" t="s">
        <v>1943</v>
      </c>
      <c r="C28" s="3178" t="s">
        <v>3035</v>
      </c>
      <c r="D28" s="3178">
        <v>65602.95</v>
      </c>
      <c r="E28" s="3178">
        <v>120165</v>
      </c>
      <c r="F28" s="3178">
        <v>1.83</v>
      </c>
      <c r="G28" s="3178" t="s">
        <v>3037</v>
      </c>
      <c r="H28" s="3178" t="s">
        <v>3121</v>
      </c>
      <c r="I28" s="3178">
        <v>330000</v>
      </c>
      <c r="J28" s="3178">
        <v>495000</v>
      </c>
      <c r="K28" s="3178">
        <v>41193.360000000001</v>
      </c>
      <c r="L28" s="3178">
        <v>50</v>
      </c>
      <c r="M28" s="3178" t="s">
        <v>3122</v>
      </c>
      <c r="N28" s="3178" t="s">
        <v>3085</v>
      </c>
    </row>
    <row r="29" spans="1:14">
      <c r="A29" s="3178" t="s">
        <v>3123</v>
      </c>
      <c r="B29" s="3178" t="s">
        <v>1943</v>
      </c>
      <c r="C29" s="3178" t="s">
        <v>3035</v>
      </c>
      <c r="D29" s="3178">
        <v>33380</v>
      </c>
      <c r="E29" s="3178">
        <v>83451</v>
      </c>
      <c r="F29" s="3178">
        <v>2.5</v>
      </c>
      <c r="G29" s="3178" t="s">
        <v>3037</v>
      </c>
      <c r="H29" s="3178" t="s">
        <v>3121</v>
      </c>
      <c r="I29" s="3178">
        <v>120000</v>
      </c>
      <c r="J29" s="3178">
        <v>135000</v>
      </c>
      <c r="K29" s="3178">
        <v>16177.15</v>
      </c>
      <c r="L29" s="3178">
        <v>12.5</v>
      </c>
      <c r="M29" s="3178" t="s">
        <v>3124</v>
      </c>
      <c r="N29" s="3178" t="s">
        <v>3085</v>
      </c>
    </row>
    <row r="30" spans="1:14">
      <c r="A30" s="3178" t="s">
        <v>3125</v>
      </c>
      <c r="B30" s="3178" t="s">
        <v>1943</v>
      </c>
      <c r="C30" s="3178" t="s">
        <v>3035</v>
      </c>
      <c r="D30" s="3178">
        <v>70400.429999999993</v>
      </c>
      <c r="E30" s="3178">
        <v>211202</v>
      </c>
      <c r="F30" s="3178">
        <v>3</v>
      </c>
      <c r="G30" s="3178" t="s">
        <v>3037</v>
      </c>
      <c r="H30" s="3178" t="s">
        <v>3126</v>
      </c>
      <c r="I30" s="3178">
        <v>260000</v>
      </c>
      <c r="J30" s="3178">
        <v>262600</v>
      </c>
      <c r="K30" s="3178">
        <v>12433.59</v>
      </c>
      <c r="L30" s="3178">
        <v>1</v>
      </c>
      <c r="M30" s="3178" t="s">
        <v>3127</v>
      </c>
      <c r="N30" s="3178" t="s">
        <v>3085</v>
      </c>
    </row>
    <row r="31" spans="1:14">
      <c r="A31" s="3178" t="s">
        <v>3128</v>
      </c>
      <c r="B31" s="3178" t="s">
        <v>1943</v>
      </c>
      <c r="C31" s="3178" t="s">
        <v>3035</v>
      </c>
      <c r="D31" s="3178">
        <v>20342.53</v>
      </c>
      <c r="E31" s="3178">
        <v>61028</v>
      </c>
      <c r="F31" s="3178">
        <v>3</v>
      </c>
      <c r="G31" s="3178" t="s">
        <v>3037</v>
      </c>
      <c r="H31" s="3178" t="s">
        <v>3126</v>
      </c>
      <c r="I31" s="3178">
        <v>60000</v>
      </c>
      <c r="J31" s="3178">
        <v>62000</v>
      </c>
      <c r="K31" s="3178">
        <v>10159.27</v>
      </c>
      <c r="L31" s="3178">
        <v>3.33</v>
      </c>
      <c r="M31" s="3178" t="s">
        <v>3129</v>
      </c>
      <c r="N31" s="3178" t="s">
        <v>3049</v>
      </c>
    </row>
    <row r="32" spans="1:14">
      <c r="A32" s="3178" t="s">
        <v>3130</v>
      </c>
      <c r="B32" s="3178" t="s">
        <v>1943</v>
      </c>
      <c r="C32" s="3178" t="s">
        <v>3051</v>
      </c>
      <c r="D32" s="3178">
        <v>89116.67</v>
      </c>
      <c r="E32" s="3178">
        <v>133675</v>
      </c>
      <c r="F32" s="3178">
        <v>1.5</v>
      </c>
      <c r="G32" s="3178" t="s">
        <v>3037</v>
      </c>
      <c r="H32" s="3178" t="s">
        <v>3131</v>
      </c>
      <c r="I32" s="3178">
        <v>115000</v>
      </c>
      <c r="J32" s="3178">
        <v>172000</v>
      </c>
      <c r="K32" s="3178">
        <v>12867.03</v>
      </c>
      <c r="L32" s="3178">
        <v>49.57</v>
      </c>
      <c r="M32" s="3178" t="s">
        <v>3132</v>
      </c>
      <c r="N32" s="3178" t="s">
        <v>3085</v>
      </c>
    </row>
    <row r="33" spans="1:14">
      <c r="A33" s="3178" t="s">
        <v>3133</v>
      </c>
      <c r="B33" s="3178" t="s">
        <v>1943</v>
      </c>
      <c r="C33" s="3178" t="s">
        <v>3035</v>
      </c>
      <c r="D33" s="3178">
        <v>151051.70000000001</v>
      </c>
      <c r="E33" s="3178">
        <v>274253</v>
      </c>
      <c r="F33" s="3178" t="s">
        <v>3134</v>
      </c>
      <c r="G33" s="3178" t="s">
        <v>3037</v>
      </c>
      <c r="H33" s="3178" t="s">
        <v>3135</v>
      </c>
      <c r="I33" s="3178">
        <v>385000</v>
      </c>
      <c r="J33" s="3178">
        <v>502000</v>
      </c>
      <c r="K33" s="3178">
        <v>18304.27</v>
      </c>
      <c r="L33" s="3178">
        <v>30.39</v>
      </c>
      <c r="M33" s="3178" t="s">
        <v>3108</v>
      </c>
      <c r="N33" s="3178" t="s">
        <v>3085</v>
      </c>
    </row>
    <row r="34" spans="1:14">
      <c r="A34" s="3178" t="s">
        <v>3136</v>
      </c>
      <c r="B34" s="3178" t="s">
        <v>1943</v>
      </c>
      <c r="C34" s="3178" t="s">
        <v>3035</v>
      </c>
      <c r="D34" s="3178">
        <v>59539.89</v>
      </c>
      <c r="E34" s="3178">
        <v>143970</v>
      </c>
      <c r="F34" s="3178">
        <v>2.418042883</v>
      </c>
      <c r="G34" s="3178" t="s">
        <v>3053</v>
      </c>
      <c r="H34" s="3178" t="s">
        <v>3137</v>
      </c>
      <c r="I34" s="3178" t="s">
        <v>2815</v>
      </c>
      <c r="J34" s="3178" t="s">
        <v>2815</v>
      </c>
      <c r="K34" s="3178" t="s">
        <v>2815</v>
      </c>
      <c r="L34" s="3178" t="s">
        <v>2815</v>
      </c>
      <c r="M34" s="3178" t="s">
        <v>3138</v>
      </c>
      <c r="N34" s="3178" t="s">
        <v>3049</v>
      </c>
    </row>
    <row r="35" spans="1:14">
      <c r="A35" s="3178" t="s">
        <v>3139</v>
      </c>
      <c r="B35" s="3178" t="s">
        <v>1943</v>
      </c>
      <c r="C35" s="3178" t="s">
        <v>3035</v>
      </c>
      <c r="D35" s="3178">
        <v>133032.79999999999</v>
      </c>
      <c r="E35" s="3178">
        <v>210450</v>
      </c>
      <c r="F35" s="3178">
        <v>1.581940932</v>
      </c>
      <c r="G35" s="3178" t="s">
        <v>3037</v>
      </c>
      <c r="H35" s="3178" t="s">
        <v>3140</v>
      </c>
      <c r="I35" s="3178">
        <v>374000</v>
      </c>
      <c r="J35" s="3178">
        <v>561000</v>
      </c>
      <c r="K35" s="3178">
        <v>26657.15</v>
      </c>
      <c r="L35" s="3178">
        <v>50</v>
      </c>
      <c r="M35" s="3178" t="s">
        <v>3141</v>
      </c>
      <c r="N35" s="3178" t="s">
        <v>3040</v>
      </c>
    </row>
    <row r="36" spans="1:14">
      <c r="A36" s="3178" t="s">
        <v>3142</v>
      </c>
      <c r="B36" s="3178" t="s">
        <v>1943</v>
      </c>
      <c r="C36" s="3178" t="s">
        <v>3051</v>
      </c>
      <c r="D36" s="3178">
        <v>155132.79999999999</v>
      </c>
      <c r="E36" s="3178">
        <v>156684</v>
      </c>
      <c r="F36" s="3178">
        <v>1.009999305</v>
      </c>
      <c r="G36" s="3178" t="s">
        <v>3037</v>
      </c>
      <c r="H36" s="3178" t="s">
        <v>3140</v>
      </c>
      <c r="I36" s="3178">
        <v>470000</v>
      </c>
      <c r="J36" s="3178">
        <v>705000</v>
      </c>
      <c r="K36" s="3178">
        <v>44995.01</v>
      </c>
      <c r="L36" s="3178">
        <v>50</v>
      </c>
      <c r="M36" s="3178" t="s">
        <v>3143</v>
      </c>
      <c r="N36" s="3178" t="s">
        <v>3040</v>
      </c>
    </row>
    <row r="37" spans="1:14">
      <c r="A37" s="3178" t="s">
        <v>3144</v>
      </c>
      <c r="B37" s="3178" t="s">
        <v>1943</v>
      </c>
      <c r="C37" s="3178" t="s">
        <v>3051</v>
      </c>
      <c r="D37" s="3178">
        <v>41170.230000000003</v>
      </c>
      <c r="E37" s="3178">
        <v>60109</v>
      </c>
      <c r="F37" s="3178">
        <v>1.46</v>
      </c>
      <c r="G37" s="3178" t="s">
        <v>3037</v>
      </c>
      <c r="H37" s="3178" t="s">
        <v>3145</v>
      </c>
      <c r="I37" s="3178">
        <v>88000</v>
      </c>
      <c r="J37" s="3178">
        <v>121000</v>
      </c>
      <c r="K37" s="3178">
        <v>20130.09</v>
      </c>
      <c r="L37" s="3178">
        <v>37.5</v>
      </c>
      <c r="M37" s="3178" t="s">
        <v>3146</v>
      </c>
      <c r="N37" s="3178" t="s">
        <v>3049</v>
      </c>
    </row>
    <row r="38" spans="1:14">
      <c r="A38" s="3178" t="s">
        <v>3147</v>
      </c>
      <c r="B38" s="3178" t="s">
        <v>1943</v>
      </c>
      <c r="C38" s="3178" t="s">
        <v>3051</v>
      </c>
      <c r="D38" s="3178">
        <v>45104.74</v>
      </c>
      <c r="E38" s="3178">
        <v>112093</v>
      </c>
      <c r="F38" s="3178">
        <v>2.5</v>
      </c>
      <c r="G38" s="3178" t="s">
        <v>3037</v>
      </c>
      <c r="H38" s="3178" t="s">
        <v>3145</v>
      </c>
      <c r="I38" s="3178">
        <v>130000</v>
      </c>
      <c r="J38" s="3178">
        <v>193000</v>
      </c>
      <c r="K38" s="3178">
        <v>17217.84</v>
      </c>
      <c r="L38" s="3178">
        <v>48.46</v>
      </c>
      <c r="M38" s="3178" t="s">
        <v>3148</v>
      </c>
      <c r="N38" s="3178" t="s">
        <v>3085</v>
      </c>
    </row>
    <row r="39" spans="1:14">
      <c r="A39" s="3178" t="s">
        <v>3149</v>
      </c>
      <c r="B39" s="3178" t="s">
        <v>1943</v>
      </c>
      <c r="C39" s="3178" t="s">
        <v>3035</v>
      </c>
      <c r="D39" s="3178">
        <v>53579</v>
      </c>
      <c r="E39" s="3178">
        <v>101510</v>
      </c>
      <c r="F39" s="3178">
        <v>1.89</v>
      </c>
      <c r="G39" s="3178" t="s">
        <v>3037</v>
      </c>
      <c r="H39" s="3178" t="s">
        <v>3150</v>
      </c>
      <c r="I39" s="3178">
        <v>166000</v>
      </c>
      <c r="J39" s="3178">
        <v>181000</v>
      </c>
      <c r="K39" s="3178">
        <v>17830.75</v>
      </c>
      <c r="L39" s="3178">
        <v>9.0399999999999991</v>
      </c>
      <c r="M39" s="3178" t="s">
        <v>3151</v>
      </c>
      <c r="N39" s="3178" t="s">
        <v>3040</v>
      </c>
    </row>
    <row r="40" spans="1:14">
      <c r="A40" s="3178" t="s">
        <v>3152</v>
      </c>
      <c r="B40" s="3178" t="s">
        <v>1943</v>
      </c>
      <c r="C40" s="3178" t="s">
        <v>3035</v>
      </c>
      <c r="D40" s="3178">
        <v>75691</v>
      </c>
      <c r="E40" s="3178">
        <v>133361</v>
      </c>
      <c r="F40" s="3178">
        <v>1.76</v>
      </c>
      <c r="G40" s="3178" t="s">
        <v>3037</v>
      </c>
      <c r="H40" s="3178" t="s">
        <v>3150</v>
      </c>
      <c r="I40" s="3178">
        <v>210000</v>
      </c>
      <c r="J40" s="3178">
        <v>232500</v>
      </c>
      <c r="K40" s="3178">
        <v>17433.88</v>
      </c>
      <c r="L40" s="3178">
        <v>10.71</v>
      </c>
      <c r="M40" s="3178" t="s">
        <v>3153</v>
      </c>
      <c r="N40" s="3178" t="s">
        <v>3040</v>
      </c>
    </row>
    <row r="41" spans="1:14">
      <c r="A41" s="3178" t="s">
        <v>3154</v>
      </c>
      <c r="B41" s="3178" t="s">
        <v>1943</v>
      </c>
      <c r="C41" s="3178" t="s">
        <v>3035</v>
      </c>
      <c r="D41" s="3178">
        <v>15224</v>
      </c>
      <c r="E41" s="3178">
        <v>42627</v>
      </c>
      <c r="F41" s="3178">
        <v>2.8</v>
      </c>
      <c r="G41" s="3178" t="s">
        <v>3037</v>
      </c>
      <c r="H41" s="3178" t="s">
        <v>3155</v>
      </c>
      <c r="I41" s="3178">
        <v>30000</v>
      </c>
      <c r="J41" s="3178">
        <v>39000</v>
      </c>
      <c r="K41" s="3178">
        <v>9149.1200000000008</v>
      </c>
      <c r="L41" s="3178">
        <v>30</v>
      </c>
      <c r="M41" s="3178" t="s">
        <v>3156</v>
      </c>
      <c r="N41" s="3178" t="s">
        <v>3157</v>
      </c>
    </row>
    <row r="42" spans="1:14">
      <c r="A42" s="3178"/>
      <c r="B42" s="3178"/>
      <c r="C42" s="3178"/>
      <c r="D42" s="3178"/>
      <c r="E42" s="3178"/>
      <c r="F42" s="3178"/>
      <c r="G42" s="3178"/>
      <c r="H42" s="3178"/>
      <c r="I42" s="3178"/>
      <c r="J42" s="3178"/>
      <c r="K42" s="3178"/>
      <c r="L42" s="3178"/>
      <c r="M42" s="3178"/>
      <c r="N42" s="3178"/>
    </row>
    <row r="43" spans="1:14">
      <c r="A43" s="3178"/>
      <c r="B43" s="3178"/>
      <c r="C43" s="3178"/>
      <c r="D43" s="3178"/>
      <c r="E43" s="3178"/>
      <c r="F43" s="3178"/>
      <c r="G43" s="3178"/>
      <c r="H43" s="3178"/>
      <c r="I43" s="3178"/>
      <c r="J43" s="3178"/>
      <c r="K43" s="3178"/>
      <c r="L43" s="3178"/>
      <c r="M43" s="3178"/>
      <c r="N43" s="3178"/>
    </row>
    <row r="44" spans="1:14">
      <c r="A44" s="3178"/>
      <c r="B44" s="3178"/>
      <c r="C44" s="3178"/>
      <c r="D44" s="3178"/>
      <c r="E44" s="3178"/>
      <c r="F44" s="3178"/>
      <c r="G44" s="3178"/>
      <c r="H44" s="3178"/>
      <c r="I44" s="3178"/>
      <c r="J44" s="3178"/>
      <c r="K44" s="3178"/>
      <c r="L44" s="3178"/>
      <c r="M44" s="3178"/>
      <c r="N44" s="3178"/>
    </row>
    <row r="45" spans="1:14">
      <c r="A45" s="3178"/>
      <c r="B45" s="3178"/>
      <c r="C45" s="3178"/>
      <c r="D45" s="3178"/>
      <c r="E45" s="3178"/>
      <c r="F45" s="3178"/>
      <c r="G45" s="3178"/>
      <c r="H45" s="3178"/>
      <c r="I45" s="3178"/>
      <c r="J45" s="3178"/>
      <c r="K45" s="3178"/>
      <c r="L45" s="3178"/>
      <c r="M45" s="3178"/>
      <c r="N45" s="3178"/>
    </row>
    <row r="46" spans="1:14">
      <c r="A46" s="3178"/>
      <c r="B46" s="3178"/>
      <c r="C46" s="3178"/>
      <c r="D46" s="3178"/>
      <c r="E46" s="3178"/>
      <c r="F46" s="3178"/>
      <c r="G46" s="3178"/>
      <c r="H46" s="3178"/>
      <c r="I46" s="3178"/>
      <c r="J46" s="3178"/>
      <c r="K46" s="3178"/>
      <c r="L46" s="3178"/>
      <c r="M46" s="3178"/>
      <c r="N46" s="3178"/>
    </row>
    <row r="47" spans="1:14">
      <c r="A47" s="3178"/>
      <c r="B47" s="3178"/>
      <c r="C47" s="3178"/>
      <c r="D47" s="3178"/>
      <c r="E47" s="3178"/>
      <c r="F47" s="3178"/>
      <c r="G47" s="3178"/>
      <c r="H47" s="3178"/>
      <c r="I47" s="3178"/>
      <c r="J47" s="3178"/>
      <c r="K47" s="3178"/>
      <c r="L47" s="3178"/>
      <c r="M47" s="3178"/>
      <c r="N47" s="3178"/>
    </row>
    <row r="48" spans="1:14">
      <c r="A48" s="3178"/>
      <c r="B48" s="3178"/>
      <c r="C48" s="3178"/>
      <c r="D48" s="3178"/>
      <c r="E48" s="3178"/>
      <c r="F48" s="3178"/>
      <c r="G48" s="3178"/>
      <c r="H48" s="3178"/>
      <c r="I48" s="3178"/>
      <c r="J48" s="3178"/>
      <c r="K48" s="3178"/>
      <c r="L48" s="3178"/>
      <c r="M48" s="3178"/>
      <c r="N48" s="3178"/>
    </row>
    <row r="49" spans="1:14">
      <c r="A49" s="3178"/>
      <c r="B49" s="3178"/>
      <c r="C49" s="3178"/>
      <c r="D49" s="3178"/>
      <c r="E49" s="3178"/>
      <c r="F49" s="3178"/>
      <c r="G49" s="3178"/>
      <c r="H49" s="3178"/>
      <c r="I49" s="3178"/>
      <c r="J49" s="3178"/>
      <c r="K49" s="3178"/>
      <c r="L49" s="3178"/>
      <c r="M49" s="3178"/>
      <c r="N49" s="3178"/>
    </row>
    <row r="50" spans="1:14">
      <c r="A50" s="3178"/>
      <c r="B50" s="3178"/>
      <c r="C50" s="3178"/>
      <c r="D50" s="3178"/>
      <c r="E50" s="3178"/>
      <c r="F50" s="3178"/>
      <c r="G50" s="3178"/>
      <c r="H50" s="3178"/>
      <c r="I50" s="3178"/>
      <c r="J50" s="3178"/>
      <c r="K50" s="3178"/>
      <c r="L50" s="3178"/>
      <c r="M50" s="3178"/>
      <c r="N50" s="3178"/>
    </row>
    <row r="51" spans="1:14">
      <c r="A51" s="3178"/>
      <c r="B51" s="3178"/>
      <c r="C51" s="3178"/>
      <c r="D51" s="3178"/>
      <c r="E51" s="3178"/>
      <c r="F51" s="3178"/>
      <c r="G51" s="3178"/>
      <c r="H51" s="3178"/>
      <c r="I51" s="3178"/>
      <c r="J51" s="3178"/>
      <c r="K51" s="3178"/>
      <c r="L51" s="3178"/>
      <c r="M51" s="3178"/>
      <c r="N51" s="3178"/>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0" sqref="L20"/>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6" t="s">
        <v>2036</v>
      </c>
      <c r="B1" s="3256"/>
      <c r="C1" s="3256"/>
      <c r="D1" s="3256"/>
      <c r="E1" s="3256"/>
      <c r="F1" s="3256"/>
      <c r="G1" s="3256"/>
      <c r="H1" s="3256"/>
      <c r="I1" s="3256"/>
      <c r="J1" s="3256"/>
      <c r="K1" s="3256"/>
      <c r="L1" s="3256"/>
      <c r="M1" s="3256"/>
      <c r="N1" s="3256"/>
      <c r="O1" s="3256"/>
      <c r="P1" s="3256"/>
      <c r="Q1" s="3256"/>
      <c r="R1" s="3256"/>
    </row>
    <row r="2" spans="1:18">
      <c r="A2" s="1790" t="s">
        <v>2038</v>
      </c>
      <c r="B2" s="1790"/>
      <c r="C2" s="1790"/>
      <c r="D2" s="1790"/>
      <c r="E2" s="1790"/>
      <c r="F2" s="1790"/>
      <c r="G2" s="1790"/>
      <c r="H2" s="1790"/>
      <c r="I2" s="1791"/>
      <c r="J2" s="1791"/>
      <c r="K2" s="1792" t="str">
        <f>"估价期日："&amp;TEXT(项目基本情况!D3,"yyyy年m月d日;;")</f>
        <v>估价期日：2020年3月30日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57" t="s">
        <v>2027</v>
      </c>
      <c r="B3" s="3257" t="s">
        <v>2728</v>
      </c>
      <c r="C3" s="3258" t="s">
        <v>2028</v>
      </c>
      <c r="D3" s="3257" t="s">
        <v>2732</v>
      </c>
      <c r="E3" s="3260" t="s">
        <v>2029</v>
      </c>
      <c r="F3" s="3260"/>
      <c r="G3" s="3260"/>
      <c r="H3" s="3260" t="s">
        <v>2030</v>
      </c>
      <c r="I3" s="3260"/>
      <c r="J3" s="3260"/>
      <c r="K3" s="3258" t="s">
        <v>2031</v>
      </c>
      <c r="L3" s="3258" t="s">
        <v>2032</v>
      </c>
      <c r="M3" s="3257" t="s">
        <v>2729</v>
      </c>
      <c r="N3" s="3259" t="str">
        <f>"（分摊）"&amp;项目基本情况!B16&amp;"国有建设用地使用权面积/㎡"</f>
        <v>（分摊）出让国有建设用地使用权面积/㎡</v>
      </c>
      <c r="O3" s="3257" t="s">
        <v>2061</v>
      </c>
      <c r="P3" s="3258" t="s">
        <v>2041</v>
      </c>
      <c r="Q3" s="3258" t="s">
        <v>2062</v>
      </c>
      <c r="R3" s="3258" t="s">
        <v>2033</v>
      </c>
    </row>
    <row r="4" spans="1:18" ht="36.75" customHeight="1">
      <c r="A4" s="3257"/>
      <c r="B4" s="3257"/>
      <c r="C4" s="3258"/>
      <c r="D4" s="3257"/>
      <c r="E4" s="2611" t="s">
        <v>2040</v>
      </c>
      <c r="F4" s="2611" t="s">
        <v>2741</v>
      </c>
      <c r="G4" s="2611" t="s">
        <v>2034</v>
      </c>
      <c r="H4" s="2611" t="s">
        <v>2035</v>
      </c>
      <c r="I4" s="2611" t="s">
        <v>2742</v>
      </c>
      <c r="J4" s="2611" t="s">
        <v>2034</v>
      </c>
      <c r="K4" s="3258"/>
      <c r="L4" s="3258"/>
      <c r="M4" s="3257"/>
      <c r="N4" s="3259"/>
      <c r="O4" s="3257"/>
      <c r="P4" s="3258"/>
      <c r="Q4" s="3258"/>
      <c r="R4" s="3258"/>
    </row>
    <row r="5" spans="1:18" ht="135" customHeight="1">
      <c r="A5" s="1926" t="s">
        <v>2652</v>
      </c>
      <c r="B5" s="2820" t="s">
        <v>2650</v>
      </c>
      <c r="C5" s="2610">
        <v>22</v>
      </c>
      <c r="D5" s="2609" t="s">
        <v>2651</v>
      </c>
      <c r="E5" s="1793" t="str">
        <f>项目基本情况!B12</f>
        <v>住宅、车库</v>
      </c>
      <c r="F5" s="2609">
        <v>258</v>
      </c>
      <c r="G5" s="1793">
        <f>项目基本情况!B13</f>
        <v>0</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42532.75</v>
      </c>
      <c r="O5" s="1793">
        <f>项目基本情况!C21</f>
        <v>97045</v>
      </c>
      <c r="P5" s="1793">
        <f ca="1">结果表!E42</f>
        <v>37882</v>
      </c>
      <c r="Q5" s="1793">
        <f ca="1">结果表!D42</f>
        <v>16603</v>
      </c>
      <c r="R5" s="1794">
        <f ca="1">结果表!C42</f>
        <v>161123</v>
      </c>
    </row>
    <row r="6" spans="1:18">
      <c r="A6" s="3253" t="str">
        <f>IF(项目基本情况!B9="市场价格","——","抵押价格")</f>
        <v>抵押价格</v>
      </c>
      <c r="B6" s="3254"/>
      <c r="C6" s="3254"/>
      <c r="D6" s="3254"/>
      <c r="E6" s="3254"/>
      <c r="F6" s="3254"/>
      <c r="G6" s="3254"/>
      <c r="H6" s="3254"/>
      <c r="I6" s="3254"/>
      <c r="J6" s="3254"/>
      <c r="K6" s="3254"/>
      <c r="L6" s="3254"/>
      <c r="M6" s="3254"/>
      <c r="N6" s="3254"/>
      <c r="O6" s="3254"/>
      <c r="P6" s="3254"/>
      <c r="Q6" s="3255"/>
      <c r="R6" s="1795">
        <f ca="1">结果表!O39</f>
        <v>158693</v>
      </c>
    </row>
    <row r="7" spans="1:18">
      <c r="A7" s="3253" t="str">
        <f>IF(项目基本情况!B9="市场价格","——",IF(项目基本情况!E8="已注销及未注销","抵押担保权已注销时的抵押价格","——"))</f>
        <v>——</v>
      </c>
      <c r="B7" s="3254"/>
      <c r="C7" s="3254"/>
      <c r="D7" s="3254"/>
      <c r="E7" s="3254"/>
      <c r="F7" s="3254"/>
      <c r="G7" s="3254"/>
      <c r="H7" s="3254"/>
      <c r="I7" s="3254"/>
      <c r="J7" s="3254"/>
      <c r="K7" s="3254"/>
      <c r="L7" s="3254"/>
      <c r="M7" s="3254"/>
      <c r="N7" s="3254"/>
      <c r="O7" s="3254"/>
      <c r="P7" s="3254"/>
      <c r="Q7" s="3255"/>
      <c r="R7" s="1795" t="str">
        <f>结果表!O40</f>
        <v>——</v>
      </c>
    </row>
    <row r="8" spans="1:18">
      <c r="A8" s="3253" t="str">
        <f>IF(项目基本情况!B9="市场价格","——",项目基本情况!E9)</f>
        <v>——</v>
      </c>
      <c r="B8" s="3254"/>
      <c r="C8" s="3254"/>
      <c r="D8" s="3254"/>
      <c r="E8" s="3254"/>
      <c r="F8" s="3254"/>
      <c r="G8" s="3254"/>
      <c r="H8" s="3254"/>
      <c r="I8" s="3254"/>
      <c r="J8" s="3254"/>
      <c r="K8" s="3254"/>
      <c r="L8" s="3254"/>
      <c r="M8" s="3254"/>
      <c r="N8" s="3254"/>
      <c r="O8" s="3254"/>
      <c r="P8" s="3254"/>
      <c r="Q8" s="3255"/>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62" t="s">
        <v>2063</v>
      </c>
      <c r="B1" s="3262"/>
      <c r="C1" s="3262"/>
      <c r="D1" s="3262"/>
    </row>
    <row r="2" spans="1:4" ht="47.25" customHeight="1">
      <c r="A2" s="3263" t="str">
        <f>"1.权利限制："&amp;项目基本情况!L24&amp;"未设定租赁等其他他项权利。"</f>
        <v>1.权利限制：根据估价对象《不动产权证书》原件、《国有土地使用权》复印件，截至估价期日，估价对象抵押权未见登记。未设定租赁等其他他项权利。</v>
      </c>
      <c r="B2" s="3263"/>
      <c r="C2" s="3263"/>
      <c r="D2" s="3263"/>
    </row>
    <row r="3" spans="1:4" ht="48" customHeight="1">
      <c r="A3" s="326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2"/>
      <c r="C3" s="3262"/>
      <c r="D3" s="3262"/>
    </row>
    <row r="4" spans="1:4" ht="36.75" customHeight="1">
      <c r="A4" s="3262" t="str">
        <f>"3.估价规划限制条件：详见"&amp;项目基本情况!E21&amp;"。"</f>
        <v>3.估价规划限制条件：详见《建设工程规划许可证》[]、《出让合同》[]。</v>
      </c>
      <c r="B4" s="3262"/>
      <c r="C4" s="3262"/>
      <c r="D4" s="3262"/>
    </row>
    <row r="5" spans="1:4">
      <c r="A5" s="3261" t="s">
        <v>2064</v>
      </c>
      <c r="B5" s="3261"/>
      <c r="C5" s="3261"/>
      <c r="D5" s="3261"/>
    </row>
    <row r="6" spans="1:4">
      <c r="A6" s="3262" t="s">
        <v>2042</v>
      </c>
      <c r="B6" s="3262"/>
      <c r="C6" s="3262"/>
      <c r="D6" s="3262"/>
    </row>
    <row r="7" spans="1:4" ht="33" customHeight="1">
      <c r="A7" s="3262" t="s">
        <v>2572</v>
      </c>
      <c r="B7" s="3262"/>
      <c r="C7" s="3262"/>
      <c r="D7" s="3262"/>
    </row>
    <row r="8" spans="1:4" ht="32.25" customHeight="1">
      <c r="A8" s="32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2"/>
      <c r="C8" s="3262"/>
      <c r="D8" s="3262"/>
    </row>
    <row r="9" spans="1:4" ht="33.75" customHeight="1">
      <c r="A9" s="32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2"/>
      <c r="C9" s="3262"/>
      <c r="D9" s="3262"/>
    </row>
    <row r="10" spans="1:4">
      <c r="A10" s="3262" t="str">
        <f>IF(项目基本情况!B8="抵押","4.估价师所知悉的法定优先受偿款情况为：","——")</f>
        <v>4.估价师所知悉的法定优先受偿款情况为：</v>
      </c>
      <c r="B10" s="3262"/>
      <c r="C10" s="3262"/>
      <c r="D10" s="3262"/>
    </row>
    <row r="11" spans="1:4" ht="37.5" customHeight="1">
      <c r="A11" s="3264" t="str">
        <f>IF(项目基本情况!B8="抵押","（1）"&amp;CONCATENATE(项目基本情况!L24,项目基本情况!L25,项目基本情况!L26),"——")</f>
        <v>（1）根据估价对象《不动产权证书》原件、《国有土地使用权》复印件，截至估价期日，估价对象抵押权未见登记。</v>
      </c>
      <c r="B11" s="3264"/>
      <c r="C11" s="3264"/>
      <c r="D11" s="3264"/>
    </row>
    <row r="12" spans="1:4" ht="168" customHeight="1">
      <c r="A12" s="3261" t="s">
        <v>2066</v>
      </c>
      <c r="B12" s="3261"/>
      <c r="C12" s="3261"/>
      <c r="D12" s="3261"/>
    </row>
    <row r="13" spans="1:4">
      <c r="A13" s="3265" t="s">
        <v>2743</v>
      </c>
      <c r="B13" s="3265"/>
      <c r="C13" s="3265"/>
      <c r="D13" s="3265"/>
    </row>
    <row r="14" spans="1:4">
      <c r="A14" s="3264" t="str">
        <f>IF(项目基本情况!B8="抵押","综上，"&amp;结果表!K47,"——")</f>
        <v>综上，本次评估估价师知悉的法定优先受偿款为人民币2430万元整。</v>
      </c>
      <c r="B14" s="3264"/>
      <c r="C14" s="3264"/>
      <c r="D14" s="3264"/>
    </row>
    <row r="15" spans="1:4" ht="58.5" customHeight="1">
      <c r="A15" s="32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2"/>
      <c r="C15" s="3262"/>
      <c r="D15" s="3262"/>
    </row>
    <row r="16" spans="1:4" ht="70.5" customHeight="1">
      <c r="A16" s="32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2"/>
      <c r="C16" s="3262"/>
      <c r="D16" s="3262"/>
    </row>
    <row r="17" spans="1:4">
      <c r="A17" s="3262" t="s">
        <v>2699</v>
      </c>
      <c r="B17" s="3262"/>
      <c r="C17" s="3262"/>
      <c r="D17" s="3262"/>
    </row>
    <row r="18" spans="1:4">
      <c r="A18" s="3262" t="s">
        <v>2691</v>
      </c>
      <c r="B18" s="3262"/>
      <c r="C18" s="3262"/>
      <c r="D18" s="3262"/>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崔锴</v>
      </c>
      <c r="B21" s="2821">
        <f ca="1">项目基本情况!E4</f>
        <v>2010110070</v>
      </c>
      <c r="C21" s="2823"/>
      <c r="D21" s="1783" t="s">
        <v>2701</v>
      </c>
    </row>
    <row r="23" spans="1:4">
      <c r="A23" s="3262" t="s">
        <v>2696</v>
      </c>
      <c r="B23" s="3262"/>
      <c r="C23" s="3262"/>
      <c r="D23" s="3262"/>
    </row>
    <row r="24" spans="1:4">
      <c r="A24" s="2821" t="s">
        <v>2692</v>
      </c>
      <c r="B24" s="2821" t="s">
        <v>2697</v>
      </c>
      <c r="C24" s="2821" t="s">
        <v>2694</v>
      </c>
      <c r="D24" s="2821" t="s">
        <v>2695</v>
      </c>
    </row>
    <row r="25" spans="1:4">
      <c r="A25" s="2824" t="s">
        <v>2698</v>
      </c>
      <c r="B25" s="2821" t="s">
        <v>952</v>
      </c>
      <c r="C25" s="2823"/>
      <c r="D25" s="1783" t="s">
        <v>2701</v>
      </c>
    </row>
    <row r="29" spans="1:4">
      <c r="D29" s="2822" t="s">
        <v>2037</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73" t="s">
        <v>53</v>
      </c>
      <c r="B15" s="3274" t="s">
        <v>846</v>
      </c>
      <c r="C15" s="3270"/>
    </row>
    <row r="16" spans="1:7" ht="14.25">
      <c r="A16" s="3273"/>
      <c r="B16" s="3271" t="s">
        <v>54</v>
      </c>
      <c r="C16" s="1165" t="s">
        <v>53</v>
      </c>
    </row>
    <row r="17" spans="1:3" ht="14.25">
      <c r="A17" s="3273"/>
      <c r="B17" s="3271"/>
      <c r="C17" s="1165" t="s">
        <v>55</v>
      </c>
    </row>
    <row r="18" spans="1:3" ht="14.25">
      <c r="A18" s="3273"/>
      <c r="B18" s="3271"/>
      <c r="C18" s="1165" t="s">
        <v>56</v>
      </c>
    </row>
    <row r="19" spans="1:3" ht="14.25">
      <c r="A19" s="3273"/>
      <c r="B19" s="3269" t="s">
        <v>57</v>
      </c>
      <c r="C19" s="3270"/>
    </row>
    <row r="20" spans="1:3" ht="14.25">
      <c r="A20" s="1166" t="s">
        <v>58</v>
      </c>
      <c r="B20" s="1167"/>
      <c r="C20" s="1168"/>
    </row>
    <row r="21" spans="1:3" ht="14.25">
      <c r="A21" s="3272" t="s">
        <v>59</v>
      </c>
      <c r="B21" s="3269" t="s">
        <v>60</v>
      </c>
      <c r="C21" s="3270"/>
    </row>
    <row r="22" spans="1:3" ht="14.25">
      <c r="A22" s="3272"/>
      <c r="B22" s="3269" t="s">
        <v>61</v>
      </c>
      <c r="C22" s="3270"/>
    </row>
    <row r="23" spans="1:3" ht="14.25">
      <c r="A23" s="3272"/>
      <c r="B23" s="3269" t="s">
        <v>62</v>
      </c>
      <c r="C23" s="3270"/>
    </row>
    <row r="24" spans="1:3" ht="14.25">
      <c r="A24" s="3272"/>
      <c r="B24" s="3275" t="s">
        <v>63</v>
      </c>
      <c r="C24" s="1169" t="s">
        <v>837</v>
      </c>
    </row>
    <row r="25" spans="1:3" ht="14.25">
      <c r="A25" s="3272"/>
      <c r="B25" s="3276"/>
      <c r="C25" s="1169" t="s">
        <v>838</v>
      </c>
    </row>
    <row r="26" spans="1:3" ht="14.25">
      <c r="A26" s="3272"/>
      <c r="B26" s="3276"/>
      <c r="C26" s="1169" t="s">
        <v>839</v>
      </c>
    </row>
    <row r="27" spans="1:3" ht="14.25">
      <c r="A27" s="3272"/>
      <c r="B27" s="3276"/>
      <c r="C27" s="1169" t="s">
        <v>840</v>
      </c>
    </row>
    <row r="28" spans="1:3" ht="14.25">
      <c r="A28" s="3272"/>
      <c r="B28" s="3276"/>
      <c r="C28" s="1169" t="s">
        <v>841</v>
      </c>
    </row>
    <row r="29" spans="1:3" ht="14.25">
      <c r="A29" s="3272"/>
      <c r="B29" s="3276"/>
      <c r="C29" s="1169" t="s">
        <v>842</v>
      </c>
    </row>
    <row r="30" spans="1:3" ht="14.25">
      <c r="A30" s="3272"/>
      <c r="B30" s="3276"/>
      <c r="C30" s="1169" t="s">
        <v>843</v>
      </c>
    </row>
    <row r="31" spans="1:3" ht="14.25">
      <c r="A31" s="3272"/>
      <c r="B31" s="3276"/>
      <c r="C31" s="1169" t="s">
        <v>844</v>
      </c>
    </row>
    <row r="32" spans="1:3" ht="14.25">
      <c r="A32" s="3272"/>
      <c r="B32" s="3276"/>
      <c r="C32" s="1169" t="s">
        <v>1646</v>
      </c>
    </row>
    <row r="33" spans="1:3" ht="14.25">
      <c r="A33" s="3272"/>
      <c r="B33" s="3266" t="s">
        <v>1652</v>
      </c>
      <c r="C33" s="1169" t="s">
        <v>1647</v>
      </c>
    </row>
    <row r="34" spans="1:3" ht="14.25">
      <c r="A34" s="3272"/>
      <c r="B34" s="3267"/>
      <c r="C34" s="1174" t="s">
        <v>1648</v>
      </c>
    </row>
    <row r="35" spans="1:3" ht="14.25">
      <c r="A35" s="3272"/>
      <c r="B35" s="3267"/>
      <c r="C35" s="1175" t="s">
        <v>1649</v>
      </c>
    </row>
    <row r="36" spans="1:3" ht="14.25">
      <c r="A36" s="3272"/>
      <c r="B36" s="3267"/>
      <c r="C36" s="1175" t="s">
        <v>1650</v>
      </c>
    </row>
    <row r="37" spans="1:3" ht="14.25">
      <c r="A37" s="3272"/>
      <c r="B37" s="3268"/>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43920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2978</v>
      </c>
      <c r="B14" s="3127">
        <f ca="1">IF(C14&lt;B2,"已过期",1120040230)</f>
        <v>1120040230</v>
      </c>
      <c r="C14" s="3131">
        <v>44864</v>
      </c>
      <c r="D14" s="3132" t="s">
        <v>2979</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2992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2994</v>
      </c>
      <c r="B23" s="3127">
        <v>1119980106</v>
      </c>
      <c r="C23" s="3129">
        <v>44969</v>
      </c>
      <c r="D23" s="3127"/>
      <c r="E23" s="3127"/>
      <c r="F23" s="3127"/>
    </row>
    <row r="24" spans="1:7" s="3135" customFormat="1" ht="20.25" customHeight="1">
      <c r="A24" s="3126" t="s">
        <v>2051</v>
      </c>
      <c r="B24" s="3126" t="s">
        <v>2051</v>
      </c>
      <c r="C24" s="3129"/>
      <c r="D24" s="3134" t="s">
        <v>2051</v>
      </c>
      <c r="E24" s="3126" t="s">
        <v>2051</v>
      </c>
      <c r="F24" s="3133"/>
    </row>
    <row r="25" spans="1:7" ht="20.25" customHeight="1">
      <c r="A25" s="3277" t="s">
        <v>1924</v>
      </c>
      <c r="B25" s="3277"/>
      <c r="C25" s="3277"/>
      <c r="D25" s="3277"/>
      <c r="E25" s="3277"/>
      <c r="F25" s="3277"/>
      <c r="G25" s="3277"/>
    </row>
    <row r="26" spans="1:7" ht="20.25" customHeight="1">
      <c r="A26" s="3278" t="s">
        <v>1925</v>
      </c>
      <c r="B26" s="3278"/>
      <c r="C26" s="3278"/>
      <c r="D26" s="3278" t="s">
        <v>1926</v>
      </c>
      <c r="E26" s="3278"/>
      <c r="F26" s="3278"/>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2538</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2539</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2540</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2541</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2542</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2952</v>
      </c>
      <c r="C18" s="1538"/>
    </row>
    <row r="19" spans="1:3">
      <c r="A19" s="8" t="s">
        <v>120</v>
      </c>
      <c r="B19" s="3060" t="s">
        <v>2960</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79"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c r="D53" s="1750"/>
      <c r="E53" s="1750"/>
    </row>
    <row r="54" spans="1:5">
      <c r="A54" s="3279"/>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79"/>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79"/>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79"/>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2020-03-30T09:36:18Z</dcterms:modified>
</cp:coreProperties>
</file>